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13845" yWindow="150" windowWidth="14940" windowHeight="12975" tabRatio="928"/>
  </bookViews>
  <sheets>
    <sheet name="Exhibit 3 Tables" sheetId="35" r:id="rId1"/>
    <sheet name="Summary" sheetId="11" r:id="rId2"/>
    <sheet name="Purchased Power Model " sheetId="19" r:id="rId3"/>
    <sheet name="Residential" sheetId="24" r:id="rId4"/>
    <sheet name="Residential WN" sheetId="37" r:id="rId5"/>
    <sheet name="GS &lt; 50 kW" sheetId="25" r:id="rId6"/>
    <sheet name="GS &lt; 50 kW WN" sheetId="38" r:id="rId7"/>
    <sheet name="GS &gt; 50 kW" sheetId="27" r:id="rId8"/>
    <sheet name="GS &gt; 50 kW WN" sheetId="39" r:id="rId9"/>
    <sheet name="GS &gt; 1000  kW" sheetId="28" r:id="rId10"/>
    <sheet name="Rate Class Energy Model" sheetId="9" r:id="rId11"/>
    <sheet name="Rate Class Customer Model" sheetId="17" r:id="rId12"/>
    <sheet name="Rate Class Load Model" sheetId="18" r:id="rId13"/>
    <sheet name="CDM Activity" sheetId="23" r:id="rId14"/>
    <sheet name="5. Static CDM Result by Program" sheetId="34" r:id="rId15"/>
    <sheet name="Weather Data" sheetId="31" r:id="rId16"/>
    <sheet name="Weather Analysis - Thunder Bay" sheetId="32" r:id="rId17"/>
    <sheet name="Sheet1" sheetId="40"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Order1" hidden="1">255</definedName>
    <definedName name="_Sort" localSheetId="13" hidden="1">[1]Sheet1!$G$40:$K$40</definedName>
    <definedName name="_Sort" localSheetId="0" hidden="1">[2]Sheet1!$G$40:$K$40</definedName>
    <definedName name="_Sort" localSheetId="16" hidden="1">[3]Sheet1!$G$40:$K$40</definedName>
    <definedName name="_Sort" hidden="1">[4]Sheet1!$G$40:$K$40</definedName>
    <definedName name="CAfile" localSheetId="0">[5]Refs!$B$2</definedName>
    <definedName name="CAfile">[6]Refs!$B$2</definedName>
    <definedName name="CArevReq" localSheetId="0">[5]Refs!$B$6</definedName>
    <definedName name="CArevReq">[6]Refs!$B$6</definedName>
    <definedName name="ClassRange1" localSheetId="0">[5]Refs!$B$3</definedName>
    <definedName name="ClassRange1">[6]Refs!$B$3</definedName>
    <definedName name="ClassRange2" localSheetId="0">[5]Refs!$B$4</definedName>
    <definedName name="ClassRange2">[6]Refs!$B$4</definedName>
    <definedName name="FolderPath" localSheetId="0">[5]Menu!$C$8</definedName>
    <definedName name="FolderPath">[6]Menu!$C$8</definedName>
    <definedName name="NewRevReq" localSheetId="0">[5]Refs!$B$8</definedName>
    <definedName name="NewRevReq">[6]Refs!$B$8</definedName>
    <definedName name="PAGE11" localSheetId="0">#REF!</definedName>
    <definedName name="PAGE11" localSheetId="6">#REF!</definedName>
    <definedName name="PAGE11" localSheetId="8">#REF!</definedName>
    <definedName name="PAGE11" localSheetId="4">#REF!</definedName>
    <definedName name="PAGE11" localSheetId="16">#REF!</definedName>
    <definedName name="PAGE11">#REF!</definedName>
    <definedName name="PAGE2" localSheetId="13">[1]Sheet1!$A$1:$I$40</definedName>
    <definedName name="PAGE2" localSheetId="0">[2]Sheet1!$A$1:$I$40</definedName>
    <definedName name="PAGE2" localSheetId="16">[3]Sheet1!$A$1:$I$40</definedName>
    <definedName name="PAGE2">[4]Sheet1!$A$1:$I$40</definedName>
    <definedName name="PAGE3" localSheetId="0">#REF!</definedName>
    <definedName name="PAGE3" localSheetId="6">#REF!</definedName>
    <definedName name="PAGE3" localSheetId="8">#REF!</definedName>
    <definedName name="PAGE3" localSheetId="4">#REF!</definedName>
    <definedName name="PAGE3" localSheetId="16">#REF!</definedName>
    <definedName name="PAGE3">#REF!</definedName>
    <definedName name="PAGE4" localSheetId="0">#REF!</definedName>
    <definedName name="PAGE4" localSheetId="6">#REF!</definedName>
    <definedName name="PAGE4" localSheetId="8">#REF!</definedName>
    <definedName name="PAGE4" localSheetId="4">#REF!</definedName>
    <definedName name="PAGE4" localSheetId="16">#REF!</definedName>
    <definedName name="PAGE4">#REF!</definedName>
    <definedName name="PAGE7" localSheetId="0">#REF!</definedName>
    <definedName name="PAGE7" localSheetId="6">#REF!</definedName>
    <definedName name="PAGE7" localSheetId="8">#REF!</definedName>
    <definedName name="PAGE7" localSheetId="4">#REF!</definedName>
    <definedName name="PAGE7" localSheetId="16">#REF!</definedName>
    <definedName name="PAGE7">#REF!</definedName>
    <definedName name="PAGE9" localSheetId="0">#REF!</definedName>
    <definedName name="PAGE9" localSheetId="6">#REF!</definedName>
    <definedName name="PAGE9" localSheetId="8">#REF!</definedName>
    <definedName name="PAGE9" localSheetId="4">#REF!</definedName>
    <definedName name="PAGE9" localSheetId="16">#REF!</definedName>
    <definedName name="PAGE9">#REF!</definedName>
    <definedName name="_xlnm.Print_Area" localSheetId="14">'5. Static CDM Result by Program'!$A$1:$Q$594</definedName>
    <definedName name="_xlnm.Print_Area" localSheetId="5">'GS &lt; 50 kW'!$N$64:$R$87</definedName>
    <definedName name="_xlnm.Print_Area" localSheetId="6">'GS &lt; 50 kW WN'!$N$64:$R$87</definedName>
    <definedName name="_xlnm.Print_Area" localSheetId="9">'GS &gt; 1000  kW'!$N$64:$R$87</definedName>
    <definedName name="_xlnm.Print_Area" localSheetId="7">'GS &gt; 50 kW'!$N$64:$R$87</definedName>
    <definedName name="_xlnm.Print_Area" localSheetId="8">'GS &gt; 50 kW WN'!$N$64:$R$87</definedName>
    <definedName name="_xlnm.Print_Area" localSheetId="2">'Purchased Power Model '!$N$63:$R$86</definedName>
    <definedName name="_xlnm.Print_Area" localSheetId="11">'Rate Class Customer Model'!$A$1:$C$2</definedName>
    <definedName name="_xlnm.Print_Area" localSheetId="10">'Rate Class Energy Model'!$A$1:$I$2</definedName>
    <definedName name="_xlnm.Print_Area" localSheetId="12">'Rate Class Load Model'!$A$1</definedName>
    <definedName name="_xlnm.Print_Area" localSheetId="3">Residential!$N$64:$R$87</definedName>
    <definedName name="_xlnm.Print_Area" localSheetId="4">'Residential WN'!$N$64:$R$87</definedName>
    <definedName name="RevReqLookupKey" localSheetId="0">[5]Refs!$B$5</definedName>
    <definedName name="RevReqLookupKey">[6]Refs!$B$5</definedName>
    <definedName name="RevReqRange" localSheetId="0">[5]Refs!$B$7</definedName>
    <definedName name="RevReqRange">[6]Refs!$B$7</definedName>
  </definedNames>
  <calcPr calcId="145621" iterate="1"/>
</workbook>
</file>

<file path=xl/calcChain.xml><?xml version="1.0" encoding="utf-8"?>
<calcChain xmlns="http://schemas.openxmlformats.org/spreadsheetml/2006/main">
  <c r="BB567" i="35" l="1"/>
  <c r="BB568" i="35"/>
  <c r="BB566" i="35"/>
  <c r="BB565" i="35"/>
  <c r="BB564" i="35"/>
  <c r="BB563" i="35"/>
  <c r="BB562" i="35"/>
  <c r="BB561" i="35"/>
  <c r="BA561" i="35" l="1"/>
  <c r="K57" i="9" l="1"/>
  <c r="P51" i="9" l="1"/>
  <c r="N222" i="35"/>
  <c r="BA79" i="23" l="1"/>
  <c r="BB83" i="23"/>
  <c r="BA72" i="23"/>
  <c r="BA80" i="23"/>
  <c r="BA78" i="23"/>
  <c r="BA77" i="23"/>
  <c r="BA76" i="23"/>
  <c r="BB82" i="23"/>
  <c r="BB79" i="23"/>
  <c r="BB78" i="23"/>
  <c r="BB77" i="23"/>
  <c r="BB76" i="23"/>
  <c r="P597" i="34"/>
  <c r="BA82" i="23" l="1"/>
  <c r="H234" i="35"/>
  <c r="I234" i="35"/>
  <c r="J234" i="35"/>
  <c r="K234" i="35"/>
  <c r="G234" i="35"/>
  <c r="L220" i="35"/>
  <c r="I220" i="35"/>
  <c r="H220" i="35"/>
  <c r="G220" i="35"/>
  <c r="E13" i="17"/>
  <c r="BA83" i="23" l="1"/>
  <c r="BC82" i="23"/>
  <c r="C11" i="18"/>
  <c r="C10" i="18"/>
  <c r="C9" i="18"/>
  <c r="C8" i="18"/>
  <c r="C7" i="18"/>
  <c r="C6" i="18"/>
  <c r="C5" i="18"/>
  <c r="C4" i="18"/>
  <c r="C3" i="18"/>
  <c r="C2" i="18"/>
  <c r="E12" i="17"/>
  <c r="E11" i="17"/>
  <c r="E10" i="17"/>
  <c r="E9" i="17"/>
  <c r="E8" i="17"/>
  <c r="E7" i="17"/>
  <c r="E6" i="17"/>
  <c r="E5" i="17"/>
  <c r="E4" i="17"/>
  <c r="E3" i="17"/>
  <c r="B13" i="17" l="1"/>
  <c r="C13" i="17" l="1"/>
  <c r="I13" i="17" l="1"/>
  <c r="H13" i="17"/>
  <c r="G13" i="17"/>
  <c r="D13" i="17"/>
  <c r="D2" i="23" l="1"/>
  <c r="E2" i="23"/>
  <c r="J2" i="23"/>
  <c r="K2" i="23" s="1"/>
  <c r="P2" i="23"/>
  <c r="Q2" i="23"/>
  <c r="V2" i="23"/>
  <c r="W2" i="23" s="1"/>
  <c r="AB2" i="23"/>
  <c r="AC2" i="23"/>
  <c r="AR3" i="23"/>
  <c r="AS3" i="23"/>
  <c r="AT3" i="23"/>
  <c r="AU3" i="23"/>
  <c r="AV3" i="23"/>
  <c r="AW3" i="23"/>
  <c r="AX3" i="23"/>
  <c r="AY3" i="23"/>
  <c r="AZ3" i="23"/>
  <c r="BA3" i="23"/>
  <c r="BB3" i="23"/>
  <c r="BC3" i="23"/>
  <c r="BF3" i="23"/>
  <c r="BG3" i="23"/>
  <c r="BM3" i="23"/>
  <c r="BN3" i="23"/>
  <c r="BO3" i="23"/>
  <c r="BP3" i="23"/>
  <c r="BQ3" i="23"/>
  <c r="BR3" i="23"/>
  <c r="BS3" i="23"/>
  <c r="AR4" i="23"/>
  <c r="AS4" i="23"/>
  <c r="AT4" i="23"/>
  <c r="AU4" i="23"/>
  <c r="AV4" i="23"/>
  <c r="AW4" i="23"/>
  <c r="AX4" i="23"/>
  <c r="AY4" i="23"/>
  <c r="AZ4" i="23"/>
  <c r="BA4" i="23"/>
  <c r="BB4" i="23"/>
  <c r="BC4" i="23"/>
  <c r="BF4" i="23"/>
  <c r="BG4" i="23"/>
  <c r="BM4" i="23"/>
  <c r="BN4" i="23"/>
  <c r="BO4" i="23"/>
  <c r="BP4" i="23"/>
  <c r="BQ4" i="23"/>
  <c r="BR4" i="23"/>
  <c r="BS4" i="23"/>
  <c r="AR5" i="23"/>
  <c r="AS5" i="23"/>
  <c r="AT5" i="23"/>
  <c r="AU5" i="23"/>
  <c r="AV5" i="23"/>
  <c r="AW5" i="23"/>
  <c r="AX5" i="23"/>
  <c r="AY5" i="23"/>
  <c r="AZ5" i="23"/>
  <c r="BA5" i="23"/>
  <c r="BB5" i="23"/>
  <c r="BC5" i="23"/>
  <c r="BF5" i="23"/>
  <c r="BG5" i="23"/>
  <c r="BM5" i="23"/>
  <c r="BN5" i="23"/>
  <c r="BO5" i="23"/>
  <c r="BP5" i="23"/>
  <c r="BQ5" i="23"/>
  <c r="BR5" i="23"/>
  <c r="BS5" i="23"/>
  <c r="BS81" i="23" s="1"/>
  <c r="BC54" i="23" s="1"/>
  <c r="AR6" i="23"/>
  <c r="AS6" i="23"/>
  <c r="AT6" i="23"/>
  <c r="AU6" i="23"/>
  <c r="AV6" i="23"/>
  <c r="AW6" i="23"/>
  <c r="AX6" i="23"/>
  <c r="AY6" i="23"/>
  <c r="AZ6" i="23"/>
  <c r="BA6" i="23"/>
  <c r="BB6" i="23"/>
  <c r="BC6" i="23"/>
  <c r="BF6" i="23"/>
  <c r="BG6" i="23"/>
  <c r="BM6" i="23"/>
  <c r="BN6" i="23"/>
  <c r="BO6" i="23"/>
  <c r="BP6" i="23"/>
  <c r="BQ6" i="23"/>
  <c r="BR6" i="23"/>
  <c r="BS6" i="23"/>
  <c r="AR7" i="23"/>
  <c r="AS7" i="23"/>
  <c r="AT7" i="23"/>
  <c r="AU7" i="23"/>
  <c r="AV7" i="23"/>
  <c r="AW7" i="23"/>
  <c r="AX7" i="23"/>
  <c r="AY7" i="23"/>
  <c r="AZ7" i="23"/>
  <c r="BA7" i="23"/>
  <c r="BB7" i="23"/>
  <c r="BC7" i="23"/>
  <c r="BF7" i="23"/>
  <c r="BG7" i="23"/>
  <c r="BM7" i="23"/>
  <c r="BN7" i="23"/>
  <c r="BO7" i="23"/>
  <c r="BP7" i="23"/>
  <c r="BQ7" i="23"/>
  <c r="BR7" i="23"/>
  <c r="BS7" i="23"/>
  <c r="AR8" i="23"/>
  <c r="AS8" i="23"/>
  <c r="AT8" i="23"/>
  <c r="AU8" i="23"/>
  <c r="AV8" i="23"/>
  <c r="AW8" i="23"/>
  <c r="AX8" i="23"/>
  <c r="AY8" i="23"/>
  <c r="AZ8" i="23"/>
  <c r="BA8" i="23"/>
  <c r="BB8" i="23"/>
  <c r="BC8" i="23"/>
  <c r="BF8" i="23"/>
  <c r="BG8" i="23"/>
  <c r="BN8" i="23"/>
  <c r="BO8" i="23"/>
  <c r="BP8" i="23"/>
  <c r="BQ8" i="23"/>
  <c r="BR8" i="23"/>
  <c r="BS8" i="23"/>
  <c r="AR9" i="23"/>
  <c r="AS9" i="23"/>
  <c r="AT9" i="23"/>
  <c r="AU9" i="23"/>
  <c r="AV9" i="23"/>
  <c r="AW9" i="23"/>
  <c r="AX9" i="23"/>
  <c r="AY9" i="23"/>
  <c r="AZ9" i="23"/>
  <c r="BA9" i="23"/>
  <c r="BB9" i="23"/>
  <c r="BC9" i="23"/>
  <c r="BF9" i="23"/>
  <c r="BG9" i="23"/>
  <c r="BN9" i="23"/>
  <c r="BO9" i="23"/>
  <c r="BP9" i="23"/>
  <c r="BQ9" i="23"/>
  <c r="BR9" i="23"/>
  <c r="BS9" i="23"/>
  <c r="AR10" i="23"/>
  <c r="AS10" i="23"/>
  <c r="AT10" i="23"/>
  <c r="AU10" i="23"/>
  <c r="AV10" i="23"/>
  <c r="AW10" i="23"/>
  <c r="AX10" i="23"/>
  <c r="AY10" i="23"/>
  <c r="AZ10" i="23"/>
  <c r="BA10" i="23"/>
  <c r="BB10" i="23"/>
  <c r="BC10" i="23"/>
  <c r="BF10" i="23"/>
  <c r="BG10" i="23"/>
  <c r="BN10" i="23"/>
  <c r="BO10" i="23"/>
  <c r="BP10" i="23"/>
  <c r="BQ10" i="23"/>
  <c r="BR10" i="23"/>
  <c r="BS10" i="23"/>
  <c r="AR11" i="23"/>
  <c r="AS11" i="23"/>
  <c r="AT11" i="23"/>
  <c r="AU11" i="23"/>
  <c r="AV11" i="23"/>
  <c r="AW11" i="23"/>
  <c r="AX11" i="23"/>
  <c r="AY11" i="23"/>
  <c r="AZ11" i="23"/>
  <c r="BA11" i="23"/>
  <c r="BB11" i="23"/>
  <c r="BC11" i="23"/>
  <c r="BF11" i="23"/>
  <c r="BG11" i="23"/>
  <c r="BM11" i="23"/>
  <c r="BN11" i="23"/>
  <c r="BO11" i="23"/>
  <c r="BP11" i="23"/>
  <c r="BQ11" i="23"/>
  <c r="BR11" i="23"/>
  <c r="BS11" i="23"/>
  <c r="AR12" i="23"/>
  <c r="AS12" i="23"/>
  <c r="AT12" i="23"/>
  <c r="AU12" i="23"/>
  <c r="AV12" i="23"/>
  <c r="AW12" i="23"/>
  <c r="AX12" i="23"/>
  <c r="AY12" i="23"/>
  <c r="AZ12" i="23"/>
  <c r="BA12" i="23"/>
  <c r="BB12" i="23"/>
  <c r="BC12" i="23"/>
  <c r="BF12" i="23"/>
  <c r="BG12" i="23"/>
  <c r="BM12" i="23"/>
  <c r="BN12" i="23"/>
  <c r="BU12" i="23" s="1"/>
  <c r="BV12" i="23" s="1"/>
  <c r="BO12" i="23"/>
  <c r="BP12" i="23"/>
  <c r="BQ12" i="23"/>
  <c r="BR12" i="23"/>
  <c r="BS12" i="23"/>
  <c r="AR13" i="23"/>
  <c r="AS13" i="23"/>
  <c r="AT13" i="23"/>
  <c r="AU13" i="23"/>
  <c r="AV13" i="23"/>
  <c r="AW13" i="23"/>
  <c r="AX13" i="23"/>
  <c r="AY13" i="23"/>
  <c r="AZ13" i="23"/>
  <c r="BA13" i="23"/>
  <c r="BB13" i="23"/>
  <c r="BC13" i="23"/>
  <c r="BF13" i="23"/>
  <c r="BG13" i="23"/>
  <c r="BM13" i="23"/>
  <c r="BN13" i="23"/>
  <c r="BO13" i="23"/>
  <c r="BP13" i="23"/>
  <c r="BQ13" i="23"/>
  <c r="BR13" i="23"/>
  <c r="BS13" i="23"/>
  <c r="AH14" i="23"/>
  <c r="AR14" i="23"/>
  <c r="AS14" i="23"/>
  <c r="AT14" i="23"/>
  <c r="AU14" i="23"/>
  <c r="AV14" i="23"/>
  <c r="AW14" i="23"/>
  <c r="AX14" i="23"/>
  <c r="AY14" i="23"/>
  <c r="AZ14" i="23"/>
  <c r="BA14" i="23"/>
  <c r="BB14" i="23"/>
  <c r="BC14" i="23"/>
  <c r="BF14" i="23"/>
  <c r="BG14" i="23"/>
  <c r="BM14" i="23"/>
  <c r="BN14" i="23"/>
  <c r="BO14" i="23"/>
  <c r="BP14" i="23"/>
  <c r="BQ14" i="23"/>
  <c r="BR14" i="23"/>
  <c r="BS14" i="23"/>
  <c r="AR15" i="23"/>
  <c r="AS15" i="23"/>
  <c r="AT15" i="23"/>
  <c r="AU15" i="23"/>
  <c r="AV15" i="23"/>
  <c r="AW15" i="23"/>
  <c r="AX15" i="23"/>
  <c r="AY15" i="23"/>
  <c r="AZ15" i="23"/>
  <c r="BA15" i="23"/>
  <c r="BB15" i="23"/>
  <c r="BC15" i="23"/>
  <c r="BF15" i="23"/>
  <c r="BG15" i="23"/>
  <c r="BM15" i="23"/>
  <c r="AR16" i="23"/>
  <c r="AS16" i="23"/>
  <c r="AT16" i="23"/>
  <c r="AU16" i="23"/>
  <c r="AV16" i="23"/>
  <c r="AW16" i="23"/>
  <c r="AX16" i="23"/>
  <c r="AY16" i="23"/>
  <c r="AZ16" i="23"/>
  <c r="BA16" i="23"/>
  <c r="BB16" i="23"/>
  <c r="BC16" i="23"/>
  <c r="BF16" i="23"/>
  <c r="BG16" i="23"/>
  <c r="BM16" i="23"/>
  <c r="BN16" i="23"/>
  <c r="BO16" i="23"/>
  <c r="BP16" i="23"/>
  <c r="BQ16" i="23"/>
  <c r="BR16" i="23"/>
  <c r="BS16" i="23"/>
  <c r="AR17" i="23"/>
  <c r="AS17" i="23"/>
  <c r="AT17" i="23"/>
  <c r="AU17" i="23"/>
  <c r="AV17" i="23"/>
  <c r="AW17" i="23"/>
  <c r="AX17" i="23"/>
  <c r="AY17" i="23"/>
  <c r="AZ17" i="23"/>
  <c r="BA17" i="23"/>
  <c r="BB17" i="23"/>
  <c r="BC17" i="23"/>
  <c r="BF17" i="23"/>
  <c r="BG17" i="23"/>
  <c r="BM17" i="23"/>
  <c r="BN17" i="23"/>
  <c r="BO17" i="23"/>
  <c r="BP17" i="23"/>
  <c r="BQ17" i="23"/>
  <c r="BR17" i="23"/>
  <c r="BS17" i="23"/>
  <c r="AR18" i="23"/>
  <c r="AS18" i="23"/>
  <c r="AT18" i="23"/>
  <c r="AU18" i="23"/>
  <c r="AV18" i="23"/>
  <c r="AW18" i="23"/>
  <c r="AX18" i="23"/>
  <c r="AY18" i="23"/>
  <c r="AZ18" i="23"/>
  <c r="BA18" i="23"/>
  <c r="BB18" i="23"/>
  <c r="BC18" i="23"/>
  <c r="BF18" i="23"/>
  <c r="BG18" i="23"/>
  <c r="BM18" i="23"/>
  <c r="BN18" i="23"/>
  <c r="BO18" i="23"/>
  <c r="BP18" i="23"/>
  <c r="BQ18" i="23"/>
  <c r="BR18" i="23"/>
  <c r="BS18" i="23"/>
  <c r="AR19" i="23"/>
  <c r="AS19" i="23"/>
  <c r="AT19" i="23"/>
  <c r="AU19" i="23"/>
  <c r="AV19" i="23"/>
  <c r="AW19" i="23"/>
  <c r="AX19" i="23"/>
  <c r="AY19" i="23"/>
  <c r="AZ19" i="23"/>
  <c r="BA19" i="23"/>
  <c r="BB19" i="23"/>
  <c r="BC19" i="23"/>
  <c r="BF19" i="23"/>
  <c r="BG19" i="23"/>
  <c r="BN19" i="23"/>
  <c r="BO19" i="23"/>
  <c r="BP19" i="23"/>
  <c r="BQ19" i="23"/>
  <c r="BR19" i="23"/>
  <c r="BS19" i="23"/>
  <c r="AR20" i="23"/>
  <c r="AS20" i="23"/>
  <c r="AT20" i="23"/>
  <c r="AU20" i="23"/>
  <c r="AV20" i="23"/>
  <c r="AW20" i="23"/>
  <c r="AX20" i="23"/>
  <c r="AY20" i="23"/>
  <c r="AZ20" i="23"/>
  <c r="BA20" i="23"/>
  <c r="BB20" i="23"/>
  <c r="BC20" i="23"/>
  <c r="BF20" i="23"/>
  <c r="BG20" i="23"/>
  <c r="BN20" i="23"/>
  <c r="BO20" i="23"/>
  <c r="BP20" i="23"/>
  <c r="BQ20" i="23"/>
  <c r="BR20" i="23"/>
  <c r="BS20" i="23"/>
  <c r="AR21" i="23"/>
  <c r="AS21" i="23"/>
  <c r="AT21" i="23"/>
  <c r="AU21" i="23"/>
  <c r="AV21" i="23"/>
  <c r="AW21" i="23"/>
  <c r="AX21" i="23"/>
  <c r="AY21" i="23"/>
  <c r="AZ21" i="23"/>
  <c r="BA21" i="23"/>
  <c r="BB21" i="23"/>
  <c r="BC21" i="23"/>
  <c r="BF21" i="23"/>
  <c r="BG21" i="23"/>
  <c r="BN21" i="23"/>
  <c r="BO21" i="23"/>
  <c r="BP21" i="23"/>
  <c r="BQ21" i="23"/>
  <c r="BR21" i="23"/>
  <c r="BS21" i="23"/>
  <c r="AR22" i="23"/>
  <c r="AS22" i="23"/>
  <c r="AT22" i="23"/>
  <c r="AU22" i="23"/>
  <c r="AV22" i="23"/>
  <c r="AW22" i="23"/>
  <c r="AX22" i="23"/>
  <c r="AY22" i="23"/>
  <c r="AZ22" i="23"/>
  <c r="BA22" i="23"/>
  <c r="BB22" i="23"/>
  <c r="BC22" i="23"/>
  <c r="BF22" i="23"/>
  <c r="BG22" i="23"/>
  <c r="BM22" i="23"/>
  <c r="BN22" i="23"/>
  <c r="BO22" i="23"/>
  <c r="BP22" i="23"/>
  <c r="BQ22" i="23"/>
  <c r="BR22" i="23"/>
  <c r="BS22" i="23"/>
  <c r="AR23" i="23"/>
  <c r="AS23" i="23"/>
  <c r="AT23" i="23"/>
  <c r="AU23" i="23"/>
  <c r="AV23" i="23"/>
  <c r="AW23" i="23"/>
  <c r="AX23" i="23"/>
  <c r="AY23" i="23"/>
  <c r="AZ23" i="23"/>
  <c r="BA23" i="23"/>
  <c r="BB23" i="23"/>
  <c r="BC23" i="23"/>
  <c r="BF23" i="23"/>
  <c r="BG23" i="23"/>
  <c r="BM23" i="23"/>
  <c r="BN23" i="23"/>
  <c r="BO23" i="23"/>
  <c r="BP23" i="23"/>
  <c r="BQ23" i="23"/>
  <c r="BR23" i="23"/>
  <c r="BS23" i="23"/>
  <c r="AR24" i="23"/>
  <c r="AS24" i="23"/>
  <c r="AT24" i="23"/>
  <c r="AU24" i="23"/>
  <c r="AV24" i="23"/>
  <c r="AW24" i="23"/>
  <c r="AX24" i="23"/>
  <c r="AY24" i="23"/>
  <c r="AZ24" i="23"/>
  <c r="BA24" i="23"/>
  <c r="BB24" i="23"/>
  <c r="BC24" i="23"/>
  <c r="BF24" i="23"/>
  <c r="BG24" i="23"/>
  <c r="BN24" i="23"/>
  <c r="BO24" i="23"/>
  <c r="BP24" i="23"/>
  <c r="BQ24" i="23"/>
  <c r="BR24" i="23"/>
  <c r="BS24" i="23"/>
  <c r="AR25" i="23"/>
  <c r="AS25" i="23"/>
  <c r="AT25" i="23"/>
  <c r="AU25" i="23"/>
  <c r="AV25" i="23"/>
  <c r="AW25" i="23"/>
  <c r="AX25" i="23"/>
  <c r="AY25" i="23"/>
  <c r="AZ25" i="23"/>
  <c r="BA25" i="23"/>
  <c r="BB25" i="23"/>
  <c r="BC25" i="23"/>
  <c r="BF25" i="23"/>
  <c r="BG25" i="23"/>
  <c r="BN25" i="23"/>
  <c r="BO25" i="23"/>
  <c r="BP25" i="23"/>
  <c r="BQ25" i="23"/>
  <c r="BR25" i="23"/>
  <c r="BS25" i="23"/>
  <c r="AR26" i="23"/>
  <c r="AS26" i="23"/>
  <c r="AT26" i="23"/>
  <c r="AU26" i="23"/>
  <c r="AV26" i="23"/>
  <c r="AW26" i="23"/>
  <c r="AX26" i="23"/>
  <c r="AY26" i="23"/>
  <c r="AZ26" i="23"/>
  <c r="BA26" i="23"/>
  <c r="BB26" i="23"/>
  <c r="BC26" i="23"/>
  <c r="BF26" i="23"/>
  <c r="BG26" i="23"/>
  <c r="BN26" i="23"/>
  <c r="BO26" i="23"/>
  <c r="BP26" i="23"/>
  <c r="BQ26" i="23"/>
  <c r="BR26" i="23"/>
  <c r="BS26" i="23"/>
  <c r="AR27" i="23"/>
  <c r="AS27" i="23"/>
  <c r="AT27" i="23"/>
  <c r="AU27" i="23"/>
  <c r="AV27" i="23"/>
  <c r="AW27" i="23"/>
  <c r="AX27" i="23"/>
  <c r="AY27" i="23"/>
  <c r="AZ27" i="23"/>
  <c r="BA27" i="23"/>
  <c r="BB27" i="23"/>
  <c r="BC27" i="23"/>
  <c r="BF27" i="23"/>
  <c r="BG27" i="23"/>
  <c r="BN27" i="23"/>
  <c r="BO27" i="23"/>
  <c r="BP27" i="23"/>
  <c r="BQ27" i="23"/>
  <c r="BR27" i="23"/>
  <c r="BS27" i="23"/>
  <c r="AR28" i="23"/>
  <c r="AS28" i="23"/>
  <c r="AT28" i="23"/>
  <c r="AU28" i="23"/>
  <c r="AV28" i="23"/>
  <c r="AW28" i="23"/>
  <c r="AX28" i="23"/>
  <c r="AY28" i="23"/>
  <c r="AZ28" i="23"/>
  <c r="BA28" i="23"/>
  <c r="BB28" i="23"/>
  <c r="BC28" i="23"/>
  <c r="BF28" i="23"/>
  <c r="BG28" i="23"/>
  <c r="BN28" i="23"/>
  <c r="BO28" i="23"/>
  <c r="BP28" i="23"/>
  <c r="BQ28" i="23"/>
  <c r="BR28" i="23"/>
  <c r="BS28" i="23"/>
  <c r="AR29" i="23"/>
  <c r="AS29" i="23"/>
  <c r="AT29" i="23"/>
  <c r="AU29" i="23"/>
  <c r="AV29" i="23"/>
  <c r="AW29" i="23"/>
  <c r="AX29" i="23"/>
  <c r="AY29" i="23"/>
  <c r="AZ29" i="23"/>
  <c r="BA29" i="23"/>
  <c r="BB29" i="23"/>
  <c r="BC29" i="23"/>
  <c r="BF29" i="23"/>
  <c r="BG29" i="23"/>
  <c r="BO29" i="23"/>
  <c r="BP29" i="23"/>
  <c r="BQ29" i="23"/>
  <c r="BR29" i="23"/>
  <c r="BS29" i="23"/>
  <c r="AR30" i="23"/>
  <c r="AS30" i="23"/>
  <c r="AT30" i="23"/>
  <c r="AU30" i="23"/>
  <c r="AV30" i="23"/>
  <c r="AW30" i="23"/>
  <c r="AX30" i="23"/>
  <c r="AY30" i="23"/>
  <c r="AZ30" i="23"/>
  <c r="BA30" i="23"/>
  <c r="BB30" i="23"/>
  <c r="BC30" i="23"/>
  <c r="BF30" i="23"/>
  <c r="BG30" i="23"/>
  <c r="BO30" i="23"/>
  <c r="BP30" i="23"/>
  <c r="BQ30" i="23"/>
  <c r="BR30" i="23"/>
  <c r="BS30" i="23"/>
  <c r="AR31" i="23"/>
  <c r="AS31" i="23"/>
  <c r="AT31" i="23"/>
  <c r="AU31" i="23"/>
  <c r="AV31" i="23"/>
  <c r="AW31" i="23"/>
  <c r="AX31" i="23"/>
  <c r="AY31" i="23"/>
  <c r="AZ31" i="23"/>
  <c r="BA31" i="23"/>
  <c r="BB31" i="23"/>
  <c r="BC31" i="23"/>
  <c r="BF31" i="23"/>
  <c r="BG31" i="23"/>
  <c r="BN31" i="23"/>
  <c r="BO31" i="23"/>
  <c r="BP31" i="23"/>
  <c r="BQ31" i="23"/>
  <c r="BR31" i="23"/>
  <c r="BS31" i="23"/>
  <c r="AR32" i="23"/>
  <c r="AS32" i="23"/>
  <c r="AT32" i="23"/>
  <c r="AU32" i="23"/>
  <c r="AV32" i="23"/>
  <c r="AW32" i="23"/>
  <c r="AX32" i="23"/>
  <c r="AY32" i="23"/>
  <c r="AZ32" i="23"/>
  <c r="BA32" i="23"/>
  <c r="BB32" i="23"/>
  <c r="BC32" i="23"/>
  <c r="BF32" i="23"/>
  <c r="BG32" i="23"/>
  <c r="BN32" i="23"/>
  <c r="BO32" i="23"/>
  <c r="BP32" i="23"/>
  <c r="BQ32" i="23"/>
  <c r="BR32" i="23"/>
  <c r="BS32" i="23"/>
  <c r="AR33" i="23"/>
  <c r="AS33" i="23"/>
  <c r="AT33" i="23"/>
  <c r="AU33" i="23"/>
  <c r="AV33" i="23"/>
  <c r="AW33" i="23"/>
  <c r="AX33" i="23"/>
  <c r="AY33" i="23"/>
  <c r="AZ33" i="23"/>
  <c r="BA33" i="23"/>
  <c r="BB33" i="23"/>
  <c r="BC33" i="23"/>
  <c r="BF33" i="23"/>
  <c r="BG33" i="23"/>
  <c r="BN33" i="23"/>
  <c r="BU33" i="23"/>
  <c r="BV33" i="23" s="1"/>
  <c r="AR34" i="23"/>
  <c r="AS34" i="23"/>
  <c r="AT34" i="23"/>
  <c r="AU34" i="23"/>
  <c r="AV34" i="23"/>
  <c r="AW34" i="23"/>
  <c r="AX34" i="23"/>
  <c r="AY34" i="23"/>
  <c r="AZ34" i="23"/>
  <c r="BA34" i="23"/>
  <c r="BB34" i="23"/>
  <c r="BC34" i="23"/>
  <c r="BF34" i="23"/>
  <c r="BG34" i="23"/>
  <c r="BN34" i="23"/>
  <c r="BO34" i="23"/>
  <c r="BP34" i="23"/>
  <c r="BQ34" i="23"/>
  <c r="BR34" i="23"/>
  <c r="BS34" i="23"/>
  <c r="BU34" i="23"/>
  <c r="BV34" i="23" s="1"/>
  <c r="AR35" i="23"/>
  <c r="AS35" i="23"/>
  <c r="AT35" i="23"/>
  <c r="AU35" i="23"/>
  <c r="AV35" i="23"/>
  <c r="AW35" i="23"/>
  <c r="AX35" i="23"/>
  <c r="AY35" i="23"/>
  <c r="AZ35" i="23"/>
  <c r="BA35" i="23"/>
  <c r="BB35" i="23"/>
  <c r="BC35" i="23"/>
  <c r="BF35" i="23"/>
  <c r="BG35" i="23"/>
  <c r="BN35" i="23"/>
  <c r="BO35" i="23"/>
  <c r="BP35" i="23"/>
  <c r="BQ35" i="23"/>
  <c r="BR35" i="23"/>
  <c r="BS35" i="23"/>
  <c r="AR36" i="23"/>
  <c r="AS36" i="23"/>
  <c r="AT36" i="23"/>
  <c r="AU36" i="23"/>
  <c r="AV36" i="23"/>
  <c r="AW36" i="23"/>
  <c r="AX36" i="23"/>
  <c r="AY36" i="23"/>
  <c r="AZ36" i="23"/>
  <c r="BA36" i="23"/>
  <c r="BB36" i="23"/>
  <c r="BC36" i="23"/>
  <c r="BF36" i="23"/>
  <c r="BG36" i="23"/>
  <c r="BO36" i="23"/>
  <c r="BP36" i="23"/>
  <c r="BQ36" i="23"/>
  <c r="BR36" i="23"/>
  <c r="BS36" i="23"/>
  <c r="AR37" i="23"/>
  <c r="AS37" i="23"/>
  <c r="AT37" i="23"/>
  <c r="AU37" i="23"/>
  <c r="AV37" i="23"/>
  <c r="AW37" i="23"/>
  <c r="AX37" i="23"/>
  <c r="AY37" i="23"/>
  <c r="AZ37" i="23"/>
  <c r="BA37" i="23"/>
  <c r="BB37" i="23"/>
  <c r="BC37" i="23"/>
  <c r="BF37" i="23"/>
  <c r="BG37" i="23"/>
  <c r="BO37" i="23"/>
  <c r="BP37" i="23"/>
  <c r="BQ37" i="23"/>
  <c r="BR37" i="23"/>
  <c r="BS37" i="23"/>
  <c r="BF38" i="23"/>
  <c r="BG38" i="23"/>
  <c r="BF39" i="23"/>
  <c r="BG39" i="23"/>
  <c r="BN39" i="23"/>
  <c r="BO39" i="23"/>
  <c r="BP39" i="23"/>
  <c r="BQ39" i="23"/>
  <c r="BR39" i="23"/>
  <c r="BS39" i="23"/>
  <c r="AR40" i="23"/>
  <c r="AS40" i="23"/>
  <c r="AT40" i="23"/>
  <c r="AU40" i="23"/>
  <c r="AV40" i="23"/>
  <c r="AW40" i="23"/>
  <c r="AX40" i="23"/>
  <c r="AY40" i="23"/>
  <c r="AZ40" i="23"/>
  <c r="BA40" i="23"/>
  <c r="BB40" i="23"/>
  <c r="BC40" i="23"/>
  <c r="BF40" i="23"/>
  <c r="BG40" i="23"/>
  <c r="BN40" i="23"/>
  <c r="BO40" i="23"/>
  <c r="BP40" i="23"/>
  <c r="BQ40" i="23"/>
  <c r="BR40" i="23"/>
  <c r="BS40" i="23"/>
  <c r="BF41" i="23"/>
  <c r="BG41" i="23"/>
  <c r="BO41" i="23"/>
  <c r="BP41" i="23"/>
  <c r="BQ41" i="23"/>
  <c r="BR41" i="23"/>
  <c r="BS41" i="23"/>
  <c r="BF42" i="23"/>
  <c r="BG42" i="23"/>
  <c r="BO42" i="23"/>
  <c r="BP42" i="23"/>
  <c r="BQ42" i="23"/>
  <c r="BR42" i="23"/>
  <c r="BS42" i="23"/>
  <c r="BF43" i="23"/>
  <c r="BG43" i="23"/>
  <c r="BO43" i="23"/>
  <c r="BP43" i="23"/>
  <c r="BQ43" i="23"/>
  <c r="BR43" i="23"/>
  <c r="BS43" i="23"/>
  <c r="BF44" i="23"/>
  <c r="BG44" i="23"/>
  <c r="BO44" i="23"/>
  <c r="BP44" i="23"/>
  <c r="BQ44" i="23"/>
  <c r="BR44" i="23"/>
  <c r="BS44" i="23"/>
  <c r="BF45" i="23"/>
  <c r="BG45" i="23"/>
  <c r="BO45" i="23"/>
  <c r="BP45" i="23"/>
  <c r="BQ45" i="23"/>
  <c r="BR45" i="23"/>
  <c r="BS45" i="23"/>
  <c r="BF46" i="23"/>
  <c r="BG46" i="23"/>
  <c r="BO46" i="23"/>
  <c r="BF47" i="23"/>
  <c r="BG47" i="23"/>
  <c r="BP47" i="23"/>
  <c r="BQ47" i="23"/>
  <c r="BR47" i="23"/>
  <c r="BS47" i="23"/>
  <c r="BF48" i="23"/>
  <c r="BG48" i="23"/>
  <c r="BP48" i="23"/>
  <c r="BQ48" i="23"/>
  <c r="BR48" i="23"/>
  <c r="BS48" i="23"/>
  <c r="BF49" i="23"/>
  <c r="BG49" i="23"/>
  <c r="BP49" i="23"/>
  <c r="BQ49" i="23"/>
  <c r="BR49" i="23"/>
  <c r="BS49" i="23"/>
  <c r="BF50" i="23"/>
  <c r="BG50" i="23"/>
  <c r="BO50" i="23"/>
  <c r="BP50" i="23"/>
  <c r="BQ50" i="23"/>
  <c r="BR50" i="23"/>
  <c r="BS50" i="23"/>
  <c r="AP51" i="23"/>
  <c r="AQ51" i="23"/>
  <c r="AQ57" i="23" s="1"/>
  <c r="BF51" i="23"/>
  <c r="BG51" i="23"/>
  <c r="BO51" i="23"/>
  <c r="BU51" i="23"/>
  <c r="BV51" i="23" s="1"/>
  <c r="AP52" i="23"/>
  <c r="AQ52" i="23"/>
  <c r="AQ58" i="23" s="1"/>
  <c r="BF52" i="23"/>
  <c r="BG52" i="23"/>
  <c r="BO52" i="23"/>
  <c r="BP52" i="23"/>
  <c r="BQ52" i="23"/>
  <c r="BR52" i="23"/>
  <c r="BS52" i="23"/>
  <c r="BU52" i="23"/>
  <c r="BV52" i="23"/>
  <c r="AP53" i="23"/>
  <c r="AQ53" i="23"/>
  <c r="BF53" i="23"/>
  <c r="BG53" i="23"/>
  <c r="BO53" i="23"/>
  <c r="BQ53" i="23"/>
  <c r="BR53" i="23"/>
  <c r="BS53" i="23"/>
  <c r="AP54" i="23"/>
  <c r="AQ54" i="23"/>
  <c r="AQ60" i="23" s="1"/>
  <c r="AQ67" i="23" s="1"/>
  <c r="BF54" i="23"/>
  <c r="BG54" i="23"/>
  <c r="BO54" i="23"/>
  <c r="BP54" i="23"/>
  <c r="BQ54" i="23"/>
  <c r="BR54" i="23"/>
  <c r="BS54" i="23"/>
  <c r="BF55" i="23"/>
  <c r="BG55" i="23"/>
  <c r="BO55" i="23"/>
  <c r="BP55" i="23"/>
  <c r="BQ55" i="23"/>
  <c r="BR55" i="23"/>
  <c r="BS55" i="23"/>
  <c r="BF56" i="23"/>
  <c r="BG56" i="23"/>
  <c r="BP56" i="23"/>
  <c r="BQ56" i="23"/>
  <c r="BR56" i="23"/>
  <c r="BS56" i="23"/>
  <c r="BF57" i="23"/>
  <c r="BG57" i="23"/>
  <c r="BP57" i="23"/>
  <c r="BQ57" i="23"/>
  <c r="BR57" i="23"/>
  <c r="BS57" i="23"/>
  <c r="BF58" i="23"/>
  <c r="BG58" i="23"/>
  <c r="BP58" i="23"/>
  <c r="BQ58" i="23"/>
  <c r="BR58" i="23"/>
  <c r="BS58" i="23"/>
  <c r="AQ59" i="23"/>
  <c r="AQ66" i="23" s="1"/>
  <c r="BF59" i="23"/>
  <c r="BG59" i="23"/>
  <c r="BF60" i="23"/>
  <c r="BG60" i="23"/>
  <c r="BO60" i="23"/>
  <c r="BP60" i="23"/>
  <c r="BQ60" i="23"/>
  <c r="BR60" i="23"/>
  <c r="BS60" i="23"/>
  <c r="BF61" i="23"/>
  <c r="BG61" i="23"/>
  <c r="BO61" i="23"/>
  <c r="BP61" i="23"/>
  <c r="BQ61" i="23"/>
  <c r="BR61" i="23"/>
  <c r="BS61" i="23"/>
  <c r="BU61" i="23"/>
  <c r="BV61" i="23" s="1"/>
  <c r="BF62" i="23"/>
  <c r="BG62" i="23"/>
  <c r="BF63" i="23"/>
  <c r="BG63" i="23"/>
  <c r="AQ64" i="23"/>
  <c r="BF64" i="23"/>
  <c r="BG64" i="23"/>
  <c r="AQ65" i="23"/>
  <c r="BF65" i="23"/>
  <c r="BG65" i="23"/>
  <c r="BQ65" i="23"/>
  <c r="BR65" i="23"/>
  <c r="BS65" i="23"/>
  <c r="BF66" i="23"/>
  <c r="BG66" i="23"/>
  <c r="BQ66" i="23"/>
  <c r="BR66" i="23"/>
  <c r="BS66" i="23"/>
  <c r="BU66" i="23"/>
  <c r="BV66" i="23" s="1"/>
  <c r="BF67" i="23"/>
  <c r="BG67" i="23"/>
  <c r="AQ68" i="23"/>
  <c r="AR68" i="23"/>
  <c r="AS68" i="23"/>
  <c r="AT68" i="23"/>
  <c r="AU68" i="23"/>
  <c r="AV68" i="23"/>
  <c r="AW68" i="23"/>
  <c r="AX68" i="23"/>
  <c r="AY68" i="23"/>
  <c r="AZ68" i="23"/>
  <c r="BA68" i="23"/>
  <c r="BB68" i="23"/>
  <c r="BC68" i="23"/>
  <c r="BF68" i="23"/>
  <c r="BG68" i="23"/>
  <c r="BF69" i="23"/>
  <c r="BG69" i="23"/>
  <c r="BF70" i="23"/>
  <c r="BF71" i="23"/>
  <c r="BG71" i="23"/>
  <c r="BF72" i="23"/>
  <c r="BG72" i="23"/>
  <c r="BU72" i="23"/>
  <c r="BF73" i="23"/>
  <c r="BG73" i="23"/>
  <c r="BU73" i="23"/>
  <c r="BV73" i="23"/>
  <c r="BF74" i="23"/>
  <c r="BG74" i="23"/>
  <c r="BU74" i="23"/>
  <c r="BV74" i="23"/>
  <c r="BF75" i="23"/>
  <c r="BG75" i="23"/>
  <c r="BU75" i="23"/>
  <c r="BV75" i="23" s="1"/>
  <c r="BP84" i="23"/>
  <c r="BC48" i="23" l="1"/>
  <c r="BA45" i="23"/>
  <c r="BQ81" i="23"/>
  <c r="BA54" i="23" s="1"/>
  <c r="BC47" i="23"/>
  <c r="AU47" i="23"/>
  <c r="AU66" i="23" s="1"/>
  <c r="U6" i="23" s="1"/>
  <c r="AS46" i="23"/>
  <c r="AS65" i="23" s="1"/>
  <c r="O4" i="23" s="1"/>
  <c r="BS84" i="23"/>
  <c r="BU35" i="23"/>
  <c r="BV35" i="23" s="1"/>
  <c r="BU14" i="23"/>
  <c r="BV14" i="23" s="1"/>
  <c r="AU48" i="23"/>
  <c r="AU67" i="23" s="1"/>
  <c r="AA6" i="23" s="1"/>
  <c r="BQ84" i="23"/>
  <c r="BR79" i="23"/>
  <c r="BB52" i="23" s="1"/>
  <c r="AT47" i="23"/>
  <c r="AT66" i="23" s="1"/>
  <c r="U5" i="23" s="1"/>
  <c r="BU18" i="23"/>
  <c r="BV18" i="23" s="1"/>
  <c r="BR84" i="23"/>
  <c r="BU60" i="23"/>
  <c r="BV60" i="23" s="1"/>
  <c r="BU46" i="23"/>
  <c r="BV46" i="23" s="1"/>
  <c r="BQ79" i="23"/>
  <c r="BA52" i="23" s="1"/>
  <c r="AT48" i="23"/>
  <c r="AT67" i="23" s="1"/>
  <c r="AA5" i="23" s="1"/>
  <c r="BU28" i="23"/>
  <c r="AT39" i="23"/>
  <c r="AT41" i="23" s="1"/>
  <c r="BA46" i="23"/>
  <c r="AW39" i="23"/>
  <c r="AW41" i="23" s="1"/>
  <c r="AW46" i="23"/>
  <c r="AW45" i="23"/>
  <c r="BC67" i="23"/>
  <c r="AA14" i="23" s="1"/>
  <c r="BQ80" i="23"/>
  <c r="BA53" i="23" s="1"/>
  <c r="BB47" i="23"/>
  <c r="BB48" i="23"/>
  <c r="BS79" i="23"/>
  <c r="BC52" i="23" s="1"/>
  <c r="BS76" i="23"/>
  <c r="BS78" i="23"/>
  <c r="BS80" i="23"/>
  <c r="BC53" i="23" s="1"/>
  <c r="AZ39" i="23"/>
  <c r="AZ41" i="23" s="1"/>
  <c r="AZ47" i="23"/>
  <c r="AZ48" i="23"/>
  <c r="AZ46" i="23"/>
  <c r="AV39" i="23"/>
  <c r="AV41" i="23" s="1"/>
  <c r="AV47" i="23"/>
  <c r="AV66" i="23" s="1"/>
  <c r="U7" i="23" s="1"/>
  <c r="AV48" i="23"/>
  <c r="AV67" i="23" s="1"/>
  <c r="AA7" i="23" s="1"/>
  <c r="AV45" i="23"/>
  <c r="AR39" i="23"/>
  <c r="AR41" i="23" s="1"/>
  <c r="AR47" i="23"/>
  <c r="AR66" i="23" s="1"/>
  <c r="U3" i="23" s="1"/>
  <c r="AR48" i="23"/>
  <c r="AR67" i="23" s="1"/>
  <c r="AA3" i="23" s="1"/>
  <c r="AR46" i="23"/>
  <c r="AR65" i="23" s="1"/>
  <c r="O3" i="23" s="1"/>
  <c r="AZ45" i="23"/>
  <c r="BR76" i="23"/>
  <c r="BR78" i="23"/>
  <c r="BR80" i="23"/>
  <c r="BB53" i="23" s="1"/>
  <c r="BR81" i="23"/>
  <c r="BB54" i="23" s="1"/>
  <c r="BC39" i="23"/>
  <c r="BC41" i="23" s="1"/>
  <c r="BC45" i="23"/>
  <c r="BC46" i="23"/>
  <c r="BC65" i="23" s="1"/>
  <c r="O14" i="23" s="1"/>
  <c r="AY39" i="23"/>
  <c r="AY41" i="23" s="1"/>
  <c r="AY45" i="23"/>
  <c r="AY46" i="23"/>
  <c r="AY47" i="23"/>
  <c r="AY48" i="23"/>
  <c r="AU39" i="23"/>
  <c r="AU41" i="23" s="1"/>
  <c r="AU45" i="23"/>
  <c r="AU46" i="23"/>
  <c r="AU65" i="23" s="1"/>
  <c r="O6" i="23" s="1"/>
  <c r="AV46" i="23"/>
  <c r="AV65" i="23" s="1"/>
  <c r="O7" i="23" s="1"/>
  <c r="AR45" i="23"/>
  <c r="BB39" i="23"/>
  <c r="BB41" i="23" s="1"/>
  <c r="AX47" i="23"/>
  <c r="AX48" i="23"/>
  <c r="BU55" i="23"/>
  <c r="BV55" i="23" s="1"/>
  <c r="BP76" i="23"/>
  <c r="BP78" i="23"/>
  <c r="BP79" i="23"/>
  <c r="AZ52" i="23" s="1"/>
  <c r="BP80" i="23"/>
  <c r="AZ53" i="23" s="1"/>
  <c r="BP81" i="23"/>
  <c r="AZ54" i="23" s="1"/>
  <c r="BA39" i="23"/>
  <c r="BA41" i="23" s="1"/>
  <c r="BA47" i="23"/>
  <c r="BA48" i="23"/>
  <c r="BA67" i="23" s="1"/>
  <c r="AA12" i="23" s="1"/>
  <c r="AW47" i="23"/>
  <c r="AW48" i="23"/>
  <c r="AS39" i="23"/>
  <c r="AS41" i="23" s="1"/>
  <c r="AS47" i="23"/>
  <c r="AS66" i="23" s="1"/>
  <c r="U4" i="23" s="1"/>
  <c r="AS48" i="23"/>
  <c r="AS67" i="23" s="1"/>
  <c r="AA4" i="23" s="1"/>
  <c r="AS45" i="23"/>
  <c r="BW75" i="23"/>
  <c r="BQ76" i="23"/>
  <c r="BQ78" i="23"/>
  <c r="BB45" i="23"/>
  <c r="BB46" i="23"/>
  <c r="AX39" i="23"/>
  <c r="AX41" i="23" s="1"/>
  <c r="AX45" i="23"/>
  <c r="AX46" i="23"/>
  <c r="AT45" i="23"/>
  <c r="AT46" i="23"/>
  <c r="AT65" i="23" s="1"/>
  <c r="O5" i="23" s="1"/>
  <c r="BU40" i="23"/>
  <c r="BV40" i="23" s="1"/>
  <c r="BU7" i="23"/>
  <c r="P53" i="9"/>
  <c r="P52" i="9"/>
  <c r="BB65" i="23" l="1"/>
  <c r="O13" i="23" s="1"/>
  <c r="BA66" i="23"/>
  <c r="U12" i="23" s="1"/>
  <c r="BC66" i="23"/>
  <c r="U14" i="23" s="1"/>
  <c r="BB67" i="23"/>
  <c r="AA13" i="23" s="1"/>
  <c r="BA65" i="23"/>
  <c r="O12" i="23" s="1"/>
  <c r="AZ66" i="23"/>
  <c r="U11" i="23" s="1"/>
  <c r="AT64" i="23"/>
  <c r="AT49" i="23"/>
  <c r="AS49" i="23"/>
  <c r="AS64" i="23"/>
  <c r="BB51" i="23"/>
  <c r="BB55" i="23" s="1"/>
  <c r="BR82" i="23"/>
  <c r="AW49" i="23"/>
  <c r="BA51" i="23"/>
  <c r="BQ82" i="23"/>
  <c r="AX49" i="23"/>
  <c r="AU49" i="23"/>
  <c r="AU64" i="23"/>
  <c r="BC49" i="23"/>
  <c r="AZ49" i="23"/>
  <c r="AB3" i="23"/>
  <c r="AC3" i="23" s="1"/>
  <c r="AA19" i="23" s="1"/>
  <c r="AZ67" i="23"/>
  <c r="AA11" i="23" s="1"/>
  <c r="AY49" i="23"/>
  <c r="V3" i="23"/>
  <c r="W3" i="23" s="1"/>
  <c r="U19" i="23" s="1"/>
  <c r="BC51" i="23"/>
  <c r="BC55" i="23" s="1"/>
  <c r="BS82" i="23"/>
  <c r="BA49" i="23"/>
  <c r="BV7" i="23"/>
  <c r="BP82" i="23"/>
  <c r="BP83" i="23" s="1"/>
  <c r="AZ51" i="23"/>
  <c r="AZ55" i="23" s="1"/>
  <c r="BB49" i="23"/>
  <c r="BP86" i="23"/>
  <c r="BP87" i="23" s="1"/>
  <c r="AR49" i="23"/>
  <c r="AR64" i="23"/>
  <c r="P3" i="23"/>
  <c r="Q3" i="23" s="1"/>
  <c r="O19" i="23" s="1"/>
  <c r="AV49" i="23"/>
  <c r="AV64" i="23"/>
  <c r="AZ65" i="23"/>
  <c r="O11" i="23" s="1"/>
  <c r="BB66" i="23"/>
  <c r="U13" i="23" s="1"/>
  <c r="BV28" i="23"/>
  <c r="K523" i="34"/>
  <c r="N523" i="34"/>
  <c r="I6" i="23" l="1"/>
  <c r="AU69" i="23"/>
  <c r="C6" i="23" s="1"/>
  <c r="O20" i="23"/>
  <c r="O21" i="23" s="1"/>
  <c r="O22" i="23" s="1"/>
  <c r="O23" i="23" s="1"/>
  <c r="O24" i="23" s="1"/>
  <c r="O25" i="23" s="1"/>
  <c r="O26" i="23" s="1"/>
  <c r="O27" i="23" s="1"/>
  <c r="O28" i="23" s="1"/>
  <c r="O29" i="23" s="1"/>
  <c r="O30" i="23" s="1"/>
  <c r="AA20" i="23"/>
  <c r="AA21" i="23" s="1"/>
  <c r="AA22" i="23" s="1"/>
  <c r="AA23" i="23" s="1"/>
  <c r="AA24" i="23" s="1"/>
  <c r="AA25" i="23" s="1"/>
  <c r="AA26" i="23" s="1"/>
  <c r="AA27" i="23" s="1"/>
  <c r="AA28" i="23" s="1"/>
  <c r="AA29" i="23" s="1"/>
  <c r="AA30" i="23" s="1"/>
  <c r="I7" i="23"/>
  <c r="AV69" i="23"/>
  <c r="C7" i="23" s="1"/>
  <c r="U20" i="23"/>
  <c r="U21" i="23" s="1"/>
  <c r="U22" i="23" s="1"/>
  <c r="U23" i="23" s="1"/>
  <c r="U24" i="23" s="1"/>
  <c r="U25" i="23" s="1"/>
  <c r="U26" i="23" s="1"/>
  <c r="U27" i="23" s="1"/>
  <c r="U28" i="23" s="1"/>
  <c r="U29" i="23" s="1"/>
  <c r="U30" i="23" s="1"/>
  <c r="BA55" i="23"/>
  <c r="BA64" i="23"/>
  <c r="I4" i="23"/>
  <c r="AS69" i="23"/>
  <c r="C4" i="23" s="1"/>
  <c r="BC64" i="23"/>
  <c r="I3" i="23"/>
  <c r="AR69" i="23"/>
  <c r="C3" i="23" s="1"/>
  <c r="BB64" i="23"/>
  <c r="AZ64" i="23"/>
  <c r="I5" i="23"/>
  <c r="AT69" i="23"/>
  <c r="C5" i="23" s="1"/>
  <c r="AK456" i="35"/>
  <c r="AR70" i="23" l="1"/>
  <c r="P30" i="23"/>
  <c r="R3" i="23" s="1"/>
  <c r="S3" i="23" s="1"/>
  <c r="AB30" i="23"/>
  <c r="AD3" i="23" s="1"/>
  <c r="AE3" i="23" s="1"/>
  <c r="I13" i="23"/>
  <c r="BB69" i="23"/>
  <c r="I12" i="23"/>
  <c r="BA69" i="23"/>
  <c r="C12" i="23" s="1"/>
  <c r="I14" i="23"/>
  <c r="BC69" i="23"/>
  <c r="I11" i="23"/>
  <c r="AZ69" i="23"/>
  <c r="AU70" i="23"/>
  <c r="AS70" i="23"/>
  <c r="AV70" i="23"/>
  <c r="AT70" i="23"/>
  <c r="V30" i="23"/>
  <c r="X3" i="23" s="1"/>
  <c r="Y3" i="23" s="1"/>
  <c r="AC30" i="23"/>
  <c r="AB4" i="23" s="1"/>
  <c r="AC4" i="23" s="1"/>
  <c r="AA31" i="23"/>
  <c r="Q30" i="23"/>
  <c r="P4" i="23" s="1"/>
  <c r="Q4" i="23" s="1"/>
  <c r="O31" i="23" s="1"/>
  <c r="W30" i="23"/>
  <c r="V4" i="23" s="1"/>
  <c r="W4" i="23" s="1"/>
  <c r="U31" i="23" s="1"/>
  <c r="D3" i="23"/>
  <c r="E3" i="23" s="1"/>
  <c r="C19" i="23" s="1"/>
  <c r="J3" i="23"/>
  <c r="K3" i="23" s="1"/>
  <c r="I19" i="23" s="1"/>
  <c r="BA436" i="35"/>
  <c r="AE451" i="35" s="1"/>
  <c r="BA70" i="23" l="1"/>
  <c r="U32" i="23"/>
  <c r="U33" i="23" s="1"/>
  <c r="U34" i="23" s="1"/>
  <c r="U35" i="23" s="1"/>
  <c r="U36" i="23" s="1"/>
  <c r="U37" i="23" s="1"/>
  <c r="U38" i="23" s="1"/>
  <c r="U39" i="23" s="1"/>
  <c r="U40" i="23" s="1"/>
  <c r="U41" i="23" s="1"/>
  <c r="U42" i="23" s="1"/>
  <c r="O32" i="23"/>
  <c r="O33" i="23" s="1"/>
  <c r="O34" i="23" s="1"/>
  <c r="O35" i="23" s="1"/>
  <c r="O36" i="23" s="1"/>
  <c r="O37" i="23" s="1"/>
  <c r="O38" i="23" s="1"/>
  <c r="O39" i="23" s="1"/>
  <c r="O40" i="23" s="1"/>
  <c r="O41" i="23" s="1"/>
  <c r="O42" i="23" s="1"/>
  <c r="I20" i="23"/>
  <c r="I21" i="23" s="1"/>
  <c r="I22" i="23" s="1"/>
  <c r="I23" i="23" s="1"/>
  <c r="I24" i="23" s="1"/>
  <c r="I25" i="23" s="1"/>
  <c r="I26" i="23" s="1"/>
  <c r="I27" i="23" s="1"/>
  <c r="I28" i="23" s="1"/>
  <c r="I29" i="23" s="1"/>
  <c r="I30" i="23" s="1"/>
  <c r="AA32" i="23"/>
  <c r="AA33" i="23" s="1"/>
  <c r="AA34" i="23" s="1"/>
  <c r="AA35" i="23" s="1"/>
  <c r="AA36" i="23" s="1"/>
  <c r="AA37" i="23" s="1"/>
  <c r="AA38" i="23" s="1"/>
  <c r="AA39" i="23" s="1"/>
  <c r="AA40" i="23" s="1"/>
  <c r="AA41" i="23" s="1"/>
  <c r="AA42" i="23" s="1"/>
  <c r="AB42" i="23"/>
  <c r="AD4" i="23" s="1"/>
  <c r="AE4" i="23" s="1"/>
  <c r="C20" i="23"/>
  <c r="C21" i="23" s="1"/>
  <c r="C22" i="23" s="1"/>
  <c r="C23" i="23" s="1"/>
  <c r="C24" i="23" s="1"/>
  <c r="C25" i="23" s="1"/>
  <c r="C26" i="23" s="1"/>
  <c r="C27" i="23" s="1"/>
  <c r="C28" i="23" s="1"/>
  <c r="C29" i="23" s="1"/>
  <c r="C30" i="23" s="1"/>
  <c r="C14" i="23"/>
  <c r="BC70" i="23"/>
  <c r="C13" i="23"/>
  <c r="BB70" i="23"/>
  <c r="C11" i="23"/>
  <c r="AZ70" i="23"/>
  <c r="BA379" i="35"/>
  <c r="BA378" i="35"/>
  <c r="J30" i="23" l="1"/>
  <c r="L3" i="23" s="1"/>
  <c r="M3" i="23" s="1"/>
  <c r="D30" i="23"/>
  <c r="F3" i="23" s="1"/>
  <c r="G3" i="23" s="1"/>
  <c r="V42" i="23"/>
  <c r="X4" i="23" s="1"/>
  <c r="Y4" i="23" s="1"/>
  <c r="Q42" i="23"/>
  <c r="P5" i="23" s="1"/>
  <c r="Q5" i="23" s="1"/>
  <c r="O43" i="23" s="1"/>
  <c r="E30" i="23"/>
  <c r="D4" i="23" s="1"/>
  <c r="E4" i="23" s="1"/>
  <c r="C31" i="23" s="1"/>
  <c r="AC42" i="23"/>
  <c r="AB5" i="23" s="1"/>
  <c r="AC5" i="23" s="1"/>
  <c r="AA43" i="23" s="1"/>
  <c r="P42" i="23"/>
  <c r="R4" i="23" s="1"/>
  <c r="S4" i="23" s="1"/>
  <c r="K30" i="23"/>
  <c r="J4" i="23" s="1"/>
  <c r="K4" i="23" s="1"/>
  <c r="I31" i="23" s="1"/>
  <c r="W42" i="23"/>
  <c r="V5" i="23" s="1"/>
  <c r="W5" i="23" s="1"/>
  <c r="U43" i="23" s="1"/>
  <c r="BB440" i="35"/>
  <c r="BB439" i="35"/>
  <c r="BB437" i="35"/>
  <c r="BB436" i="35"/>
  <c r="BB435" i="35"/>
  <c r="BB434" i="35"/>
  <c r="BB378" i="35"/>
  <c r="BB383" i="35"/>
  <c r="BB382" i="35"/>
  <c r="BB380" i="35"/>
  <c r="BB379" i="35"/>
  <c r="BB377" i="35"/>
  <c r="AA44" i="23" l="1"/>
  <c r="AA45" i="23" s="1"/>
  <c r="AA46" i="23" s="1"/>
  <c r="AA47" i="23" s="1"/>
  <c r="AA48" i="23" s="1"/>
  <c r="AA49" i="23" s="1"/>
  <c r="AA50" i="23" s="1"/>
  <c r="AA51" i="23" s="1"/>
  <c r="AA52" i="23" s="1"/>
  <c r="AA53" i="23" s="1"/>
  <c r="AA54" i="23" s="1"/>
  <c r="I32" i="23"/>
  <c r="I33" i="23" s="1"/>
  <c r="I34" i="23" s="1"/>
  <c r="I35" i="23" s="1"/>
  <c r="I36" i="23" s="1"/>
  <c r="I37" i="23" s="1"/>
  <c r="I38" i="23" s="1"/>
  <c r="I39" i="23" s="1"/>
  <c r="I40" i="23" s="1"/>
  <c r="I41" i="23" s="1"/>
  <c r="I42" i="23" s="1"/>
  <c r="J42" i="23"/>
  <c r="L4" i="23" s="1"/>
  <c r="M4" i="23" s="1"/>
  <c r="O44" i="23"/>
  <c r="O45" i="23" s="1"/>
  <c r="O46" i="23" s="1"/>
  <c r="O47" i="23" s="1"/>
  <c r="O48" i="23" s="1"/>
  <c r="O49" i="23" s="1"/>
  <c r="O50" i="23" s="1"/>
  <c r="O51" i="23" s="1"/>
  <c r="O52" i="23" s="1"/>
  <c r="O53" i="23" s="1"/>
  <c r="O54" i="23" s="1"/>
  <c r="C32" i="23"/>
  <c r="C33" i="23" s="1"/>
  <c r="C34" i="23" s="1"/>
  <c r="C35" i="23" s="1"/>
  <c r="C36" i="23" s="1"/>
  <c r="C37" i="23" s="1"/>
  <c r="C38" i="23" s="1"/>
  <c r="C39" i="23" s="1"/>
  <c r="C40" i="23" s="1"/>
  <c r="C41" i="23" s="1"/>
  <c r="C42" i="23" s="1"/>
  <c r="D42" i="23" s="1"/>
  <c r="F4" i="23" s="1"/>
  <c r="G4" i="23" s="1"/>
  <c r="U44" i="23"/>
  <c r="U45" i="23" s="1"/>
  <c r="U46" i="23" s="1"/>
  <c r="U47" i="23" s="1"/>
  <c r="U48" i="23" s="1"/>
  <c r="U49" i="23" s="1"/>
  <c r="U50" i="23" s="1"/>
  <c r="U51" i="23" s="1"/>
  <c r="U52" i="23" s="1"/>
  <c r="U53" i="23" s="1"/>
  <c r="U54" i="23" s="1"/>
  <c r="V54" i="23" l="1"/>
  <c r="X5" i="23" s="1"/>
  <c r="Y5" i="23" s="1"/>
  <c r="P54" i="23"/>
  <c r="R5" i="23" s="1"/>
  <c r="S5" i="23" s="1"/>
  <c r="E42" i="23"/>
  <c r="D5" i="23" s="1"/>
  <c r="E5" i="23" s="1"/>
  <c r="C43" i="23" s="1"/>
  <c r="K42" i="23"/>
  <c r="J5" i="23" s="1"/>
  <c r="K5" i="23" s="1"/>
  <c r="I43" i="23" s="1"/>
  <c r="W54" i="23"/>
  <c r="V6" i="23" s="1"/>
  <c r="W6" i="23" s="1"/>
  <c r="U55" i="23" s="1"/>
  <c r="Q54" i="23"/>
  <c r="P6" i="23" s="1"/>
  <c r="Q6" i="23" s="1"/>
  <c r="O55" i="23" s="1"/>
  <c r="AB54" i="23"/>
  <c r="AD5" i="23" s="1"/>
  <c r="AE5" i="23" s="1"/>
  <c r="AC54" i="23"/>
  <c r="AB6" i="23" s="1"/>
  <c r="AC6" i="23" s="1"/>
  <c r="AA55" i="23" s="1"/>
  <c r="O56" i="23" l="1"/>
  <c r="O57" i="23" s="1"/>
  <c r="O58" i="23" s="1"/>
  <c r="O59" i="23" s="1"/>
  <c r="O60" i="23" s="1"/>
  <c r="O61" i="23" s="1"/>
  <c r="O62" i="23" s="1"/>
  <c r="O63" i="23" s="1"/>
  <c r="O64" i="23" s="1"/>
  <c r="O65" i="23" s="1"/>
  <c r="O66" i="23" s="1"/>
  <c r="C44" i="23"/>
  <c r="C45" i="23" s="1"/>
  <c r="C46" i="23" s="1"/>
  <c r="C47" i="23" s="1"/>
  <c r="C48" i="23" s="1"/>
  <c r="C49" i="23" s="1"/>
  <c r="C50" i="23" s="1"/>
  <c r="C51" i="23" s="1"/>
  <c r="C52" i="23" s="1"/>
  <c r="C53" i="23" s="1"/>
  <c r="C54" i="23" s="1"/>
  <c r="D54" i="23"/>
  <c r="F5" i="23" s="1"/>
  <c r="G5" i="23" s="1"/>
  <c r="I44" i="23"/>
  <c r="I45" i="23" s="1"/>
  <c r="I46" i="23" s="1"/>
  <c r="I47" i="23" s="1"/>
  <c r="I48" i="23" s="1"/>
  <c r="I49" i="23" s="1"/>
  <c r="I50" i="23" s="1"/>
  <c r="I51" i="23" s="1"/>
  <c r="I52" i="23" s="1"/>
  <c r="I53" i="23" s="1"/>
  <c r="I54" i="23" s="1"/>
  <c r="U56" i="23"/>
  <c r="U57" i="23" s="1"/>
  <c r="U58" i="23" s="1"/>
  <c r="U59" i="23" s="1"/>
  <c r="U60" i="23" s="1"/>
  <c r="U61" i="23" s="1"/>
  <c r="U62" i="23" s="1"/>
  <c r="U63" i="23" s="1"/>
  <c r="U64" i="23" s="1"/>
  <c r="U65" i="23" s="1"/>
  <c r="U66" i="23" s="1"/>
  <c r="AA56" i="23"/>
  <c r="AA57" i="23" s="1"/>
  <c r="AA58" i="23" s="1"/>
  <c r="AA59" i="23" s="1"/>
  <c r="AA60" i="23" s="1"/>
  <c r="AA61" i="23" s="1"/>
  <c r="AA62" i="23" s="1"/>
  <c r="AA63" i="23" s="1"/>
  <c r="AA64" i="23" s="1"/>
  <c r="AA65" i="23" s="1"/>
  <c r="AA66" i="23" s="1"/>
  <c r="V66" i="23" l="1"/>
  <c r="X6" i="23" s="1"/>
  <c r="Y6" i="23" s="1"/>
  <c r="AC66" i="23"/>
  <c r="AB7" i="23" s="1"/>
  <c r="AC7" i="23" s="1"/>
  <c r="AA67" i="23" s="1"/>
  <c r="K54" i="23"/>
  <c r="J6" i="23" s="1"/>
  <c r="K6" i="23" s="1"/>
  <c r="I55" i="23" s="1"/>
  <c r="Q66" i="23"/>
  <c r="P7" i="23" s="1"/>
  <c r="Q7" i="23" s="1"/>
  <c r="O67" i="23" s="1"/>
  <c r="W66" i="23"/>
  <c r="V7" i="23" s="1"/>
  <c r="W7" i="23" s="1"/>
  <c r="U67" i="23" s="1"/>
  <c r="E54" i="23"/>
  <c r="D6" i="23" s="1"/>
  <c r="E6" i="23" s="1"/>
  <c r="C55" i="23" s="1"/>
  <c r="AB66" i="23"/>
  <c r="AD6" i="23" s="1"/>
  <c r="AE6" i="23" s="1"/>
  <c r="J54" i="23"/>
  <c r="L5" i="23" s="1"/>
  <c r="M5" i="23" s="1"/>
  <c r="P66" i="23"/>
  <c r="R6" i="23" s="1"/>
  <c r="S6" i="23" s="1"/>
  <c r="Z423" i="35"/>
  <c r="O68" i="23" l="1"/>
  <c r="O69" i="23" s="1"/>
  <c r="O70" i="23" s="1"/>
  <c r="O71" i="23" s="1"/>
  <c r="O72" i="23" s="1"/>
  <c r="O73" i="23" s="1"/>
  <c r="O74" i="23" s="1"/>
  <c r="O75" i="23" s="1"/>
  <c r="O76" i="23" s="1"/>
  <c r="O77" i="23" s="1"/>
  <c r="O78" i="23" s="1"/>
  <c r="C56" i="23"/>
  <c r="C57" i="23" s="1"/>
  <c r="C58" i="23" s="1"/>
  <c r="C59" i="23" s="1"/>
  <c r="C60" i="23" s="1"/>
  <c r="C61" i="23" s="1"/>
  <c r="C62" i="23" s="1"/>
  <c r="C63" i="23" s="1"/>
  <c r="C64" i="23" s="1"/>
  <c r="C65" i="23" s="1"/>
  <c r="C66" i="23" s="1"/>
  <c r="AA68" i="23"/>
  <c r="AA69" i="23" s="1"/>
  <c r="AA70" i="23" s="1"/>
  <c r="AA71" i="23" s="1"/>
  <c r="AA72" i="23" s="1"/>
  <c r="AA73" i="23" s="1"/>
  <c r="AA74" i="23" s="1"/>
  <c r="AA75" i="23" s="1"/>
  <c r="AA76" i="23" s="1"/>
  <c r="AA77" i="23" s="1"/>
  <c r="AA78" i="23" s="1"/>
  <c r="U68" i="23"/>
  <c r="U69" i="23" s="1"/>
  <c r="U70" i="23" s="1"/>
  <c r="U71" i="23" s="1"/>
  <c r="U72" i="23" s="1"/>
  <c r="U73" i="23" s="1"/>
  <c r="U74" i="23" s="1"/>
  <c r="U75" i="23" s="1"/>
  <c r="U76" i="23" s="1"/>
  <c r="U77" i="23" s="1"/>
  <c r="U78" i="23" s="1"/>
  <c r="I56" i="23"/>
  <c r="I57" i="23" s="1"/>
  <c r="I58" i="23" s="1"/>
  <c r="I59" i="23" s="1"/>
  <c r="I60" i="23" s="1"/>
  <c r="I61" i="23" s="1"/>
  <c r="I62" i="23" s="1"/>
  <c r="I63" i="23" s="1"/>
  <c r="I64" i="23" s="1"/>
  <c r="I65" i="23" s="1"/>
  <c r="I66" i="23" s="1"/>
  <c r="Z508" i="35"/>
  <c r="Z509" i="35"/>
  <c r="Z510" i="35"/>
  <c r="Z511" i="35"/>
  <c r="Z512" i="35"/>
  <c r="Z513" i="35"/>
  <c r="Z514" i="35"/>
  <c r="Z515" i="35"/>
  <c r="Z516" i="35"/>
  <c r="Z507" i="35"/>
  <c r="Z590" i="35"/>
  <c r="Z589" i="35"/>
  <c r="Z588" i="35"/>
  <c r="Z587" i="35"/>
  <c r="Z586" i="35"/>
  <c r="Z585" i="35"/>
  <c r="Z584" i="35"/>
  <c r="Z583" i="35"/>
  <c r="Z582" i="35"/>
  <c r="Z581" i="35"/>
  <c r="Z545" i="35"/>
  <c r="Z546" i="35"/>
  <c r="Z547" i="35"/>
  <c r="Z548" i="35"/>
  <c r="Z549" i="35"/>
  <c r="Z550" i="35"/>
  <c r="Z551" i="35"/>
  <c r="Z552" i="35"/>
  <c r="Z553" i="35"/>
  <c r="Z544" i="35"/>
  <c r="P78" i="23" l="1"/>
  <c r="R7" i="23" s="1"/>
  <c r="S7" i="23" s="1"/>
  <c r="J66" i="23"/>
  <c r="L6" i="23" s="1"/>
  <c r="M6" i="23" s="1"/>
  <c r="AC78" i="23"/>
  <c r="W78" i="23"/>
  <c r="E66" i="23"/>
  <c r="D7" i="23" s="1"/>
  <c r="E7" i="23" s="1"/>
  <c r="C67" i="23" s="1"/>
  <c r="V78" i="23"/>
  <c r="X7" i="23" s="1"/>
  <c r="Y7" i="23" s="1"/>
  <c r="D66" i="23"/>
  <c r="F6" i="23" s="1"/>
  <c r="G6" i="23" s="1"/>
  <c r="K66" i="23"/>
  <c r="J7" i="23" s="1"/>
  <c r="K7" i="23" s="1"/>
  <c r="I67" i="23" s="1"/>
  <c r="AB78" i="23"/>
  <c r="AD7" i="23" s="1"/>
  <c r="AE7" i="23" s="1"/>
  <c r="Q78" i="23"/>
  <c r="AL453" i="35"/>
  <c r="AL456" i="35"/>
  <c r="AM456" i="35" s="1"/>
  <c r="AH457" i="35"/>
  <c r="AI457" i="35"/>
  <c r="AJ457" i="35"/>
  <c r="AF457" i="35"/>
  <c r="I68" i="23" l="1"/>
  <c r="I69" i="23" s="1"/>
  <c r="I70" i="23" s="1"/>
  <c r="I71" i="23" s="1"/>
  <c r="I72" i="23" s="1"/>
  <c r="I73" i="23" s="1"/>
  <c r="I74" i="23" s="1"/>
  <c r="I75" i="23" s="1"/>
  <c r="I76" i="23" s="1"/>
  <c r="I77" i="23" s="1"/>
  <c r="I78" i="23" s="1"/>
  <c r="C68" i="23"/>
  <c r="C69" i="23" s="1"/>
  <c r="C70" i="23" s="1"/>
  <c r="C71" i="23" s="1"/>
  <c r="C72" i="23" s="1"/>
  <c r="C73" i="23" s="1"/>
  <c r="C74" i="23" s="1"/>
  <c r="C75" i="23" s="1"/>
  <c r="C76" i="23" s="1"/>
  <c r="C77" i="23" s="1"/>
  <c r="C78" i="23" s="1"/>
  <c r="BB532" i="35"/>
  <c r="BB526" i="35" s="1"/>
  <c r="D78" i="23" l="1"/>
  <c r="F7" i="23" s="1"/>
  <c r="G7" i="23" s="1"/>
  <c r="J78" i="23"/>
  <c r="L7" i="23" s="1"/>
  <c r="M7" i="23" s="1"/>
  <c r="E78" i="23"/>
  <c r="K78" i="23"/>
  <c r="AL449" i="35"/>
  <c r="BB533" i="35" l="1"/>
  <c r="AA536" i="35" s="1"/>
  <c r="BA407" i="35"/>
  <c r="Z424" i="35" s="1"/>
  <c r="BB496" i="35" l="1"/>
  <c r="AA499" i="35" s="1"/>
  <c r="BB403" i="35"/>
  <c r="BA438" i="35" s="1"/>
  <c r="AE453" i="35" s="1"/>
  <c r="AG453" i="35" s="1"/>
  <c r="BB406" i="35"/>
  <c r="BA441" i="35" s="1"/>
  <c r="AE456" i="35" s="1"/>
  <c r="AN456" i="35" s="1"/>
  <c r="BB399" i="35"/>
  <c r="BB347" i="35"/>
  <c r="AA350" i="35" s="1"/>
  <c r="BA347" i="35"/>
  <c r="Z350" i="35" s="1"/>
  <c r="BA562" i="35"/>
  <c r="BA563" i="35"/>
  <c r="BA564" i="35"/>
  <c r="BA565" i="35"/>
  <c r="BA566" i="35"/>
  <c r="BA567" i="35"/>
  <c r="BA568" i="35"/>
  <c r="BA526" i="35"/>
  <c r="BA527" i="35"/>
  <c r="BA528" i="35"/>
  <c r="BA529" i="35"/>
  <c r="BA530" i="35"/>
  <c r="BA531" i="35"/>
  <c r="BA532" i="35"/>
  <c r="BA525" i="35"/>
  <c r="BA492" i="35"/>
  <c r="BA495" i="35"/>
  <c r="BA488" i="35"/>
  <c r="BA380" i="35"/>
  <c r="BA381" i="35"/>
  <c r="BA382" i="35"/>
  <c r="BA383" i="35"/>
  <c r="BA384" i="35"/>
  <c r="BA377" i="35"/>
  <c r="AN453" i="35" l="1"/>
  <c r="AK453" i="35"/>
  <c r="BA385" i="35"/>
  <c r="Z387" i="35" s="1"/>
  <c r="BA533" i="35"/>
  <c r="Z536" i="35" s="1"/>
  <c r="BA569" i="35"/>
  <c r="Z574" i="35" s="1"/>
  <c r="BA434" i="35"/>
  <c r="AE449" i="35" s="1"/>
  <c r="AK449" i="35" s="1"/>
  <c r="AM449" i="35" s="1"/>
  <c r="AM453" i="35" l="1"/>
  <c r="BC377" i="35"/>
  <c r="BC381" i="35"/>
  <c r="BD381" i="35" s="1"/>
  <c r="BC384" i="35"/>
  <c r="BD384" i="35" s="1"/>
  <c r="AN449" i="35" l="1"/>
  <c r="BD377" i="35"/>
  <c r="AG593" i="35" l="1"/>
  <c r="AG592" i="35"/>
  <c r="AG591" i="35"/>
  <c r="AG590" i="35"/>
  <c r="AG589" i="35"/>
  <c r="AG588" i="35"/>
  <c r="AG587" i="35"/>
  <c r="AG586" i="35"/>
  <c r="AF575" i="35"/>
  <c r="AI575" i="35" s="1"/>
  <c r="AK575" i="35" s="1"/>
  <c r="AM575" i="35" s="1"/>
  <c r="AO575" i="35" s="1"/>
  <c r="AE575" i="35"/>
  <c r="AH575" i="35" s="1"/>
  <c r="AJ575" i="35" s="1"/>
  <c r="AL575" i="35" s="1"/>
  <c r="AN575" i="35" s="1"/>
  <c r="AG556" i="35"/>
  <c r="AG555" i="35"/>
  <c r="AG554" i="35"/>
  <c r="AG553" i="35"/>
  <c r="AG552" i="35"/>
  <c r="AG551" i="35"/>
  <c r="AG550" i="35"/>
  <c r="AG549" i="35"/>
  <c r="AF538" i="35"/>
  <c r="AI538" i="35" s="1"/>
  <c r="AK538" i="35" s="1"/>
  <c r="AM538" i="35" s="1"/>
  <c r="AO538" i="35" s="1"/>
  <c r="AE538" i="35"/>
  <c r="AH538" i="35" s="1"/>
  <c r="AJ538" i="35" s="1"/>
  <c r="AL538" i="35" s="1"/>
  <c r="AN538" i="35" s="1"/>
  <c r="BC532" i="35"/>
  <c r="BD532" i="35" s="1"/>
  <c r="BC531" i="35"/>
  <c r="BD531" i="35" s="1"/>
  <c r="BC530" i="35"/>
  <c r="BD530" i="35" s="1"/>
  <c r="BC529" i="35"/>
  <c r="BD529" i="35" s="1"/>
  <c r="BC528" i="35"/>
  <c r="BD528" i="35" s="1"/>
  <c r="BC527" i="35"/>
  <c r="BD527" i="35" s="1"/>
  <c r="BC526" i="35"/>
  <c r="BD526" i="35" s="1"/>
  <c r="BC525" i="35"/>
  <c r="AG519" i="35"/>
  <c r="AG518" i="35"/>
  <c r="AG517" i="35"/>
  <c r="AG516" i="35"/>
  <c r="AG515" i="35"/>
  <c r="AG514" i="35"/>
  <c r="AG513" i="35"/>
  <c r="AG512" i="35"/>
  <c r="AF501" i="35"/>
  <c r="AI501" i="35" s="1"/>
  <c r="AK501" i="35" s="1"/>
  <c r="AM501" i="35" s="1"/>
  <c r="AO501" i="35" s="1"/>
  <c r="AE501" i="35"/>
  <c r="AH501" i="35" s="1"/>
  <c r="AJ501" i="35" s="1"/>
  <c r="AL501" i="35" s="1"/>
  <c r="AN501" i="35" s="1"/>
  <c r="BC495" i="35"/>
  <c r="BD495" i="35" s="1"/>
  <c r="BC492" i="35"/>
  <c r="BD492" i="35" s="1"/>
  <c r="BC488" i="35"/>
  <c r="AG482" i="35"/>
  <c r="AG481" i="35"/>
  <c r="AG480" i="35"/>
  <c r="AG479" i="35"/>
  <c r="AG478" i="35"/>
  <c r="AG477" i="35"/>
  <c r="AG476" i="35"/>
  <c r="AG475" i="35"/>
  <c r="AF464" i="35"/>
  <c r="AI464" i="35" s="1"/>
  <c r="AK464" i="35" s="1"/>
  <c r="AM464" i="35" s="1"/>
  <c r="AO464" i="35" s="1"/>
  <c r="AE464" i="35"/>
  <c r="AH464" i="35" s="1"/>
  <c r="AJ464" i="35" s="1"/>
  <c r="AL464" i="35" s="1"/>
  <c r="AN464" i="35" s="1"/>
  <c r="BC441" i="35"/>
  <c r="BD441" i="35" s="1"/>
  <c r="BC438" i="35"/>
  <c r="BD438" i="35" s="1"/>
  <c r="BC434" i="35"/>
  <c r="AH432" i="35"/>
  <c r="AE432" i="35"/>
  <c r="AG445" i="35"/>
  <c r="AG444" i="35"/>
  <c r="AG443" i="35"/>
  <c r="AG442" i="35"/>
  <c r="AG441" i="35"/>
  <c r="AG440" i="35"/>
  <c r="AG439" i="35"/>
  <c r="AG438" i="35"/>
  <c r="AF427" i="35"/>
  <c r="AI427" i="35" s="1"/>
  <c r="AK427" i="35" s="1"/>
  <c r="AM427" i="35" s="1"/>
  <c r="AO427" i="35" s="1"/>
  <c r="AE427" i="35"/>
  <c r="AH427" i="35" s="1"/>
  <c r="AJ427" i="35" s="1"/>
  <c r="AL427" i="35" s="1"/>
  <c r="AN427" i="35" s="1"/>
  <c r="BC406" i="35"/>
  <c r="BD406" i="35" s="1"/>
  <c r="BC403" i="35"/>
  <c r="BD403" i="35" s="1"/>
  <c r="BC399" i="35"/>
  <c r="AG408" i="35"/>
  <c r="AG407" i="35"/>
  <c r="AG406" i="35"/>
  <c r="AG405" i="35"/>
  <c r="AG404" i="35"/>
  <c r="AG403" i="35"/>
  <c r="AG402" i="35"/>
  <c r="AG401" i="35"/>
  <c r="AF390" i="35"/>
  <c r="AI390" i="35" s="1"/>
  <c r="AK390" i="35" s="1"/>
  <c r="AM390" i="35" s="1"/>
  <c r="AO390" i="35" s="1"/>
  <c r="AE390" i="35"/>
  <c r="AH390" i="35" s="1"/>
  <c r="AJ390" i="35" s="1"/>
  <c r="AL390" i="35" s="1"/>
  <c r="AN390" i="35" s="1"/>
  <c r="AG365" i="35"/>
  <c r="AG366" i="35"/>
  <c r="AG367" i="35"/>
  <c r="AG368" i="35"/>
  <c r="AG369" i="35"/>
  <c r="AG370" i="35"/>
  <c r="AG371" i="35"/>
  <c r="BC346" i="35"/>
  <c r="BD346" i="35" s="1"/>
  <c r="AG364" i="35"/>
  <c r="AF353" i="35"/>
  <c r="AI353" i="35" s="1"/>
  <c r="AK353" i="35" s="1"/>
  <c r="AM353" i="35" s="1"/>
  <c r="AO353" i="35" s="1"/>
  <c r="AE353" i="35"/>
  <c r="AH353" i="35" s="1"/>
  <c r="AJ353" i="35" s="1"/>
  <c r="AL353" i="35" s="1"/>
  <c r="AN353" i="35" s="1"/>
  <c r="BC345" i="35"/>
  <c r="BD345" i="35" s="1"/>
  <c r="BC344" i="35"/>
  <c r="BD344" i="35" s="1"/>
  <c r="BC343" i="35"/>
  <c r="BD343" i="35" s="1"/>
  <c r="BC342" i="35"/>
  <c r="BD342" i="35" s="1"/>
  <c r="BC341" i="35"/>
  <c r="BD341" i="35" s="1"/>
  <c r="BC340" i="35"/>
  <c r="BD340" i="35" s="1"/>
  <c r="S329" i="35"/>
  <c r="S328" i="35"/>
  <c r="AE435" i="35" s="1"/>
  <c r="S325" i="35"/>
  <c r="AH434" i="35" s="1"/>
  <c r="S324" i="35"/>
  <c r="S323" i="35"/>
  <c r="AE434" i="35" s="1"/>
  <c r="S319" i="35"/>
  <c r="S320" i="35"/>
  <c r="AH433" i="35" s="1"/>
  <c r="S318" i="35"/>
  <c r="AE433" i="35" s="1"/>
  <c r="S310" i="35"/>
  <c r="AH431" i="35" s="1"/>
  <c r="S309" i="35"/>
  <c r="S308" i="35"/>
  <c r="AE431" i="35" s="1"/>
  <c r="S305" i="35"/>
  <c r="AH430" i="35" s="1"/>
  <c r="S304" i="35"/>
  <c r="S303" i="35"/>
  <c r="AE430" i="35" s="1"/>
  <c r="S300" i="35"/>
  <c r="AH429" i="35" s="1"/>
  <c r="S299" i="35"/>
  <c r="AE429" i="35" s="1"/>
  <c r="S296" i="35"/>
  <c r="AH428" i="35" s="1"/>
  <c r="AJ428" i="35" s="1"/>
  <c r="S295" i="35"/>
  <c r="AE428" i="35" s="1"/>
  <c r="N244" i="35"/>
  <c r="N245" i="35"/>
  <c r="O239" i="35"/>
  <c r="L251" i="35" s="1"/>
  <c r="L282" i="35" s="1"/>
  <c r="I96" i="35"/>
  <c r="I90" i="35"/>
  <c r="I91" i="35"/>
  <c r="I92" i="35"/>
  <c r="I93" i="35"/>
  <c r="I95" i="35"/>
  <c r="I89" i="35"/>
  <c r="I86" i="35"/>
  <c r="I85" i="35"/>
  <c r="I84" i="35"/>
  <c r="H96" i="35"/>
  <c r="H94" i="35"/>
  <c r="H90" i="35"/>
  <c r="H91" i="35"/>
  <c r="H92" i="35"/>
  <c r="H93" i="35"/>
  <c r="H89" i="35"/>
  <c r="H86" i="35"/>
  <c r="H85" i="35"/>
  <c r="H84" i="35"/>
  <c r="C95" i="35"/>
  <c r="C94" i="35"/>
  <c r="G96" i="35"/>
  <c r="G90" i="35"/>
  <c r="G91" i="35"/>
  <c r="G92" i="35"/>
  <c r="G93" i="35"/>
  <c r="G89" i="35"/>
  <c r="C96" i="35"/>
  <c r="C90" i="35"/>
  <c r="C91" i="35"/>
  <c r="C92" i="35"/>
  <c r="C93" i="35"/>
  <c r="C89" i="35"/>
  <c r="G86" i="35"/>
  <c r="G85" i="35"/>
  <c r="G84" i="35"/>
  <c r="I232" i="24"/>
  <c r="J232" i="24"/>
  <c r="G65" i="35"/>
  <c r="D45" i="35"/>
  <c r="D44" i="35"/>
  <c r="D36" i="35"/>
  <c r="D37" i="35"/>
  <c r="D38" i="35"/>
  <c r="D39" i="35"/>
  <c r="D40" i="35"/>
  <c r="D41" i="35"/>
  <c r="D42" i="35"/>
  <c r="D35" i="35"/>
  <c r="I66" i="35"/>
  <c r="G66" i="35"/>
  <c r="BD525" i="35" l="1"/>
  <c r="BC533" i="35"/>
  <c r="Z534" i="35" s="1"/>
  <c r="BD488" i="35"/>
  <c r="BD399" i="35"/>
  <c r="BD434" i="35"/>
  <c r="AL433" i="35"/>
  <c r="AN428" i="35"/>
  <c r="AL430" i="35"/>
  <c r="AL429" i="35"/>
  <c r="AJ429" i="35"/>
  <c r="AN429" i="35" s="1"/>
  <c r="AE436" i="35"/>
  <c r="AL431" i="35"/>
  <c r="AL428" i="35"/>
  <c r="AJ430" i="35"/>
  <c r="AN430" i="35" s="1"/>
  <c r="AL434" i="35"/>
  <c r="S334" i="35"/>
  <c r="S332" i="35"/>
  <c r="BC339" i="35"/>
  <c r="S333" i="35"/>
  <c r="BD339" i="35" l="1"/>
  <c r="BC347" i="35"/>
  <c r="AB348" i="35" s="1"/>
  <c r="BD533" i="35"/>
  <c r="BD347" i="35" l="1"/>
  <c r="N57" i="35"/>
  <c r="M57" i="35"/>
  <c r="L57" i="35"/>
  <c r="J57" i="35"/>
  <c r="I57" i="35"/>
  <c r="H57" i="35"/>
  <c r="G57" i="35"/>
  <c r="N43" i="35"/>
  <c r="L43" i="35"/>
  <c r="M43" i="35"/>
  <c r="K43" i="35"/>
  <c r="J43" i="35"/>
  <c r="O57" i="35" l="1"/>
  <c r="I43" i="35"/>
  <c r="H43" i="35"/>
  <c r="G43" i="35"/>
  <c r="D88" i="39"/>
  <c r="D89" i="39"/>
  <c r="D90" i="39"/>
  <c r="D91" i="39"/>
  <c r="D92" i="39"/>
  <c r="D93" i="39"/>
  <c r="D94" i="39"/>
  <c r="D95" i="39"/>
  <c r="D96" i="39"/>
  <c r="D97" i="39"/>
  <c r="D98" i="39"/>
  <c r="D99" i="39"/>
  <c r="D100" i="39"/>
  <c r="D101" i="39"/>
  <c r="D102" i="39"/>
  <c r="D103" i="39"/>
  <c r="D104" i="39"/>
  <c r="D105" i="39"/>
  <c r="D106" i="39"/>
  <c r="D107" i="39"/>
  <c r="D108" i="39"/>
  <c r="D109" i="39"/>
  <c r="D110" i="39"/>
  <c r="D111" i="39"/>
  <c r="D112" i="39"/>
  <c r="D113" i="39"/>
  <c r="D114" i="39"/>
  <c r="D115" i="39"/>
  <c r="D116" i="39"/>
  <c r="D117" i="39"/>
  <c r="D118" i="39"/>
  <c r="D119" i="39"/>
  <c r="D120" i="39"/>
  <c r="D121" i="39"/>
  <c r="D122" i="39"/>
  <c r="D123" i="39"/>
  <c r="D124" i="39"/>
  <c r="D125" i="39"/>
  <c r="D126" i="39"/>
  <c r="D127" i="39"/>
  <c r="D128" i="39"/>
  <c r="D129" i="39"/>
  <c r="D130" i="39"/>
  <c r="D131" i="39"/>
  <c r="D132" i="39"/>
  <c r="D133" i="39"/>
  <c r="D134" i="39"/>
  <c r="D135" i="39"/>
  <c r="D136" i="39"/>
  <c r="D137" i="39"/>
  <c r="D138" i="39"/>
  <c r="D139" i="39"/>
  <c r="D140" i="39"/>
  <c r="D141" i="39"/>
  <c r="D142" i="39"/>
  <c r="D143" i="39"/>
  <c r="D144" i="39"/>
  <c r="D145" i="39"/>
  <c r="D146" i="39"/>
  <c r="D147" i="39"/>
  <c r="D148" i="39"/>
  <c r="D149" i="39"/>
  <c r="D150" i="39"/>
  <c r="D151" i="39"/>
  <c r="D152" i="39"/>
  <c r="D153" i="39"/>
  <c r="D154" i="39"/>
  <c r="D155" i="39"/>
  <c r="D156" i="39"/>
  <c r="D157" i="39"/>
  <c r="D158" i="39"/>
  <c r="D159" i="39"/>
  <c r="D160" i="39"/>
  <c r="D161" i="39"/>
  <c r="D162" i="39"/>
  <c r="D163" i="39"/>
  <c r="D164" i="39"/>
  <c r="D165" i="39"/>
  <c r="D166" i="39"/>
  <c r="D167" i="39"/>
  <c r="D168" i="39"/>
  <c r="D169" i="39"/>
  <c r="D170" i="39"/>
  <c r="D171" i="39"/>
  <c r="D172" i="39"/>
  <c r="D173" i="39"/>
  <c r="D174" i="39"/>
  <c r="D175" i="39"/>
  <c r="D176" i="39"/>
  <c r="D177" i="39"/>
  <c r="D178" i="39"/>
  <c r="D179" i="39"/>
  <c r="D180" i="39"/>
  <c r="D181" i="39"/>
  <c r="D182" i="39"/>
  <c r="D183" i="39"/>
  <c r="D184" i="39"/>
  <c r="D185" i="39"/>
  <c r="D186" i="39"/>
  <c r="D187" i="39"/>
  <c r="D188" i="39"/>
  <c r="D189" i="39"/>
  <c r="D190" i="39"/>
  <c r="D191" i="39"/>
  <c r="D192" i="39"/>
  <c r="D193" i="39"/>
  <c r="D194" i="39"/>
  <c r="D195" i="39"/>
  <c r="D196" i="39"/>
  <c r="D197" i="39"/>
  <c r="D198" i="39"/>
  <c r="D199" i="39"/>
  <c r="D200" i="39"/>
  <c r="D201" i="39"/>
  <c r="D202" i="39"/>
  <c r="D203" i="39"/>
  <c r="D204" i="39"/>
  <c r="D205" i="39"/>
  <c r="D206" i="39"/>
  <c r="D207" i="39"/>
  <c r="D208" i="39"/>
  <c r="D209" i="39"/>
  <c r="D210" i="39"/>
  <c r="D211" i="39"/>
  <c r="D212" i="39"/>
  <c r="D213" i="39"/>
  <c r="D214" i="39"/>
  <c r="D215" i="39"/>
  <c r="D216" i="39"/>
  <c r="D217" i="39"/>
  <c r="D218" i="39"/>
  <c r="D219" i="39"/>
  <c r="D220" i="39"/>
  <c r="D221" i="39"/>
  <c r="D222" i="39"/>
  <c r="D223" i="39"/>
  <c r="D224" i="39"/>
  <c r="D225" i="39"/>
  <c r="D226" i="39"/>
  <c r="D227" i="39"/>
  <c r="D228" i="39"/>
  <c r="D229" i="39"/>
  <c r="D230" i="39"/>
  <c r="D87" i="39"/>
  <c r="C88" i="39"/>
  <c r="C89" i="39"/>
  <c r="C90" i="39"/>
  <c r="C91" i="39"/>
  <c r="C92" i="39"/>
  <c r="C93" i="39"/>
  <c r="C94" i="39"/>
  <c r="C95" i="39"/>
  <c r="C96" i="39"/>
  <c r="C97" i="39"/>
  <c r="C98" i="39"/>
  <c r="C99" i="39"/>
  <c r="C100" i="39"/>
  <c r="C101" i="39"/>
  <c r="C102" i="39"/>
  <c r="C103" i="39"/>
  <c r="C104" i="39"/>
  <c r="C105" i="39"/>
  <c r="C106" i="39"/>
  <c r="C107" i="39"/>
  <c r="C108" i="39"/>
  <c r="C109" i="39"/>
  <c r="C110" i="39"/>
  <c r="C111" i="39"/>
  <c r="C112" i="39"/>
  <c r="C113" i="39"/>
  <c r="C114" i="39"/>
  <c r="C115" i="39"/>
  <c r="C116" i="39"/>
  <c r="C117" i="39"/>
  <c r="C118" i="39"/>
  <c r="C119" i="39"/>
  <c r="C120" i="39"/>
  <c r="C121" i="39"/>
  <c r="C122" i="39"/>
  <c r="C123" i="39"/>
  <c r="C124" i="39"/>
  <c r="C125" i="39"/>
  <c r="C126" i="39"/>
  <c r="C127" i="39"/>
  <c r="C128" i="39"/>
  <c r="C129" i="39"/>
  <c r="C130" i="39"/>
  <c r="C131" i="39"/>
  <c r="C132" i="39"/>
  <c r="C133" i="39"/>
  <c r="C134" i="39"/>
  <c r="C135" i="39"/>
  <c r="C136" i="39"/>
  <c r="C137" i="39"/>
  <c r="C138" i="39"/>
  <c r="C139" i="39"/>
  <c r="C140" i="39"/>
  <c r="C141" i="39"/>
  <c r="C142" i="39"/>
  <c r="C143" i="39"/>
  <c r="C144" i="39"/>
  <c r="C145" i="39"/>
  <c r="C146" i="39"/>
  <c r="C147" i="39"/>
  <c r="C148" i="39"/>
  <c r="C149" i="39"/>
  <c r="C150" i="39"/>
  <c r="C151" i="39"/>
  <c r="C152" i="39"/>
  <c r="C153" i="39"/>
  <c r="C154" i="39"/>
  <c r="C155" i="39"/>
  <c r="C156" i="39"/>
  <c r="C157" i="39"/>
  <c r="C158" i="39"/>
  <c r="C159" i="39"/>
  <c r="C160" i="39"/>
  <c r="C161" i="39"/>
  <c r="C162" i="39"/>
  <c r="C163" i="39"/>
  <c r="C164" i="39"/>
  <c r="C165" i="39"/>
  <c r="C166" i="39"/>
  <c r="C167" i="39"/>
  <c r="C168" i="39"/>
  <c r="C169" i="39"/>
  <c r="C170" i="39"/>
  <c r="C171" i="39"/>
  <c r="C172" i="39"/>
  <c r="C173" i="39"/>
  <c r="C174" i="39"/>
  <c r="C175" i="39"/>
  <c r="C176" i="39"/>
  <c r="C177" i="39"/>
  <c r="C178" i="39"/>
  <c r="C179" i="39"/>
  <c r="C180" i="39"/>
  <c r="C181" i="39"/>
  <c r="C182" i="39"/>
  <c r="C183" i="39"/>
  <c r="C184" i="39"/>
  <c r="C185" i="39"/>
  <c r="C186" i="39"/>
  <c r="C187" i="39"/>
  <c r="C188" i="39"/>
  <c r="C189" i="39"/>
  <c r="C190" i="39"/>
  <c r="C191" i="39"/>
  <c r="C192" i="39"/>
  <c r="C193" i="39"/>
  <c r="C194" i="39"/>
  <c r="C195" i="39"/>
  <c r="C196" i="39"/>
  <c r="C197" i="39"/>
  <c r="C198" i="39"/>
  <c r="C199" i="39"/>
  <c r="C200" i="39"/>
  <c r="C201" i="39"/>
  <c r="C202" i="39"/>
  <c r="C203" i="39"/>
  <c r="C204" i="39"/>
  <c r="C205" i="39"/>
  <c r="C206" i="39"/>
  <c r="C207" i="39"/>
  <c r="C208" i="39"/>
  <c r="C209" i="39"/>
  <c r="C210" i="39"/>
  <c r="C211" i="39"/>
  <c r="C212" i="39"/>
  <c r="C213" i="39"/>
  <c r="C214" i="39"/>
  <c r="C215" i="39"/>
  <c r="C216" i="39"/>
  <c r="C217" i="39"/>
  <c r="C218" i="39"/>
  <c r="C219" i="39"/>
  <c r="C220" i="39"/>
  <c r="C221" i="39"/>
  <c r="C222" i="39"/>
  <c r="C223" i="39"/>
  <c r="C224" i="39"/>
  <c r="C225" i="39"/>
  <c r="C226" i="39"/>
  <c r="C227" i="39"/>
  <c r="C228" i="39"/>
  <c r="C229" i="39"/>
  <c r="C230" i="39"/>
  <c r="C87" i="39"/>
  <c r="H266" i="39"/>
  <c r="F266" i="39"/>
  <c r="E266" i="39"/>
  <c r="D266" i="39"/>
  <c r="C266" i="39"/>
  <c r="H265" i="39"/>
  <c r="F265" i="39"/>
  <c r="E265" i="39"/>
  <c r="D265" i="39"/>
  <c r="C265" i="39"/>
  <c r="H264" i="39"/>
  <c r="F264" i="39"/>
  <c r="E264" i="39"/>
  <c r="D264" i="39"/>
  <c r="C264" i="39"/>
  <c r="H263" i="39"/>
  <c r="F263" i="39"/>
  <c r="E263" i="39"/>
  <c r="D263" i="39"/>
  <c r="C263" i="39"/>
  <c r="H262" i="39"/>
  <c r="F262" i="39"/>
  <c r="E262" i="39"/>
  <c r="D262" i="39"/>
  <c r="C262" i="39"/>
  <c r="H261" i="39"/>
  <c r="F261" i="39"/>
  <c r="E261" i="39"/>
  <c r="D261" i="39"/>
  <c r="C261" i="39"/>
  <c r="H260" i="39"/>
  <c r="F260" i="39"/>
  <c r="E260" i="39"/>
  <c r="D260" i="39"/>
  <c r="C260" i="39"/>
  <c r="H259" i="39"/>
  <c r="F259" i="39"/>
  <c r="E259" i="39"/>
  <c r="D259" i="39"/>
  <c r="C259" i="39"/>
  <c r="H258" i="39"/>
  <c r="F258" i="39"/>
  <c r="E258" i="39"/>
  <c r="D258" i="39"/>
  <c r="C258" i="39"/>
  <c r="H257" i="39"/>
  <c r="F257" i="39"/>
  <c r="E257" i="39"/>
  <c r="D257" i="39"/>
  <c r="C257" i="39"/>
  <c r="H256" i="39"/>
  <c r="F256" i="39"/>
  <c r="E256" i="39"/>
  <c r="D256" i="39"/>
  <c r="C256" i="39"/>
  <c r="H255" i="39"/>
  <c r="F255" i="39"/>
  <c r="E255" i="39"/>
  <c r="D255" i="39"/>
  <c r="C255" i="39"/>
  <c r="J206" i="39"/>
  <c r="B206" i="39"/>
  <c r="J205" i="39"/>
  <c r="B205" i="39"/>
  <c r="J204" i="39"/>
  <c r="B204" i="39"/>
  <c r="J203" i="39"/>
  <c r="B203" i="39"/>
  <c r="J202" i="39"/>
  <c r="B202" i="39"/>
  <c r="J201" i="39"/>
  <c r="B201" i="39"/>
  <c r="J200" i="39"/>
  <c r="B200" i="39"/>
  <c r="J199" i="39"/>
  <c r="B199" i="39"/>
  <c r="J198" i="39"/>
  <c r="B198" i="39"/>
  <c r="J197" i="39"/>
  <c r="B197" i="39"/>
  <c r="J196" i="39"/>
  <c r="B196" i="39"/>
  <c r="J195" i="39"/>
  <c r="B195" i="39"/>
  <c r="J194" i="39"/>
  <c r="B194" i="39"/>
  <c r="J193" i="39"/>
  <c r="B193" i="39"/>
  <c r="J192" i="39"/>
  <c r="B192" i="39"/>
  <c r="J191" i="39"/>
  <c r="B191" i="39"/>
  <c r="J190" i="39"/>
  <c r="B190" i="39"/>
  <c r="J189" i="39"/>
  <c r="B189" i="39"/>
  <c r="J188" i="39"/>
  <c r="B188" i="39"/>
  <c r="J187" i="39"/>
  <c r="B187" i="39"/>
  <c r="J186" i="39"/>
  <c r="B186" i="39"/>
  <c r="J185" i="39"/>
  <c r="B185" i="39"/>
  <c r="J184" i="39"/>
  <c r="B184" i="39"/>
  <c r="J183" i="39"/>
  <c r="B183" i="39"/>
  <c r="J182" i="39"/>
  <c r="B182" i="39"/>
  <c r="J181" i="39"/>
  <c r="B181" i="39"/>
  <c r="J180" i="39"/>
  <c r="B180" i="39"/>
  <c r="J179" i="39"/>
  <c r="B179" i="39"/>
  <c r="J178" i="39"/>
  <c r="B178" i="39"/>
  <c r="J177" i="39"/>
  <c r="B177" i="39"/>
  <c r="J176" i="39"/>
  <c r="B176" i="39"/>
  <c r="J175" i="39"/>
  <c r="B175" i="39"/>
  <c r="J174" i="39"/>
  <c r="B174" i="39"/>
  <c r="J173" i="39"/>
  <c r="B173" i="39"/>
  <c r="J172" i="39"/>
  <c r="B172" i="39"/>
  <c r="J171" i="39"/>
  <c r="B171" i="39"/>
  <c r="J170" i="39"/>
  <c r="B170" i="39"/>
  <c r="J169" i="39"/>
  <c r="B169" i="39"/>
  <c r="J168" i="39"/>
  <c r="B168" i="39"/>
  <c r="J167" i="39"/>
  <c r="B167" i="39"/>
  <c r="J166" i="39"/>
  <c r="B166" i="39"/>
  <c r="J165" i="39"/>
  <c r="B165" i="39"/>
  <c r="J164" i="39"/>
  <c r="B164" i="39"/>
  <c r="J163" i="39"/>
  <c r="B163" i="39"/>
  <c r="J162" i="39"/>
  <c r="B162" i="39"/>
  <c r="J161" i="39"/>
  <c r="B161" i="39"/>
  <c r="J160" i="39"/>
  <c r="B160" i="39"/>
  <c r="J159" i="39"/>
  <c r="B159" i="39"/>
  <c r="J158" i="39"/>
  <c r="B158" i="39"/>
  <c r="J157" i="39"/>
  <c r="B157" i="39"/>
  <c r="J156" i="39"/>
  <c r="B156" i="39"/>
  <c r="J155" i="39"/>
  <c r="B155" i="39"/>
  <c r="J154" i="39"/>
  <c r="B154" i="39"/>
  <c r="J153" i="39"/>
  <c r="B153" i="39"/>
  <c r="J152" i="39"/>
  <c r="B152" i="39"/>
  <c r="J151" i="39"/>
  <c r="B151" i="39"/>
  <c r="J150" i="39"/>
  <c r="B150" i="39"/>
  <c r="J149" i="39"/>
  <c r="B149" i="39"/>
  <c r="J148" i="39"/>
  <c r="B148" i="39"/>
  <c r="J147" i="39"/>
  <c r="B147" i="39"/>
  <c r="J146" i="39"/>
  <c r="B146" i="39"/>
  <c r="J145" i="39"/>
  <c r="B145" i="39"/>
  <c r="J144" i="39"/>
  <c r="B144" i="39"/>
  <c r="J143" i="39"/>
  <c r="B143" i="39"/>
  <c r="J142" i="39"/>
  <c r="B142" i="39"/>
  <c r="J141" i="39"/>
  <c r="B141" i="39"/>
  <c r="J140" i="39"/>
  <c r="B140" i="39"/>
  <c r="J139" i="39"/>
  <c r="B139" i="39"/>
  <c r="J138" i="39"/>
  <c r="B138" i="39"/>
  <c r="J137" i="39"/>
  <c r="B137" i="39"/>
  <c r="J136" i="39"/>
  <c r="B136" i="39"/>
  <c r="J135" i="39"/>
  <c r="B135" i="39"/>
  <c r="J134" i="39"/>
  <c r="B134" i="39"/>
  <c r="J133" i="39"/>
  <c r="B133" i="39"/>
  <c r="J132" i="39"/>
  <c r="B132" i="39"/>
  <c r="J131" i="39"/>
  <c r="B131" i="39"/>
  <c r="J130" i="39"/>
  <c r="B130" i="39"/>
  <c r="J129" i="39"/>
  <c r="B129" i="39"/>
  <c r="J128" i="39"/>
  <c r="B128" i="39"/>
  <c r="J127" i="39"/>
  <c r="B127" i="39"/>
  <c r="J126" i="39"/>
  <c r="B126" i="39"/>
  <c r="J125" i="39"/>
  <c r="B125" i="39"/>
  <c r="J124" i="39"/>
  <c r="B124" i="39"/>
  <c r="J123" i="39"/>
  <c r="B123" i="39"/>
  <c r="J122" i="39"/>
  <c r="B122" i="39"/>
  <c r="J121" i="39"/>
  <c r="B121" i="39"/>
  <c r="J120" i="39"/>
  <c r="B120" i="39"/>
  <c r="J119" i="39"/>
  <c r="B119" i="39"/>
  <c r="J118" i="39"/>
  <c r="B118" i="39"/>
  <c r="J117" i="39"/>
  <c r="B117" i="39"/>
  <c r="J116" i="39"/>
  <c r="B116" i="39"/>
  <c r="J115" i="39"/>
  <c r="B115" i="39"/>
  <c r="J114" i="39"/>
  <c r="B114" i="39"/>
  <c r="J113" i="39"/>
  <c r="B113" i="39"/>
  <c r="J112" i="39"/>
  <c r="B112" i="39"/>
  <c r="J111" i="39"/>
  <c r="B111" i="39"/>
  <c r="J110" i="39"/>
  <c r="B110" i="39"/>
  <c r="J109" i="39"/>
  <c r="B109" i="39"/>
  <c r="J108" i="39"/>
  <c r="B108" i="39"/>
  <c r="J107" i="39"/>
  <c r="B107" i="39"/>
  <c r="J106" i="39"/>
  <c r="B106" i="39"/>
  <c r="J105" i="39"/>
  <c r="B105" i="39"/>
  <c r="J104" i="39"/>
  <c r="B104" i="39"/>
  <c r="J103" i="39"/>
  <c r="B103" i="39"/>
  <c r="J102" i="39"/>
  <c r="B102" i="39"/>
  <c r="J101" i="39"/>
  <c r="B101" i="39"/>
  <c r="J100" i="39"/>
  <c r="B100" i="39"/>
  <c r="J99" i="39"/>
  <c r="B99" i="39"/>
  <c r="J98" i="39"/>
  <c r="B98" i="39"/>
  <c r="J97" i="39"/>
  <c r="B97" i="39"/>
  <c r="J96" i="39"/>
  <c r="B96" i="39"/>
  <c r="J95" i="39"/>
  <c r="B95" i="39"/>
  <c r="J94" i="39"/>
  <c r="B94" i="39"/>
  <c r="J93" i="39"/>
  <c r="B93" i="39"/>
  <c r="J92" i="39"/>
  <c r="B92" i="39"/>
  <c r="J91" i="39"/>
  <c r="B91" i="39"/>
  <c r="J90" i="39"/>
  <c r="B90" i="39"/>
  <c r="J89" i="39"/>
  <c r="B89" i="39"/>
  <c r="J88" i="39"/>
  <c r="B88" i="39"/>
  <c r="J87" i="39"/>
  <c r="B87" i="39"/>
  <c r="J86" i="39"/>
  <c r="D86" i="39"/>
  <c r="C86" i="39"/>
  <c r="B86" i="39"/>
  <c r="J85" i="39"/>
  <c r="D85" i="39"/>
  <c r="C85" i="39"/>
  <c r="B85" i="39"/>
  <c r="J84" i="39"/>
  <c r="D84" i="39"/>
  <c r="C84" i="39"/>
  <c r="B84" i="39"/>
  <c r="J83" i="39"/>
  <c r="D83" i="39"/>
  <c r="C83" i="39"/>
  <c r="B83" i="39"/>
  <c r="J82" i="39"/>
  <c r="D82" i="39"/>
  <c r="C82" i="39"/>
  <c r="B82" i="39"/>
  <c r="J81" i="39"/>
  <c r="D81" i="39"/>
  <c r="C81" i="39"/>
  <c r="B81" i="39"/>
  <c r="J80" i="39"/>
  <c r="D80" i="39"/>
  <c r="C80" i="39"/>
  <c r="B80" i="39"/>
  <c r="J79" i="39"/>
  <c r="D79" i="39"/>
  <c r="C79" i="39"/>
  <c r="B79" i="39"/>
  <c r="J78" i="39"/>
  <c r="D78" i="39"/>
  <c r="C78" i="39"/>
  <c r="B78" i="39"/>
  <c r="J77" i="39"/>
  <c r="D77" i="39"/>
  <c r="C77" i="39"/>
  <c r="B77" i="39"/>
  <c r="J76" i="39"/>
  <c r="D76" i="39"/>
  <c r="C76" i="39"/>
  <c r="B76" i="39"/>
  <c r="J75" i="39"/>
  <c r="D75" i="39"/>
  <c r="C75" i="39"/>
  <c r="B75" i="39"/>
  <c r="J74" i="39"/>
  <c r="D74" i="39"/>
  <c r="C74" i="39"/>
  <c r="B74" i="39"/>
  <c r="J73" i="39"/>
  <c r="D73" i="39"/>
  <c r="C73" i="39"/>
  <c r="B73" i="39"/>
  <c r="J72" i="39"/>
  <c r="D72" i="39"/>
  <c r="C72" i="39"/>
  <c r="B72" i="39"/>
  <c r="J71" i="39"/>
  <c r="D71" i="39"/>
  <c r="C71" i="39"/>
  <c r="B71" i="39"/>
  <c r="J70" i="39"/>
  <c r="D70" i="39"/>
  <c r="C70" i="39"/>
  <c r="B70" i="39"/>
  <c r="J69" i="39"/>
  <c r="D69" i="39"/>
  <c r="C69" i="39"/>
  <c r="B69" i="39"/>
  <c r="J68" i="39"/>
  <c r="D68" i="39"/>
  <c r="C68" i="39"/>
  <c r="B68" i="39"/>
  <c r="J67" i="39"/>
  <c r="D67" i="39"/>
  <c r="C67" i="39"/>
  <c r="B67" i="39"/>
  <c r="J66" i="39"/>
  <c r="D66" i="39"/>
  <c r="C66" i="39"/>
  <c r="B66" i="39"/>
  <c r="J65" i="39"/>
  <c r="D65" i="39"/>
  <c r="C65" i="39"/>
  <c r="B65" i="39"/>
  <c r="J64" i="39"/>
  <c r="D64" i="39"/>
  <c r="C64" i="39"/>
  <c r="B64" i="39"/>
  <c r="J63" i="39"/>
  <c r="D63" i="39"/>
  <c r="C63" i="39"/>
  <c r="B63" i="39"/>
  <c r="J62" i="39"/>
  <c r="D62" i="39"/>
  <c r="C62" i="39"/>
  <c r="B62" i="39"/>
  <c r="J61" i="39"/>
  <c r="D61" i="39"/>
  <c r="C61" i="39"/>
  <c r="B61" i="39"/>
  <c r="J60" i="39"/>
  <c r="D60" i="39"/>
  <c r="C60" i="39"/>
  <c r="B60" i="39"/>
  <c r="J59" i="39"/>
  <c r="D59" i="39"/>
  <c r="C59" i="39"/>
  <c r="B59" i="39"/>
  <c r="J58" i="39"/>
  <c r="D58" i="39"/>
  <c r="C58" i="39"/>
  <c r="B58" i="39"/>
  <c r="J57" i="39"/>
  <c r="D57" i="39"/>
  <c r="C57" i="39"/>
  <c r="B57" i="39"/>
  <c r="J56" i="39"/>
  <c r="D56" i="39"/>
  <c r="C56" i="39"/>
  <c r="B56" i="39"/>
  <c r="J55" i="39"/>
  <c r="D55" i="39"/>
  <c r="C55" i="39"/>
  <c r="B55" i="39"/>
  <c r="J54" i="39"/>
  <c r="D54" i="39"/>
  <c r="C54" i="39"/>
  <c r="B54" i="39"/>
  <c r="J53" i="39"/>
  <c r="D53" i="39"/>
  <c r="C53" i="39"/>
  <c r="B53" i="39"/>
  <c r="J52" i="39"/>
  <c r="D52" i="39"/>
  <c r="C52" i="39"/>
  <c r="B52" i="39"/>
  <c r="J51" i="39"/>
  <c r="D51" i="39"/>
  <c r="C51" i="39"/>
  <c r="B51" i="39"/>
  <c r="J50" i="39"/>
  <c r="D50" i="39"/>
  <c r="C50" i="39"/>
  <c r="B50" i="39"/>
  <c r="J49" i="39"/>
  <c r="D49" i="39"/>
  <c r="C49" i="39"/>
  <c r="B49" i="39"/>
  <c r="J48" i="39"/>
  <c r="D48" i="39"/>
  <c r="C48" i="39"/>
  <c r="B48" i="39"/>
  <c r="J47" i="39"/>
  <c r="D47" i="39"/>
  <c r="C47" i="39"/>
  <c r="B47" i="39"/>
  <c r="J46" i="39"/>
  <c r="D46" i="39"/>
  <c r="C46" i="39"/>
  <c r="B46" i="39"/>
  <c r="J45" i="39"/>
  <c r="D45" i="39"/>
  <c r="C45" i="39"/>
  <c r="B45" i="39"/>
  <c r="J44" i="39"/>
  <c r="D44" i="39"/>
  <c r="C44" i="39"/>
  <c r="B44" i="39"/>
  <c r="J43" i="39"/>
  <c r="D43" i="39"/>
  <c r="C43" i="39"/>
  <c r="B43" i="39"/>
  <c r="J42" i="39"/>
  <c r="D42" i="39"/>
  <c r="C42" i="39"/>
  <c r="B42" i="39"/>
  <c r="J41" i="39"/>
  <c r="D41" i="39"/>
  <c r="C41" i="39"/>
  <c r="B41" i="39"/>
  <c r="J40" i="39"/>
  <c r="D40" i="39"/>
  <c r="C40" i="39"/>
  <c r="B40" i="39"/>
  <c r="J39" i="39"/>
  <c r="D39" i="39"/>
  <c r="C39" i="39"/>
  <c r="B39" i="39"/>
  <c r="J38" i="39"/>
  <c r="D38" i="39"/>
  <c r="C38" i="39"/>
  <c r="B38" i="39"/>
  <c r="J37" i="39"/>
  <c r="D37" i="39"/>
  <c r="C37" i="39"/>
  <c r="B37" i="39"/>
  <c r="J36" i="39"/>
  <c r="D36" i="39"/>
  <c r="C36" i="39"/>
  <c r="B36" i="39"/>
  <c r="J35" i="39"/>
  <c r="D35" i="39"/>
  <c r="C35" i="39"/>
  <c r="B35" i="39"/>
  <c r="J34" i="39"/>
  <c r="D34" i="39"/>
  <c r="C34" i="39"/>
  <c r="B34" i="39"/>
  <c r="J33" i="39"/>
  <c r="D33" i="39"/>
  <c r="C33" i="39"/>
  <c r="B33" i="39"/>
  <c r="J32" i="39"/>
  <c r="D32" i="39"/>
  <c r="C32" i="39"/>
  <c r="B32" i="39"/>
  <c r="J31" i="39"/>
  <c r="D31" i="39"/>
  <c r="C31" i="39"/>
  <c r="B31" i="39"/>
  <c r="J30" i="39"/>
  <c r="D30" i="39"/>
  <c r="C30" i="39"/>
  <c r="B30" i="39"/>
  <c r="J29" i="39"/>
  <c r="D29" i="39"/>
  <c r="C29" i="39"/>
  <c r="B29" i="39"/>
  <c r="J28" i="39"/>
  <c r="D28" i="39"/>
  <c r="C28" i="39"/>
  <c r="B28" i="39"/>
  <c r="J27" i="39"/>
  <c r="D27" i="39"/>
  <c r="C27" i="39"/>
  <c r="B27" i="39"/>
  <c r="J26" i="39"/>
  <c r="D26" i="39"/>
  <c r="C26" i="39"/>
  <c r="B26" i="39"/>
  <c r="J25" i="39"/>
  <c r="D25" i="39"/>
  <c r="C25" i="39"/>
  <c r="B25" i="39"/>
  <c r="J24" i="39"/>
  <c r="D24" i="39"/>
  <c r="C24" i="39"/>
  <c r="B24" i="39"/>
  <c r="J23" i="39"/>
  <c r="D23" i="39"/>
  <c r="C23" i="39"/>
  <c r="B23" i="39"/>
  <c r="J22" i="39"/>
  <c r="D22" i="39"/>
  <c r="C22" i="39"/>
  <c r="B22" i="39"/>
  <c r="J21" i="39"/>
  <c r="D21" i="39"/>
  <c r="C21" i="39"/>
  <c r="B21" i="39"/>
  <c r="J20" i="39"/>
  <c r="D20" i="39"/>
  <c r="C20" i="39"/>
  <c r="B20" i="39"/>
  <c r="J19" i="39"/>
  <c r="D19" i="39"/>
  <c r="C19" i="39"/>
  <c r="B19" i="39"/>
  <c r="J18" i="39"/>
  <c r="D18" i="39"/>
  <c r="C18" i="39"/>
  <c r="B18" i="39"/>
  <c r="J17" i="39"/>
  <c r="D17" i="39"/>
  <c r="C17" i="39"/>
  <c r="B17" i="39"/>
  <c r="J16" i="39"/>
  <c r="D16" i="39"/>
  <c r="C16" i="39"/>
  <c r="B16" i="39"/>
  <c r="J15" i="39"/>
  <c r="D15" i="39"/>
  <c r="C15" i="39"/>
  <c r="B15" i="39"/>
  <c r="J14" i="39"/>
  <c r="D14" i="39"/>
  <c r="C14" i="39"/>
  <c r="B14" i="39"/>
  <c r="J13" i="39"/>
  <c r="D13" i="39"/>
  <c r="C13" i="39"/>
  <c r="B13" i="39"/>
  <c r="J12" i="39"/>
  <c r="D12" i="39"/>
  <c r="C12" i="39"/>
  <c r="B12" i="39"/>
  <c r="J11" i="39"/>
  <c r="D11" i="39"/>
  <c r="C11" i="39"/>
  <c r="B11" i="39"/>
  <c r="J10" i="39"/>
  <c r="D10" i="39"/>
  <c r="C10" i="39"/>
  <c r="B10" i="39"/>
  <c r="J9" i="39"/>
  <c r="D9" i="39"/>
  <c r="C9" i="39"/>
  <c r="B9" i="39"/>
  <c r="J8" i="39"/>
  <c r="D8" i="39"/>
  <c r="C8" i="39"/>
  <c r="B8" i="39"/>
  <c r="J7" i="39"/>
  <c r="D7" i="39"/>
  <c r="C7" i="39"/>
  <c r="B7" i="39"/>
  <c r="J6" i="39"/>
  <c r="D6" i="39"/>
  <c r="C6" i="39"/>
  <c r="B6" i="39"/>
  <c r="J5" i="39"/>
  <c r="D5" i="39"/>
  <c r="C5" i="39"/>
  <c r="B5" i="39"/>
  <c r="J4" i="39"/>
  <c r="D4" i="39"/>
  <c r="C4" i="39"/>
  <c r="B4" i="39"/>
  <c r="J3" i="39"/>
  <c r="D3" i="39"/>
  <c r="C3" i="39"/>
  <c r="B3" i="39"/>
  <c r="D87" i="38"/>
  <c r="D88" i="38"/>
  <c r="D89" i="38"/>
  <c r="D90" i="38"/>
  <c r="D91" i="38"/>
  <c r="D92" i="38"/>
  <c r="D93" i="38"/>
  <c r="D94" i="38"/>
  <c r="D95" i="38"/>
  <c r="D96" i="38"/>
  <c r="D97" i="38"/>
  <c r="D98" i="38"/>
  <c r="D99" i="38"/>
  <c r="D100" i="38"/>
  <c r="D101" i="38"/>
  <c r="D102" i="38"/>
  <c r="D103" i="38"/>
  <c r="D104" i="38"/>
  <c r="D105" i="38"/>
  <c r="D106" i="38"/>
  <c r="D107" i="38"/>
  <c r="D108" i="38"/>
  <c r="D109" i="38"/>
  <c r="D110" i="38"/>
  <c r="D111" i="38"/>
  <c r="D112" i="38"/>
  <c r="D113" i="38"/>
  <c r="D114" i="38"/>
  <c r="D115" i="38"/>
  <c r="D116" i="38"/>
  <c r="D117" i="38"/>
  <c r="D118" i="38"/>
  <c r="D119" i="38"/>
  <c r="D120" i="38"/>
  <c r="D121" i="38"/>
  <c r="D122" i="38"/>
  <c r="D123" i="38"/>
  <c r="D124" i="38"/>
  <c r="D125" i="38"/>
  <c r="D126" i="38"/>
  <c r="D127" i="38"/>
  <c r="D128" i="38"/>
  <c r="D129" i="38"/>
  <c r="D130" i="38"/>
  <c r="D131" i="38"/>
  <c r="D132" i="38"/>
  <c r="D133" i="38"/>
  <c r="D134" i="38"/>
  <c r="D135" i="38"/>
  <c r="D136" i="38"/>
  <c r="D137" i="38"/>
  <c r="D138" i="38"/>
  <c r="D139" i="38"/>
  <c r="D140" i="38"/>
  <c r="D141" i="38"/>
  <c r="D142" i="38"/>
  <c r="D143" i="38"/>
  <c r="D144" i="38"/>
  <c r="D145" i="38"/>
  <c r="D146" i="38"/>
  <c r="D147" i="38"/>
  <c r="D148" i="38"/>
  <c r="D149" i="38"/>
  <c r="D150" i="38"/>
  <c r="D151" i="38"/>
  <c r="D152" i="38"/>
  <c r="D153" i="38"/>
  <c r="D154" i="38"/>
  <c r="D155" i="38"/>
  <c r="D156" i="38"/>
  <c r="D157" i="38"/>
  <c r="D158" i="38"/>
  <c r="D159" i="38"/>
  <c r="D160" i="38"/>
  <c r="D161" i="38"/>
  <c r="D162" i="38"/>
  <c r="D163" i="38"/>
  <c r="D164" i="38"/>
  <c r="D165" i="38"/>
  <c r="D166" i="38"/>
  <c r="D167" i="38"/>
  <c r="D168" i="38"/>
  <c r="D169" i="38"/>
  <c r="D170" i="38"/>
  <c r="D171" i="38"/>
  <c r="D172" i="38"/>
  <c r="D173" i="38"/>
  <c r="D174" i="38"/>
  <c r="D175" i="38"/>
  <c r="D176" i="38"/>
  <c r="D177" i="38"/>
  <c r="D178" i="38"/>
  <c r="D179" i="38"/>
  <c r="D180" i="38"/>
  <c r="D181" i="38"/>
  <c r="D182" i="38"/>
  <c r="D183" i="38"/>
  <c r="D184" i="38"/>
  <c r="D185" i="38"/>
  <c r="D186" i="38"/>
  <c r="D187" i="38"/>
  <c r="D188" i="38"/>
  <c r="D189" i="38"/>
  <c r="D190" i="38"/>
  <c r="D191" i="38"/>
  <c r="D192" i="38"/>
  <c r="D193" i="38"/>
  <c r="D194" i="38"/>
  <c r="D195" i="38"/>
  <c r="D196" i="38"/>
  <c r="D197" i="38"/>
  <c r="D198" i="38"/>
  <c r="D199" i="38"/>
  <c r="D200" i="38"/>
  <c r="D201" i="38"/>
  <c r="D202" i="38"/>
  <c r="D203" i="38"/>
  <c r="D204" i="38"/>
  <c r="D205" i="38"/>
  <c r="D206" i="38"/>
  <c r="D207" i="38"/>
  <c r="D208" i="38"/>
  <c r="D209" i="38"/>
  <c r="D210" i="38"/>
  <c r="D211" i="38"/>
  <c r="D212" i="38"/>
  <c r="D213" i="38"/>
  <c r="D214" i="38"/>
  <c r="D215" i="38"/>
  <c r="D216" i="38"/>
  <c r="D217" i="38"/>
  <c r="D218" i="38"/>
  <c r="D219" i="38"/>
  <c r="D220" i="38"/>
  <c r="D221" i="38"/>
  <c r="D222" i="38"/>
  <c r="D223" i="38"/>
  <c r="D224" i="38"/>
  <c r="D225" i="38"/>
  <c r="D226" i="38"/>
  <c r="D227" i="38"/>
  <c r="D228" i="38"/>
  <c r="D229" i="38"/>
  <c r="D230" i="38"/>
  <c r="C88" i="38"/>
  <c r="C89" i="38"/>
  <c r="C90" i="38"/>
  <c r="C91" i="38"/>
  <c r="C92" i="38"/>
  <c r="C93" i="38"/>
  <c r="C94" i="38"/>
  <c r="C95" i="38"/>
  <c r="C96" i="38"/>
  <c r="C97" i="38"/>
  <c r="C98" i="38"/>
  <c r="C99" i="38"/>
  <c r="C100" i="38"/>
  <c r="C101" i="38"/>
  <c r="C102" i="38"/>
  <c r="C103" i="38"/>
  <c r="C104" i="38"/>
  <c r="C105" i="38"/>
  <c r="C106" i="38"/>
  <c r="C107" i="38"/>
  <c r="C108" i="38"/>
  <c r="C109" i="38"/>
  <c r="C110" i="38"/>
  <c r="C111" i="38"/>
  <c r="C112" i="38"/>
  <c r="C113" i="38"/>
  <c r="C114" i="38"/>
  <c r="C115" i="38"/>
  <c r="C116" i="38"/>
  <c r="C117" i="38"/>
  <c r="C118" i="38"/>
  <c r="C119" i="38"/>
  <c r="C120" i="38"/>
  <c r="C121" i="38"/>
  <c r="C122" i="38"/>
  <c r="C123" i="38"/>
  <c r="C124" i="38"/>
  <c r="C125" i="38"/>
  <c r="C126" i="38"/>
  <c r="C127" i="38"/>
  <c r="C128" i="38"/>
  <c r="C129" i="38"/>
  <c r="C130" i="38"/>
  <c r="C131" i="38"/>
  <c r="C132" i="38"/>
  <c r="C133" i="38"/>
  <c r="C134" i="38"/>
  <c r="C135" i="38"/>
  <c r="C136" i="38"/>
  <c r="C137" i="38"/>
  <c r="C138" i="38"/>
  <c r="C139" i="38"/>
  <c r="C140" i="38"/>
  <c r="C141" i="38"/>
  <c r="C142" i="38"/>
  <c r="C143" i="38"/>
  <c r="C144" i="38"/>
  <c r="C145" i="38"/>
  <c r="C146" i="38"/>
  <c r="C147" i="38"/>
  <c r="C148" i="38"/>
  <c r="C149" i="38"/>
  <c r="C150" i="38"/>
  <c r="C151" i="38"/>
  <c r="C152" i="38"/>
  <c r="C153" i="38"/>
  <c r="C154" i="38"/>
  <c r="C155" i="38"/>
  <c r="C156" i="38"/>
  <c r="C157" i="38"/>
  <c r="C158" i="38"/>
  <c r="C159" i="38"/>
  <c r="C160" i="38"/>
  <c r="C161" i="38"/>
  <c r="C162" i="38"/>
  <c r="C163" i="38"/>
  <c r="C164" i="38"/>
  <c r="C165" i="38"/>
  <c r="C166" i="38"/>
  <c r="C167" i="38"/>
  <c r="C168" i="38"/>
  <c r="C169" i="38"/>
  <c r="C170" i="38"/>
  <c r="C171" i="38"/>
  <c r="C172" i="38"/>
  <c r="C173" i="38"/>
  <c r="C174" i="38"/>
  <c r="C175" i="38"/>
  <c r="C176" i="38"/>
  <c r="C177" i="38"/>
  <c r="C178" i="38"/>
  <c r="C179" i="38"/>
  <c r="C180" i="38"/>
  <c r="C181" i="38"/>
  <c r="C182" i="38"/>
  <c r="C183" i="38"/>
  <c r="C184" i="38"/>
  <c r="C185" i="38"/>
  <c r="C186" i="38"/>
  <c r="C187" i="38"/>
  <c r="C188" i="38"/>
  <c r="C189" i="38"/>
  <c r="C190" i="38"/>
  <c r="C191" i="38"/>
  <c r="C192" i="38"/>
  <c r="C193" i="38"/>
  <c r="C194" i="38"/>
  <c r="C195" i="38"/>
  <c r="C196" i="38"/>
  <c r="C197" i="38"/>
  <c r="C198" i="38"/>
  <c r="C199" i="38"/>
  <c r="C200" i="38"/>
  <c r="C201" i="38"/>
  <c r="C202" i="38"/>
  <c r="C203" i="38"/>
  <c r="C204" i="38"/>
  <c r="C205" i="38"/>
  <c r="C206" i="38"/>
  <c r="C207" i="38"/>
  <c r="C208" i="38"/>
  <c r="C209" i="38"/>
  <c r="C210" i="38"/>
  <c r="C211" i="38"/>
  <c r="C212" i="38"/>
  <c r="C213" i="38"/>
  <c r="C214" i="38"/>
  <c r="C215" i="38"/>
  <c r="C216" i="38"/>
  <c r="C217" i="38"/>
  <c r="C218" i="38"/>
  <c r="C219" i="38"/>
  <c r="C220" i="38"/>
  <c r="C221" i="38"/>
  <c r="C222" i="38"/>
  <c r="C223" i="38"/>
  <c r="C224" i="38"/>
  <c r="C225" i="38"/>
  <c r="C226" i="38"/>
  <c r="C227" i="38"/>
  <c r="C228" i="38"/>
  <c r="C229" i="38"/>
  <c r="C230" i="38"/>
  <c r="C87" i="38"/>
  <c r="H266" i="38"/>
  <c r="F266" i="38"/>
  <c r="E266" i="38"/>
  <c r="D266" i="38"/>
  <c r="C266" i="38"/>
  <c r="H265" i="38"/>
  <c r="F265" i="38"/>
  <c r="E265" i="38"/>
  <c r="D265" i="38"/>
  <c r="C265" i="38"/>
  <c r="H264" i="38"/>
  <c r="F264" i="38"/>
  <c r="E264" i="38"/>
  <c r="D264" i="38"/>
  <c r="C264" i="38"/>
  <c r="H263" i="38"/>
  <c r="F263" i="38"/>
  <c r="E263" i="38"/>
  <c r="D263" i="38"/>
  <c r="C263" i="38"/>
  <c r="H262" i="38"/>
  <c r="F262" i="38"/>
  <c r="E262" i="38"/>
  <c r="D262" i="38"/>
  <c r="C262" i="38"/>
  <c r="H261" i="38"/>
  <c r="F261" i="38"/>
  <c r="E261" i="38"/>
  <c r="D261" i="38"/>
  <c r="C261" i="38"/>
  <c r="H260" i="38"/>
  <c r="F260" i="38"/>
  <c r="E260" i="38"/>
  <c r="D260" i="38"/>
  <c r="C260" i="38"/>
  <c r="H259" i="38"/>
  <c r="F259" i="38"/>
  <c r="E259" i="38"/>
  <c r="D259" i="38"/>
  <c r="C259" i="38"/>
  <c r="H258" i="38"/>
  <c r="F258" i="38"/>
  <c r="E258" i="38"/>
  <c r="D258" i="38"/>
  <c r="C258" i="38"/>
  <c r="H257" i="38"/>
  <c r="F257" i="38"/>
  <c r="E257" i="38"/>
  <c r="D257" i="38"/>
  <c r="C257" i="38"/>
  <c r="H256" i="38"/>
  <c r="F256" i="38"/>
  <c r="E256" i="38"/>
  <c r="D256" i="38"/>
  <c r="C256" i="38"/>
  <c r="H255" i="38"/>
  <c r="F255" i="38"/>
  <c r="E255" i="38"/>
  <c r="D255" i="38"/>
  <c r="C255" i="38"/>
  <c r="I206" i="38"/>
  <c r="B206" i="38"/>
  <c r="I205" i="38"/>
  <c r="B205" i="38"/>
  <c r="I204" i="38"/>
  <c r="B204" i="38"/>
  <c r="I203" i="38"/>
  <c r="B203" i="38"/>
  <c r="I202" i="38"/>
  <c r="B202" i="38"/>
  <c r="I201" i="38"/>
  <c r="B201" i="38"/>
  <c r="I200" i="38"/>
  <c r="B200" i="38"/>
  <c r="I199" i="38"/>
  <c r="B199" i="38"/>
  <c r="I198" i="38"/>
  <c r="B198" i="38"/>
  <c r="I197" i="38"/>
  <c r="B197" i="38"/>
  <c r="I196" i="38"/>
  <c r="B196" i="38"/>
  <c r="I195" i="38"/>
  <c r="B195" i="38"/>
  <c r="I194" i="38"/>
  <c r="B194" i="38"/>
  <c r="I193" i="38"/>
  <c r="B193" i="38"/>
  <c r="I192" i="38"/>
  <c r="B192" i="38"/>
  <c r="I191" i="38"/>
  <c r="B191" i="38"/>
  <c r="I190" i="38"/>
  <c r="B190" i="38"/>
  <c r="I189" i="38"/>
  <c r="B189" i="38"/>
  <c r="I188" i="38"/>
  <c r="B188" i="38"/>
  <c r="I187" i="38"/>
  <c r="B187" i="38"/>
  <c r="I186" i="38"/>
  <c r="B186" i="38"/>
  <c r="I185" i="38"/>
  <c r="B185" i="38"/>
  <c r="I184" i="38"/>
  <c r="B184" i="38"/>
  <c r="I183" i="38"/>
  <c r="B183" i="38"/>
  <c r="I182" i="38"/>
  <c r="B182" i="38"/>
  <c r="I181" i="38"/>
  <c r="B181" i="38"/>
  <c r="I180" i="38"/>
  <c r="B180" i="38"/>
  <c r="I179" i="38"/>
  <c r="B179" i="38"/>
  <c r="I178" i="38"/>
  <c r="B178" i="38"/>
  <c r="I177" i="38"/>
  <c r="B177" i="38"/>
  <c r="I176" i="38"/>
  <c r="B176" i="38"/>
  <c r="I175" i="38"/>
  <c r="B175" i="38"/>
  <c r="I174" i="38"/>
  <c r="B174" i="38"/>
  <c r="I173" i="38"/>
  <c r="B173" i="38"/>
  <c r="I172" i="38"/>
  <c r="B172" i="38"/>
  <c r="I171" i="38"/>
  <c r="B171" i="38"/>
  <c r="I170" i="38"/>
  <c r="B170" i="38"/>
  <c r="I169" i="38"/>
  <c r="B169" i="38"/>
  <c r="I168" i="38"/>
  <c r="B168" i="38"/>
  <c r="I167" i="38"/>
  <c r="B167" i="38"/>
  <c r="I166" i="38"/>
  <c r="B166" i="38"/>
  <c r="I165" i="38"/>
  <c r="B165" i="38"/>
  <c r="I164" i="38"/>
  <c r="B164" i="38"/>
  <c r="I163" i="38"/>
  <c r="B163" i="38"/>
  <c r="I162" i="38"/>
  <c r="B162" i="38"/>
  <c r="I161" i="38"/>
  <c r="B161" i="38"/>
  <c r="I160" i="38"/>
  <c r="B160" i="38"/>
  <c r="I159" i="38"/>
  <c r="B159" i="38"/>
  <c r="I158" i="38"/>
  <c r="B158" i="38"/>
  <c r="I157" i="38"/>
  <c r="B157" i="38"/>
  <c r="I156" i="38"/>
  <c r="B156" i="38"/>
  <c r="I155" i="38"/>
  <c r="B155" i="38"/>
  <c r="I154" i="38"/>
  <c r="B154" i="38"/>
  <c r="I153" i="38"/>
  <c r="B153" i="38"/>
  <c r="I152" i="38"/>
  <c r="B152" i="38"/>
  <c r="I151" i="38"/>
  <c r="B151" i="38"/>
  <c r="I150" i="38"/>
  <c r="B150" i="38"/>
  <c r="I149" i="38"/>
  <c r="B149" i="38"/>
  <c r="I148" i="38"/>
  <c r="B148" i="38"/>
  <c r="I147" i="38"/>
  <c r="B147" i="38"/>
  <c r="I146" i="38"/>
  <c r="B146" i="38"/>
  <c r="I145" i="38"/>
  <c r="B145" i="38"/>
  <c r="I144" i="38"/>
  <c r="B144" i="38"/>
  <c r="I143" i="38"/>
  <c r="B143" i="38"/>
  <c r="I142" i="38"/>
  <c r="B142" i="38"/>
  <c r="I141" i="38"/>
  <c r="B141" i="38"/>
  <c r="I140" i="38"/>
  <c r="B140" i="38"/>
  <c r="I139" i="38"/>
  <c r="B139" i="38"/>
  <c r="I138" i="38"/>
  <c r="B138" i="38"/>
  <c r="I137" i="38"/>
  <c r="B137" i="38"/>
  <c r="I136" i="38"/>
  <c r="B136" i="38"/>
  <c r="I135" i="38"/>
  <c r="B135" i="38"/>
  <c r="I134" i="38"/>
  <c r="B134" i="38"/>
  <c r="I133" i="38"/>
  <c r="B133" i="38"/>
  <c r="I132" i="38"/>
  <c r="B132" i="38"/>
  <c r="I131" i="38"/>
  <c r="B131" i="38"/>
  <c r="I130" i="38"/>
  <c r="B130" i="38"/>
  <c r="I129" i="38"/>
  <c r="B129" i="38"/>
  <c r="I128" i="38"/>
  <c r="B128" i="38"/>
  <c r="I127" i="38"/>
  <c r="B127" i="38"/>
  <c r="I126" i="38"/>
  <c r="B126" i="38"/>
  <c r="I125" i="38"/>
  <c r="B125" i="38"/>
  <c r="I124" i="38"/>
  <c r="B124" i="38"/>
  <c r="I123" i="38"/>
  <c r="B123" i="38"/>
  <c r="I122" i="38"/>
  <c r="B122" i="38"/>
  <c r="I121" i="38"/>
  <c r="B121" i="38"/>
  <c r="I120" i="38"/>
  <c r="B120" i="38"/>
  <c r="I119" i="38"/>
  <c r="B119" i="38"/>
  <c r="I118" i="38"/>
  <c r="B118" i="38"/>
  <c r="I117" i="38"/>
  <c r="B117" i="38"/>
  <c r="I116" i="38"/>
  <c r="B116" i="38"/>
  <c r="I115" i="38"/>
  <c r="B115" i="38"/>
  <c r="I114" i="38"/>
  <c r="B114" i="38"/>
  <c r="I113" i="38"/>
  <c r="B113" i="38"/>
  <c r="I112" i="38"/>
  <c r="B112" i="38"/>
  <c r="I111" i="38"/>
  <c r="B111" i="38"/>
  <c r="I110" i="38"/>
  <c r="B110" i="38"/>
  <c r="I109" i="38"/>
  <c r="B109" i="38"/>
  <c r="I108" i="38"/>
  <c r="B108" i="38"/>
  <c r="I107" i="38"/>
  <c r="B107" i="38"/>
  <c r="I106" i="38"/>
  <c r="B106" i="38"/>
  <c r="I105" i="38"/>
  <c r="B105" i="38"/>
  <c r="I104" i="38"/>
  <c r="B104" i="38"/>
  <c r="I103" i="38"/>
  <c r="B103" i="38"/>
  <c r="I102" i="38"/>
  <c r="B102" i="38"/>
  <c r="I101" i="38"/>
  <c r="B101" i="38"/>
  <c r="I100" i="38"/>
  <c r="B100" i="38"/>
  <c r="I99" i="38"/>
  <c r="B99" i="38"/>
  <c r="I98" i="38"/>
  <c r="B98" i="38"/>
  <c r="I97" i="38"/>
  <c r="B97" i="38"/>
  <c r="I96" i="38"/>
  <c r="B96" i="38"/>
  <c r="I95" i="38"/>
  <c r="B95" i="38"/>
  <c r="I94" i="38"/>
  <c r="B94" i="38"/>
  <c r="I93" i="38"/>
  <c r="B93" i="38"/>
  <c r="I92" i="38"/>
  <c r="B92" i="38"/>
  <c r="I91" i="38"/>
  <c r="B91" i="38"/>
  <c r="I90" i="38"/>
  <c r="B90" i="38"/>
  <c r="I89" i="38"/>
  <c r="B89" i="38"/>
  <c r="I88" i="38"/>
  <c r="B88" i="38"/>
  <c r="I87" i="38"/>
  <c r="B87" i="38"/>
  <c r="I86" i="38"/>
  <c r="D86" i="38"/>
  <c r="C86" i="38"/>
  <c r="B86" i="38"/>
  <c r="I85" i="38"/>
  <c r="D85" i="38"/>
  <c r="C85" i="38"/>
  <c r="B85" i="38"/>
  <c r="I84" i="38"/>
  <c r="D84" i="38"/>
  <c r="C84" i="38"/>
  <c r="B84" i="38"/>
  <c r="I83" i="38"/>
  <c r="D83" i="38"/>
  <c r="C83" i="38"/>
  <c r="B83" i="38"/>
  <c r="I82" i="38"/>
  <c r="D82" i="38"/>
  <c r="C82" i="38"/>
  <c r="B82" i="38"/>
  <c r="I81" i="38"/>
  <c r="D81" i="38"/>
  <c r="C81" i="38"/>
  <c r="B81" i="38"/>
  <c r="I80" i="38"/>
  <c r="D80" i="38"/>
  <c r="C80" i="38"/>
  <c r="B80" i="38"/>
  <c r="I79" i="38"/>
  <c r="D79" i="38"/>
  <c r="C79" i="38"/>
  <c r="B79" i="38"/>
  <c r="I78" i="38"/>
  <c r="D78" i="38"/>
  <c r="C78" i="38"/>
  <c r="B78" i="38"/>
  <c r="I77" i="38"/>
  <c r="D77" i="38"/>
  <c r="C77" i="38"/>
  <c r="B77" i="38"/>
  <c r="I76" i="38"/>
  <c r="D76" i="38"/>
  <c r="C76" i="38"/>
  <c r="B76" i="38"/>
  <c r="I75" i="38"/>
  <c r="D75" i="38"/>
  <c r="C75" i="38"/>
  <c r="B75" i="38"/>
  <c r="I74" i="38"/>
  <c r="D74" i="38"/>
  <c r="C74" i="38"/>
  <c r="B74" i="38"/>
  <c r="I73" i="38"/>
  <c r="D73" i="38"/>
  <c r="C73" i="38"/>
  <c r="B73" i="38"/>
  <c r="I72" i="38"/>
  <c r="D72" i="38"/>
  <c r="C72" i="38"/>
  <c r="B72" i="38"/>
  <c r="I71" i="38"/>
  <c r="D71" i="38"/>
  <c r="C71" i="38"/>
  <c r="B71" i="38"/>
  <c r="I70" i="38"/>
  <c r="D70" i="38"/>
  <c r="C70" i="38"/>
  <c r="B70" i="38"/>
  <c r="I69" i="38"/>
  <c r="D69" i="38"/>
  <c r="C69" i="38"/>
  <c r="B69" i="38"/>
  <c r="I68" i="38"/>
  <c r="D68" i="38"/>
  <c r="C68" i="38"/>
  <c r="B68" i="38"/>
  <c r="I67" i="38"/>
  <c r="D67" i="38"/>
  <c r="C67" i="38"/>
  <c r="B67" i="38"/>
  <c r="I66" i="38"/>
  <c r="D66" i="38"/>
  <c r="C66" i="38"/>
  <c r="B66" i="38"/>
  <c r="I65" i="38"/>
  <c r="D65" i="38"/>
  <c r="C65" i="38"/>
  <c r="B65" i="38"/>
  <c r="I64" i="38"/>
  <c r="D64" i="38"/>
  <c r="C64" i="38"/>
  <c r="B64" i="38"/>
  <c r="I63" i="38"/>
  <c r="D63" i="38"/>
  <c r="C63" i="38"/>
  <c r="B63" i="38"/>
  <c r="I62" i="38"/>
  <c r="D62" i="38"/>
  <c r="C62" i="38"/>
  <c r="B62" i="38"/>
  <c r="I61" i="38"/>
  <c r="D61" i="38"/>
  <c r="C61" i="38"/>
  <c r="B61" i="38"/>
  <c r="I60" i="38"/>
  <c r="D60" i="38"/>
  <c r="C60" i="38"/>
  <c r="B60" i="38"/>
  <c r="I59" i="38"/>
  <c r="D59" i="38"/>
  <c r="C59" i="38"/>
  <c r="B59" i="38"/>
  <c r="I58" i="38"/>
  <c r="D58" i="38"/>
  <c r="C58" i="38"/>
  <c r="B58" i="38"/>
  <c r="I57" i="38"/>
  <c r="D57" i="38"/>
  <c r="C57" i="38"/>
  <c r="B57" i="38"/>
  <c r="I56" i="38"/>
  <c r="D56" i="38"/>
  <c r="C56" i="38"/>
  <c r="B56" i="38"/>
  <c r="I55" i="38"/>
  <c r="D55" i="38"/>
  <c r="C55" i="38"/>
  <c r="B55" i="38"/>
  <c r="I54" i="38"/>
  <c r="D54" i="38"/>
  <c r="C54" i="38"/>
  <c r="B54" i="38"/>
  <c r="I53" i="38"/>
  <c r="D53" i="38"/>
  <c r="C53" i="38"/>
  <c r="B53" i="38"/>
  <c r="I52" i="38"/>
  <c r="D52" i="38"/>
  <c r="C52" i="38"/>
  <c r="B52" i="38"/>
  <c r="I51" i="38"/>
  <c r="D51" i="38"/>
  <c r="C51" i="38"/>
  <c r="B51" i="38"/>
  <c r="I50" i="38"/>
  <c r="D50" i="38"/>
  <c r="C50" i="38"/>
  <c r="B50" i="38"/>
  <c r="I49" i="38"/>
  <c r="D49" i="38"/>
  <c r="C49" i="38"/>
  <c r="B49" i="38"/>
  <c r="I48" i="38"/>
  <c r="D48" i="38"/>
  <c r="C48" i="38"/>
  <c r="B48" i="38"/>
  <c r="I47" i="38"/>
  <c r="D47" i="38"/>
  <c r="C47" i="38"/>
  <c r="B47" i="38"/>
  <c r="I46" i="38"/>
  <c r="D46" i="38"/>
  <c r="C46" i="38"/>
  <c r="B46" i="38"/>
  <c r="I45" i="38"/>
  <c r="D45" i="38"/>
  <c r="C45" i="38"/>
  <c r="B45" i="38"/>
  <c r="I44" i="38"/>
  <c r="D44" i="38"/>
  <c r="C44" i="38"/>
  <c r="B44" i="38"/>
  <c r="I43" i="38"/>
  <c r="D43" i="38"/>
  <c r="C43" i="38"/>
  <c r="B43" i="38"/>
  <c r="I42" i="38"/>
  <c r="D42" i="38"/>
  <c r="C42" i="38"/>
  <c r="B42" i="38"/>
  <c r="I41" i="38"/>
  <c r="D41" i="38"/>
  <c r="C41" i="38"/>
  <c r="B41" i="38"/>
  <c r="I40" i="38"/>
  <c r="D40" i="38"/>
  <c r="C40" i="38"/>
  <c r="B40" i="38"/>
  <c r="I39" i="38"/>
  <c r="D39" i="38"/>
  <c r="C39" i="38"/>
  <c r="B39" i="38"/>
  <c r="I38" i="38"/>
  <c r="D38" i="38"/>
  <c r="C38" i="38"/>
  <c r="B38" i="38"/>
  <c r="I37" i="38"/>
  <c r="D37" i="38"/>
  <c r="C37" i="38"/>
  <c r="B37" i="38"/>
  <c r="I36" i="38"/>
  <c r="D36" i="38"/>
  <c r="C36" i="38"/>
  <c r="B36" i="38"/>
  <c r="I35" i="38"/>
  <c r="D35" i="38"/>
  <c r="C35" i="38"/>
  <c r="B35" i="38"/>
  <c r="I34" i="38"/>
  <c r="D34" i="38"/>
  <c r="C34" i="38"/>
  <c r="B34" i="38"/>
  <c r="I33" i="38"/>
  <c r="D33" i="38"/>
  <c r="C33" i="38"/>
  <c r="B33" i="38"/>
  <c r="I32" i="38"/>
  <c r="D32" i="38"/>
  <c r="C32" i="38"/>
  <c r="B32" i="38"/>
  <c r="I31" i="38"/>
  <c r="D31" i="38"/>
  <c r="C31" i="38"/>
  <c r="B31" i="38"/>
  <c r="I30" i="38"/>
  <c r="D30" i="38"/>
  <c r="C30" i="38"/>
  <c r="B30" i="38"/>
  <c r="I29" i="38"/>
  <c r="D29" i="38"/>
  <c r="C29" i="38"/>
  <c r="B29" i="38"/>
  <c r="I28" i="38"/>
  <c r="D28" i="38"/>
  <c r="C28" i="38"/>
  <c r="B28" i="38"/>
  <c r="I27" i="38"/>
  <c r="D27" i="38"/>
  <c r="C27" i="38"/>
  <c r="B27" i="38"/>
  <c r="I26" i="38"/>
  <c r="D26" i="38"/>
  <c r="C26" i="38"/>
  <c r="B26" i="38"/>
  <c r="I25" i="38"/>
  <c r="D25" i="38"/>
  <c r="C25" i="38"/>
  <c r="B25" i="38"/>
  <c r="I24" i="38"/>
  <c r="D24" i="38"/>
  <c r="C24" i="38"/>
  <c r="B24" i="38"/>
  <c r="I23" i="38"/>
  <c r="D23" i="38"/>
  <c r="C23" i="38"/>
  <c r="B23" i="38"/>
  <c r="I22" i="38"/>
  <c r="D22" i="38"/>
  <c r="C22" i="38"/>
  <c r="B22" i="38"/>
  <c r="I21" i="38"/>
  <c r="D21" i="38"/>
  <c r="C21" i="38"/>
  <c r="B21" i="38"/>
  <c r="I20" i="38"/>
  <c r="D20" i="38"/>
  <c r="C20" i="38"/>
  <c r="B20" i="38"/>
  <c r="I19" i="38"/>
  <c r="D19" i="38"/>
  <c r="C19" i="38"/>
  <c r="B19" i="38"/>
  <c r="I18" i="38"/>
  <c r="D18" i="38"/>
  <c r="C18" i="38"/>
  <c r="B18" i="38"/>
  <c r="I17" i="38"/>
  <c r="D17" i="38"/>
  <c r="C17" i="38"/>
  <c r="B17" i="38"/>
  <c r="I16" i="38"/>
  <c r="D16" i="38"/>
  <c r="C16" i="38"/>
  <c r="B16" i="38"/>
  <c r="I15" i="38"/>
  <c r="D15" i="38"/>
  <c r="C15" i="38"/>
  <c r="B15" i="38"/>
  <c r="I14" i="38"/>
  <c r="D14" i="38"/>
  <c r="C14" i="38"/>
  <c r="B14" i="38"/>
  <c r="I13" i="38"/>
  <c r="D13" i="38"/>
  <c r="C13" i="38"/>
  <c r="B13" i="38"/>
  <c r="I12" i="38"/>
  <c r="D12" i="38"/>
  <c r="C12" i="38"/>
  <c r="B12" i="38"/>
  <c r="I11" i="38"/>
  <c r="D11" i="38"/>
  <c r="C11" i="38"/>
  <c r="B11" i="38"/>
  <c r="I10" i="38"/>
  <c r="D10" i="38"/>
  <c r="C10" i="38"/>
  <c r="B10" i="38"/>
  <c r="I9" i="38"/>
  <c r="D9" i="38"/>
  <c r="C9" i="38"/>
  <c r="B9" i="38"/>
  <c r="I8" i="38"/>
  <c r="D8" i="38"/>
  <c r="C8" i="38"/>
  <c r="B8" i="38"/>
  <c r="I7" i="38"/>
  <c r="D7" i="38"/>
  <c r="C7" i="38"/>
  <c r="B7" i="38"/>
  <c r="I6" i="38"/>
  <c r="D6" i="38"/>
  <c r="C6" i="38"/>
  <c r="B6" i="38"/>
  <c r="I5" i="38"/>
  <c r="D5" i="38"/>
  <c r="C5" i="38"/>
  <c r="B5" i="38"/>
  <c r="I4" i="38"/>
  <c r="D4" i="38"/>
  <c r="C4" i="38"/>
  <c r="B4" i="38"/>
  <c r="I3" i="38"/>
  <c r="D3" i="38"/>
  <c r="C3" i="38"/>
  <c r="B3" i="38"/>
  <c r="D102" i="35"/>
  <c r="D153" i="35" s="1"/>
  <c r="D167" i="35" s="1"/>
  <c r="D188" i="35" s="1"/>
  <c r="D103" i="35"/>
  <c r="D154" i="35" s="1"/>
  <c r="D168" i="35" s="1"/>
  <c r="D189" i="35" s="1"/>
  <c r="D104" i="35"/>
  <c r="D155" i="35" s="1"/>
  <c r="D169" i="35" s="1"/>
  <c r="D190" i="35" s="1"/>
  <c r="D105" i="35"/>
  <c r="D156" i="35" s="1"/>
  <c r="D170" i="35" s="1"/>
  <c r="D191" i="35" s="1"/>
  <c r="D106" i="35"/>
  <c r="D157" i="35" s="1"/>
  <c r="D171" i="35" s="1"/>
  <c r="D192" i="35" s="1"/>
  <c r="D107" i="35"/>
  <c r="D158" i="35" s="1"/>
  <c r="D172" i="35" s="1"/>
  <c r="D193" i="35" s="1"/>
  <c r="D108" i="35"/>
  <c r="D159" i="35" s="1"/>
  <c r="D173" i="35" s="1"/>
  <c r="D194" i="35" s="1"/>
  <c r="D109" i="35"/>
  <c r="D160" i="35" s="1"/>
  <c r="D174" i="35" s="1"/>
  <c r="D195" i="35" s="1"/>
  <c r="D110" i="35"/>
  <c r="D161" i="35" s="1"/>
  <c r="D175" i="35" s="1"/>
  <c r="D196" i="35" s="1"/>
  <c r="D263" i="35" s="1"/>
  <c r="D111" i="35"/>
  <c r="D112" i="35"/>
  <c r="D101" i="35"/>
  <c r="D152" i="35" s="1"/>
  <c r="D166" i="35" s="1"/>
  <c r="D187" i="35" s="1"/>
  <c r="C100" i="37"/>
  <c r="D100" i="37"/>
  <c r="C101" i="37"/>
  <c r="D101" i="37"/>
  <c r="C102" i="37"/>
  <c r="D102" i="37"/>
  <c r="C103" i="37"/>
  <c r="D103" i="37"/>
  <c r="D115" i="37" s="1"/>
  <c r="D127" i="37" s="1"/>
  <c r="D139" i="37" s="1"/>
  <c r="D151" i="37" s="1"/>
  <c r="D163" i="37" s="1"/>
  <c r="D175" i="37" s="1"/>
  <c r="D187" i="37" s="1"/>
  <c r="D199" i="37" s="1"/>
  <c r="D211" i="37" s="1"/>
  <c r="D223" i="37" s="1"/>
  <c r="C104" i="37"/>
  <c r="D104" i="37"/>
  <c r="C105" i="37"/>
  <c r="D105" i="37"/>
  <c r="C106" i="37"/>
  <c r="D106" i="37"/>
  <c r="C107" i="37"/>
  <c r="D107" i="37"/>
  <c r="C108" i="37"/>
  <c r="D108" i="37"/>
  <c r="C109" i="37"/>
  <c r="D109" i="37"/>
  <c r="C110" i="37"/>
  <c r="D110" i="37"/>
  <c r="C111" i="37"/>
  <c r="D111" i="37"/>
  <c r="C112" i="37"/>
  <c r="D112" i="37"/>
  <c r="C113" i="37"/>
  <c r="D113" i="37"/>
  <c r="C114" i="37"/>
  <c r="D114" i="37"/>
  <c r="C116" i="37"/>
  <c r="D116" i="37"/>
  <c r="C117" i="37"/>
  <c r="D117" i="37"/>
  <c r="C118" i="37"/>
  <c r="D118" i="37"/>
  <c r="C119" i="37"/>
  <c r="D119" i="37"/>
  <c r="C120" i="37"/>
  <c r="D120" i="37"/>
  <c r="C121" i="37"/>
  <c r="D121" i="37"/>
  <c r="C122" i="37"/>
  <c r="D122" i="37"/>
  <c r="C123" i="37"/>
  <c r="D123" i="37"/>
  <c r="C124" i="37"/>
  <c r="D124" i="37"/>
  <c r="C125" i="37"/>
  <c r="D125" i="37"/>
  <c r="C126" i="37"/>
  <c r="D126" i="37"/>
  <c r="C128" i="37"/>
  <c r="D128" i="37"/>
  <c r="C129" i="37"/>
  <c r="D129" i="37"/>
  <c r="C130" i="37"/>
  <c r="D130" i="37"/>
  <c r="C131" i="37"/>
  <c r="D131" i="37"/>
  <c r="C132" i="37"/>
  <c r="D132" i="37"/>
  <c r="C133" i="37"/>
  <c r="D133" i="37"/>
  <c r="C134" i="37"/>
  <c r="D134" i="37"/>
  <c r="C135" i="37"/>
  <c r="D135" i="37"/>
  <c r="C136" i="37"/>
  <c r="D136" i="37"/>
  <c r="C137" i="37"/>
  <c r="D137" i="37"/>
  <c r="C138" i="37"/>
  <c r="D138" i="37"/>
  <c r="C140" i="37"/>
  <c r="D140" i="37"/>
  <c r="C141" i="37"/>
  <c r="D141" i="37"/>
  <c r="C142" i="37"/>
  <c r="D142" i="37"/>
  <c r="C143" i="37"/>
  <c r="D143" i="37"/>
  <c r="C144" i="37"/>
  <c r="D144" i="37"/>
  <c r="C145" i="37"/>
  <c r="D145" i="37"/>
  <c r="C146" i="37"/>
  <c r="D146" i="37"/>
  <c r="C147" i="37"/>
  <c r="D147" i="37"/>
  <c r="C148" i="37"/>
  <c r="D148" i="37"/>
  <c r="C149" i="37"/>
  <c r="D149" i="37"/>
  <c r="C150" i="37"/>
  <c r="D150" i="37"/>
  <c r="C152" i="37"/>
  <c r="D152" i="37"/>
  <c r="C153" i="37"/>
  <c r="D153" i="37"/>
  <c r="C154" i="37"/>
  <c r="D154" i="37"/>
  <c r="C155" i="37"/>
  <c r="D155" i="37"/>
  <c r="C156" i="37"/>
  <c r="D156" i="37"/>
  <c r="C157" i="37"/>
  <c r="D157" i="37"/>
  <c r="C158" i="37"/>
  <c r="D158" i="37"/>
  <c r="C159" i="37"/>
  <c r="D159" i="37"/>
  <c r="C160" i="37"/>
  <c r="D160" i="37"/>
  <c r="C161" i="37"/>
  <c r="D161" i="37"/>
  <c r="C162" i="37"/>
  <c r="D162" i="37"/>
  <c r="C164" i="37"/>
  <c r="D164" i="37"/>
  <c r="C165" i="37"/>
  <c r="D165" i="37"/>
  <c r="C166" i="37"/>
  <c r="D166" i="37"/>
  <c r="C167" i="37"/>
  <c r="D167" i="37"/>
  <c r="C168" i="37"/>
  <c r="D168" i="37"/>
  <c r="C169" i="37"/>
  <c r="D169" i="37"/>
  <c r="C170" i="37"/>
  <c r="D170" i="37"/>
  <c r="C171" i="37"/>
  <c r="D171" i="37"/>
  <c r="C172" i="37"/>
  <c r="D172" i="37"/>
  <c r="C173" i="37"/>
  <c r="D173" i="37"/>
  <c r="C174" i="37"/>
  <c r="D174" i="37"/>
  <c r="C176" i="37"/>
  <c r="D176" i="37"/>
  <c r="C177" i="37"/>
  <c r="D177" i="37"/>
  <c r="C178" i="37"/>
  <c r="D178" i="37"/>
  <c r="C179" i="37"/>
  <c r="D179" i="37"/>
  <c r="C180" i="37"/>
  <c r="D180" i="37"/>
  <c r="C181" i="37"/>
  <c r="D181" i="37"/>
  <c r="C182" i="37"/>
  <c r="D182" i="37"/>
  <c r="C183" i="37"/>
  <c r="D183" i="37"/>
  <c r="C184" i="37"/>
  <c r="D184" i="37"/>
  <c r="C185" i="37"/>
  <c r="D185" i="37"/>
  <c r="C186" i="37"/>
  <c r="D186" i="37"/>
  <c r="C188" i="37"/>
  <c r="D188" i="37"/>
  <c r="C189" i="37"/>
  <c r="D189" i="37"/>
  <c r="C190" i="37"/>
  <c r="D190" i="37"/>
  <c r="C191" i="37"/>
  <c r="D191" i="37"/>
  <c r="C192" i="37"/>
  <c r="D192" i="37"/>
  <c r="C193" i="37"/>
  <c r="D193" i="37"/>
  <c r="C194" i="37"/>
  <c r="D194" i="37"/>
  <c r="C195" i="37"/>
  <c r="D195" i="37"/>
  <c r="C196" i="37"/>
  <c r="D196" i="37"/>
  <c r="C197" i="37"/>
  <c r="D197" i="37"/>
  <c r="C198" i="37"/>
  <c r="D198" i="37"/>
  <c r="C200" i="37"/>
  <c r="D200" i="37"/>
  <c r="C201" i="37"/>
  <c r="D201" i="37"/>
  <c r="C202" i="37"/>
  <c r="D202" i="37"/>
  <c r="C203" i="37"/>
  <c r="D203" i="37"/>
  <c r="C204" i="37"/>
  <c r="D204" i="37"/>
  <c r="C205" i="37"/>
  <c r="D205" i="37"/>
  <c r="C206" i="37"/>
  <c r="D206" i="37"/>
  <c r="C207" i="37"/>
  <c r="D207" i="37"/>
  <c r="C208" i="37"/>
  <c r="D208" i="37"/>
  <c r="C209" i="37"/>
  <c r="D209" i="37"/>
  <c r="C210" i="37"/>
  <c r="D210" i="37"/>
  <c r="C212" i="37"/>
  <c r="D212" i="37"/>
  <c r="C213" i="37"/>
  <c r="D213" i="37"/>
  <c r="C214" i="37"/>
  <c r="D214" i="37"/>
  <c r="C215" i="37"/>
  <c r="D215" i="37"/>
  <c r="C216" i="37"/>
  <c r="D216" i="37"/>
  <c r="C217" i="37"/>
  <c r="D217" i="37"/>
  <c r="C218" i="37"/>
  <c r="D218" i="37"/>
  <c r="C219" i="37"/>
  <c r="D219" i="37"/>
  <c r="C220" i="37"/>
  <c r="D220" i="37"/>
  <c r="C221" i="37"/>
  <c r="D221" i="37"/>
  <c r="C222" i="37"/>
  <c r="D222" i="37"/>
  <c r="C224" i="37"/>
  <c r="D224" i="37"/>
  <c r="C225" i="37"/>
  <c r="D225" i="37"/>
  <c r="C226" i="37"/>
  <c r="D226" i="37"/>
  <c r="C227" i="37"/>
  <c r="D227" i="37"/>
  <c r="C228" i="37"/>
  <c r="D228" i="37"/>
  <c r="C229" i="37"/>
  <c r="D229" i="37"/>
  <c r="C230" i="37"/>
  <c r="D230" i="37"/>
  <c r="D99" i="37"/>
  <c r="C99" i="37"/>
  <c r="D88" i="37"/>
  <c r="D89" i="37"/>
  <c r="D90" i="37"/>
  <c r="D91" i="37"/>
  <c r="D92" i="37"/>
  <c r="D93" i="37"/>
  <c r="D94" i="37"/>
  <c r="D95" i="37"/>
  <c r="D96" i="37"/>
  <c r="D97" i="37"/>
  <c r="D98" i="37"/>
  <c r="D87" i="37"/>
  <c r="C88" i="37"/>
  <c r="C89" i="37"/>
  <c r="C90" i="37"/>
  <c r="C91" i="37"/>
  <c r="C92" i="37"/>
  <c r="C93" i="37"/>
  <c r="C94" i="37"/>
  <c r="C95" i="37"/>
  <c r="C96" i="37"/>
  <c r="C97" i="37"/>
  <c r="C98" i="37"/>
  <c r="C87" i="37"/>
  <c r="H266" i="37"/>
  <c r="F266" i="37"/>
  <c r="E266" i="37"/>
  <c r="D266" i="37"/>
  <c r="C266" i="37"/>
  <c r="H265" i="37"/>
  <c r="F265" i="37"/>
  <c r="E265" i="37"/>
  <c r="D265" i="37"/>
  <c r="C265" i="37"/>
  <c r="H264" i="37"/>
  <c r="F264" i="37"/>
  <c r="E264" i="37"/>
  <c r="D264" i="37"/>
  <c r="C264" i="37"/>
  <c r="H263" i="37"/>
  <c r="F263" i="37"/>
  <c r="E263" i="37"/>
  <c r="D263" i="37"/>
  <c r="C263" i="37"/>
  <c r="H262" i="37"/>
  <c r="F262" i="37"/>
  <c r="E262" i="37"/>
  <c r="D262" i="37"/>
  <c r="C262" i="37"/>
  <c r="H261" i="37"/>
  <c r="F261" i="37"/>
  <c r="E261" i="37"/>
  <c r="D261" i="37"/>
  <c r="C261" i="37"/>
  <c r="H260" i="37"/>
  <c r="F260" i="37"/>
  <c r="E260" i="37"/>
  <c r="D260" i="37"/>
  <c r="C260" i="37"/>
  <c r="H259" i="37"/>
  <c r="F259" i="37"/>
  <c r="E259" i="37"/>
  <c r="D259" i="37"/>
  <c r="C259" i="37"/>
  <c r="H258" i="37"/>
  <c r="F258" i="37"/>
  <c r="E258" i="37"/>
  <c r="D258" i="37"/>
  <c r="C258" i="37"/>
  <c r="H257" i="37"/>
  <c r="F257" i="37"/>
  <c r="E257" i="37"/>
  <c r="D257" i="37"/>
  <c r="C257" i="37"/>
  <c r="H256" i="37"/>
  <c r="F256" i="37"/>
  <c r="E256" i="37"/>
  <c r="D256" i="37"/>
  <c r="C256" i="37"/>
  <c r="H255" i="37"/>
  <c r="F255" i="37"/>
  <c r="E255" i="37"/>
  <c r="D255" i="37"/>
  <c r="C255" i="37"/>
  <c r="H206" i="37"/>
  <c r="B206" i="37"/>
  <c r="H205" i="37"/>
  <c r="B205" i="37"/>
  <c r="H204" i="37"/>
  <c r="B204" i="37"/>
  <c r="H203" i="37"/>
  <c r="B203" i="37"/>
  <c r="H202" i="37"/>
  <c r="B202" i="37"/>
  <c r="H201" i="37"/>
  <c r="B201" i="37"/>
  <c r="H200" i="37"/>
  <c r="B200" i="37"/>
  <c r="H199" i="37"/>
  <c r="B199" i="37"/>
  <c r="H198" i="37"/>
  <c r="B198" i="37"/>
  <c r="H197" i="37"/>
  <c r="B197" i="37"/>
  <c r="H196" i="37"/>
  <c r="B196" i="37"/>
  <c r="H195" i="37"/>
  <c r="B195" i="37"/>
  <c r="H194" i="37"/>
  <c r="B194" i="37"/>
  <c r="H193" i="37"/>
  <c r="B193" i="37"/>
  <c r="H192" i="37"/>
  <c r="B192" i="37"/>
  <c r="H191" i="37"/>
  <c r="B191" i="37"/>
  <c r="H190" i="37"/>
  <c r="B190" i="37"/>
  <c r="H189" i="37"/>
  <c r="B189" i="37"/>
  <c r="H188" i="37"/>
  <c r="B188" i="37"/>
  <c r="H187" i="37"/>
  <c r="B187" i="37"/>
  <c r="H186" i="37"/>
  <c r="B186" i="37"/>
  <c r="H185" i="37"/>
  <c r="B185" i="37"/>
  <c r="H184" i="37"/>
  <c r="B184" i="37"/>
  <c r="H183" i="37"/>
  <c r="B183" i="37"/>
  <c r="H182" i="37"/>
  <c r="B182" i="37"/>
  <c r="H181" i="37"/>
  <c r="B181" i="37"/>
  <c r="H180" i="37"/>
  <c r="B180" i="37"/>
  <c r="H179" i="37"/>
  <c r="B179" i="37"/>
  <c r="H178" i="37"/>
  <c r="B178" i="37"/>
  <c r="H177" i="37"/>
  <c r="B177" i="37"/>
  <c r="H176" i="37"/>
  <c r="B176" i="37"/>
  <c r="H175" i="37"/>
  <c r="B175" i="37"/>
  <c r="H174" i="37"/>
  <c r="B174" i="37"/>
  <c r="H173" i="37"/>
  <c r="B173" i="37"/>
  <c r="H172" i="37"/>
  <c r="B172" i="37"/>
  <c r="H171" i="37"/>
  <c r="B171" i="37"/>
  <c r="H170" i="37"/>
  <c r="B170" i="37"/>
  <c r="H169" i="37"/>
  <c r="B169" i="37"/>
  <c r="H168" i="37"/>
  <c r="B168" i="37"/>
  <c r="H167" i="37"/>
  <c r="B167" i="37"/>
  <c r="H166" i="37"/>
  <c r="B166" i="37"/>
  <c r="H165" i="37"/>
  <c r="B165" i="37"/>
  <c r="H164" i="37"/>
  <c r="B164" i="37"/>
  <c r="H163" i="37"/>
  <c r="B163" i="37"/>
  <c r="H162" i="37"/>
  <c r="B162" i="37"/>
  <c r="H161" i="37"/>
  <c r="B161" i="37"/>
  <c r="H160" i="37"/>
  <c r="B160" i="37"/>
  <c r="H159" i="37"/>
  <c r="B159" i="37"/>
  <c r="H158" i="37"/>
  <c r="B158" i="37"/>
  <c r="H157" i="37"/>
  <c r="B157" i="37"/>
  <c r="H156" i="37"/>
  <c r="B156" i="37"/>
  <c r="H155" i="37"/>
  <c r="B155" i="37"/>
  <c r="H154" i="37"/>
  <c r="B154" i="37"/>
  <c r="H153" i="37"/>
  <c r="B153" i="37"/>
  <c r="H152" i="37"/>
  <c r="B152" i="37"/>
  <c r="H151" i="37"/>
  <c r="B151" i="37"/>
  <c r="H150" i="37"/>
  <c r="B150" i="37"/>
  <c r="H149" i="37"/>
  <c r="B149" i="37"/>
  <c r="H148" i="37"/>
  <c r="B148" i="37"/>
  <c r="H147" i="37"/>
  <c r="B147" i="37"/>
  <c r="H146" i="37"/>
  <c r="B146" i="37"/>
  <c r="H145" i="37"/>
  <c r="B145" i="37"/>
  <c r="H144" i="37"/>
  <c r="B144" i="37"/>
  <c r="H143" i="37"/>
  <c r="B143" i="37"/>
  <c r="H142" i="37"/>
  <c r="B142" i="37"/>
  <c r="H141" i="37"/>
  <c r="B141" i="37"/>
  <c r="H140" i="37"/>
  <c r="B140" i="37"/>
  <c r="H139" i="37"/>
  <c r="B139" i="37"/>
  <c r="H138" i="37"/>
  <c r="B138" i="37"/>
  <c r="H137" i="37"/>
  <c r="B137" i="37"/>
  <c r="H136" i="37"/>
  <c r="B136" i="37"/>
  <c r="H135" i="37"/>
  <c r="B135" i="37"/>
  <c r="H134" i="37"/>
  <c r="B134" i="37"/>
  <c r="H133" i="37"/>
  <c r="B133" i="37"/>
  <c r="H132" i="37"/>
  <c r="B132" i="37"/>
  <c r="H131" i="37"/>
  <c r="B131" i="37"/>
  <c r="H130" i="37"/>
  <c r="B130" i="37"/>
  <c r="H129" i="37"/>
  <c r="B129" i="37"/>
  <c r="H128" i="37"/>
  <c r="B128" i="37"/>
  <c r="H127" i="37"/>
  <c r="B127" i="37"/>
  <c r="H126" i="37"/>
  <c r="B126" i="37"/>
  <c r="H125" i="37"/>
  <c r="B125" i="37"/>
  <c r="H124" i="37"/>
  <c r="B124" i="37"/>
  <c r="H123" i="37"/>
  <c r="B123" i="37"/>
  <c r="H122" i="37"/>
  <c r="B122" i="37"/>
  <c r="H121" i="37"/>
  <c r="B121" i="37"/>
  <c r="H120" i="37"/>
  <c r="B120" i="37"/>
  <c r="H119" i="37"/>
  <c r="B119" i="37"/>
  <c r="H118" i="37"/>
  <c r="B118" i="37"/>
  <c r="H117" i="37"/>
  <c r="B117" i="37"/>
  <c r="H116" i="37"/>
  <c r="B116" i="37"/>
  <c r="H115" i="37"/>
  <c r="B115" i="37"/>
  <c r="H114" i="37"/>
  <c r="B114" i="37"/>
  <c r="H113" i="37"/>
  <c r="B113" i="37"/>
  <c r="H112" i="37"/>
  <c r="B112" i="37"/>
  <c r="H111" i="37"/>
  <c r="B111" i="37"/>
  <c r="H110" i="37"/>
  <c r="B110" i="37"/>
  <c r="H109" i="37"/>
  <c r="B109" i="37"/>
  <c r="H108" i="37"/>
  <c r="B108" i="37"/>
  <c r="H107" i="37"/>
  <c r="B107" i="37"/>
  <c r="H106" i="37"/>
  <c r="B106" i="37"/>
  <c r="H105" i="37"/>
  <c r="B105" i="37"/>
  <c r="H104" i="37"/>
  <c r="B104" i="37"/>
  <c r="H103" i="37"/>
  <c r="B103" i="37"/>
  <c r="H102" i="37"/>
  <c r="B102" i="37"/>
  <c r="H101" i="37"/>
  <c r="B101" i="37"/>
  <c r="H100" i="37"/>
  <c r="B100" i="37"/>
  <c r="H99" i="37"/>
  <c r="B99" i="37"/>
  <c r="H98" i="37"/>
  <c r="B98" i="37"/>
  <c r="H97" i="37"/>
  <c r="B97" i="37"/>
  <c r="H96" i="37"/>
  <c r="B96" i="37"/>
  <c r="H95" i="37"/>
  <c r="B95" i="37"/>
  <c r="H94" i="37"/>
  <c r="B94" i="37"/>
  <c r="H93" i="37"/>
  <c r="B93" i="37"/>
  <c r="H92" i="37"/>
  <c r="B92" i="37"/>
  <c r="H91" i="37"/>
  <c r="B91" i="37"/>
  <c r="H90" i="37"/>
  <c r="B90" i="37"/>
  <c r="H89" i="37"/>
  <c r="B89" i="37"/>
  <c r="H88" i="37"/>
  <c r="B88" i="37"/>
  <c r="H87" i="37"/>
  <c r="B87" i="37"/>
  <c r="H86" i="37"/>
  <c r="D86" i="37"/>
  <c r="C86" i="37"/>
  <c r="B86" i="37"/>
  <c r="H85" i="37"/>
  <c r="D85" i="37"/>
  <c r="C85" i="37"/>
  <c r="B85" i="37"/>
  <c r="H84" i="37"/>
  <c r="D84" i="37"/>
  <c r="C84" i="37"/>
  <c r="B84" i="37"/>
  <c r="H83" i="37"/>
  <c r="D83" i="37"/>
  <c r="C83" i="37"/>
  <c r="B83" i="37"/>
  <c r="H82" i="37"/>
  <c r="D82" i="37"/>
  <c r="C82" i="37"/>
  <c r="B82" i="37"/>
  <c r="H81" i="37"/>
  <c r="D81" i="37"/>
  <c r="C81" i="37"/>
  <c r="B81" i="37"/>
  <c r="H80" i="37"/>
  <c r="D80" i="37"/>
  <c r="C80" i="37"/>
  <c r="B80" i="37"/>
  <c r="H79" i="37"/>
  <c r="D79" i="37"/>
  <c r="C79" i="37"/>
  <c r="B79" i="37"/>
  <c r="H78" i="37"/>
  <c r="D78" i="37"/>
  <c r="C78" i="37"/>
  <c r="B78" i="37"/>
  <c r="H77" i="37"/>
  <c r="D77" i="37"/>
  <c r="C77" i="37"/>
  <c r="B77" i="37"/>
  <c r="H76" i="37"/>
  <c r="D76" i="37"/>
  <c r="C76" i="37"/>
  <c r="B76" i="37"/>
  <c r="H75" i="37"/>
  <c r="D75" i="37"/>
  <c r="C75" i="37"/>
  <c r="B75" i="37"/>
  <c r="H74" i="37"/>
  <c r="D74" i="37"/>
  <c r="C74" i="37"/>
  <c r="B74" i="37"/>
  <c r="H73" i="37"/>
  <c r="D73" i="37"/>
  <c r="C73" i="37"/>
  <c r="B73" i="37"/>
  <c r="H72" i="37"/>
  <c r="D72" i="37"/>
  <c r="C72" i="37"/>
  <c r="B72" i="37"/>
  <c r="H71" i="37"/>
  <c r="D71" i="37"/>
  <c r="C71" i="37"/>
  <c r="B71" i="37"/>
  <c r="H70" i="37"/>
  <c r="D70" i="37"/>
  <c r="C70" i="37"/>
  <c r="B70" i="37"/>
  <c r="H69" i="37"/>
  <c r="D69" i="37"/>
  <c r="C69" i="37"/>
  <c r="B69" i="37"/>
  <c r="H68" i="37"/>
  <c r="D68" i="37"/>
  <c r="C68" i="37"/>
  <c r="B68" i="37"/>
  <c r="H67" i="37"/>
  <c r="D67" i="37"/>
  <c r="C67" i="37"/>
  <c r="B67" i="37"/>
  <c r="H66" i="37"/>
  <c r="D66" i="37"/>
  <c r="C66" i="37"/>
  <c r="B66" i="37"/>
  <c r="H65" i="37"/>
  <c r="D65" i="37"/>
  <c r="C65" i="37"/>
  <c r="B65" i="37"/>
  <c r="H64" i="37"/>
  <c r="D64" i="37"/>
  <c r="C64" i="37"/>
  <c r="B64" i="37"/>
  <c r="H63" i="37"/>
  <c r="D63" i="37"/>
  <c r="C63" i="37"/>
  <c r="B63" i="37"/>
  <c r="H62" i="37"/>
  <c r="D62" i="37"/>
  <c r="C62" i="37"/>
  <c r="B62" i="37"/>
  <c r="H61" i="37"/>
  <c r="D61" i="37"/>
  <c r="C61" i="37"/>
  <c r="B61" i="37"/>
  <c r="H60" i="37"/>
  <c r="D60" i="37"/>
  <c r="C60" i="37"/>
  <c r="B60" i="37"/>
  <c r="H59" i="37"/>
  <c r="D59" i="37"/>
  <c r="C59" i="37"/>
  <c r="B59" i="37"/>
  <c r="H58" i="37"/>
  <c r="D58" i="37"/>
  <c r="C58" i="37"/>
  <c r="B58" i="37"/>
  <c r="H57" i="37"/>
  <c r="D57" i="37"/>
  <c r="C57" i="37"/>
  <c r="B57" i="37"/>
  <c r="H56" i="37"/>
  <c r="D56" i="37"/>
  <c r="C56" i="37"/>
  <c r="B56" i="37"/>
  <c r="H55" i="37"/>
  <c r="D55" i="37"/>
  <c r="C55" i="37"/>
  <c r="B55" i="37"/>
  <c r="H54" i="37"/>
  <c r="D54" i="37"/>
  <c r="C54" i="37"/>
  <c r="B54" i="37"/>
  <c r="H53" i="37"/>
  <c r="D53" i="37"/>
  <c r="C53" i="37"/>
  <c r="B53" i="37"/>
  <c r="H52" i="37"/>
  <c r="D52" i="37"/>
  <c r="C52" i="37"/>
  <c r="B52" i="37"/>
  <c r="H51" i="37"/>
  <c r="D51" i="37"/>
  <c r="C51" i="37"/>
  <c r="B51" i="37"/>
  <c r="H50" i="37"/>
  <c r="D50" i="37"/>
  <c r="C50" i="37"/>
  <c r="B50" i="37"/>
  <c r="H49" i="37"/>
  <c r="D49" i="37"/>
  <c r="C49" i="37"/>
  <c r="B49" i="37"/>
  <c r="H48" i="37"/>
  <c r="D48" i="37"/>
  <c r="C48" i="37"/>
  <c r="B48" i="37"/>
  <c r="H47" i="37"/>
  <c r="D47" i="37"/>
  <c r="C47" i="37"/>
  <c r="B47" i="37"/>
  <c r="H46" i="37"/>
  <c r="D46" i="37"/>
  <c r="C46" i="37"/>
  <c r="B46" i="37"/>
  <c r="H45" i="37"/>
  <c r="D45" i="37"/>
  <c r="C45" i="37"/>
  <c r="B45" i="37"/>
  <c r="H44" i="37"/>
  <c r="D44" i="37"/>
  <c r="C44" i="37"/>
  <c r="B44" i="37"/>
  <c r="H43" i="37"/>
  <c r="D43" i="37"/>
  <c r="C43" i="37"/>
  <c r="B43" i="37"/>
  <c r="H42" i="37"/>
  <c r="D42" i="37"/>
  <c r="C42" i="37"/>
  <c r="B42" i="37"/>
  <c r="H41" i="37"/>
  <c r="D41" i="37"/>
  <c r="C41" i="37"/>
  <c r="B41" i="37"/>
  <c r="H40" i="37"/>
  <c r="D40" i="37"/>
  <c r="C40" i="37"/>
  <c r="B40" i="37"/>
  <c r="H39" i="37"/>
  <c r="D39" i="37"/>
  <c r="C39" i="37"/>
  <c r="B39" i="37"/>
  <c r="H38" i="37"/>
  <c r="D38" i="37"/>
  <c r="C38" i="37"/>
  <c r="B38" i="37"/>
  <c r="H37" i="37"/>
  <c r="D37" i="37"/>
  <c r="C37" i="37"/>
  <c r="B37" i="37"/>
  <c r="H36" i="37"/>
  <c r="D36" i="37"/>
  <c r="C36" i="37"/>
  <c r="B36" i="37"/>
  <c r="H35" i="37"/>
  <c r="D35" i="37"/>
  <c r="C35" i="37"/>
  <c r="B35" i="37"/>
  <c r="H34" i="37"/>
  <c r="D34" i="37"/>
  <c r="C34" i="37"/>
  <c r="B34" i="37"/>
  <c r="H33" i="37"/>
  <c r="D33" i="37"/>
  <c r="C33" i="37"/>
  <c r="B33" i="37"/>
  <c r="H32" i="37"/>
  <c r="D32" i="37"/>
  <c r="C32" i="37"/>
  <c r="B32" i="37"/>
  <c r="H31" i="37"/>
  <c r="D31" i="37"/>
  <c r="C31" i="37"/>
  <c r="B31" i="37"/>
  <c r="H30" i="37"/>
  <c r="D30" i="37"/>
  <c r="C30" i="37"/>
  <c r="B30" i="37"/>
  <c r="H29" i="37"/>
  <c r="D29" i="37"/>
  <c r="C29" i="37"/>
  <c r="B29" i="37"/>
  <c r="H28" i="37"/>
  <c r="D28" i="37"/>
  <c r="C28" i="37"/>
  <c r="B28" i="37"/>
  <c r="H27" i="37"/>
  <c r="D27" i="37"/>
  <c r="C27" i="37"/>
  <c r="B27" i="37"/>
  <c r="H26" i="37"/>
  <c r="D26" i="37"/>
  <c r="C26" i="37"/>
  <c r="B26" i="37"/>
  <c r="H25" i="37"/>
  <c r="D25" i="37"/>
  <c r="C25" i="37"/>
  <c r="B25" i="37"/>
  <c r="H24" i="37"/>
  <c r="D24" i="37"/>
  <c r="C24" i="37"/>
  <c r="B24" i="37"/>
  <c r="H23" i="37"/>
  <c r="D23" i="37"/>
  <c r="C23" i="37"/>
  <c r="B23" i="37"/>
  <c r="H22" i="37"/>
  <c r="D22" i="37"/>
  <c r="C22" i="37"/>
  <c r="B22" i="37"/>
  <c r="H21" i="37"/>
  <c r="D21" i="37"/>
  <c r="C21" i="37"/>
  <c r="B21" i="37"/>
  <c r="H20" i="37"/>
  <c r="D20" i="37"/>
  <c r="C20" i="37"/>
  <c r="B20" i="37"/>
  <c r="H19" i="37"/>
  <c r="D19" i="37"/>
  <c r="C19" i="37"/>
  <c r="B19" i="37"/>
  <c r="H18" i="37"/>
  <c r="D18" i="37"/>
  <c r="C18" i="37"/>
  <c r="B18" i="37"/>
  <c r="H17" i="37"/>
  <c r="D17" i="37"/>
  <c r="C17" i="37"/>
  <c r="B17" i="37"/>
  <c r="H16" i="37"/>
  <c r="D16" i="37"/>
  <c r="C16" i="37"/>
  <c r="B16" i="37"/>
  <c r="H15" i="37"/>
  <c r="D15" i="37"/>
  <c r="C15" i="37"/>
  <c r="B15" i="37"/>
  <c r="H14" i="37"/>
  <c r="D14" i="37"/>
  <c r="C14" i="37"/>
  <c r="B14" i="37"/>
  <c r="H13" i="37"/>
  <c r="D13" i="37"/>
  <c r="C13" i="37"/>
  <c r="B13" i="37"/>
  <c r="H12" i="37"/>
  <c r="D12" i="37"/>
  <c r="C12" i="37"/>
  <c r="B12" i="37"/>
  <c r="H11" i="37"/>
  <c r="D11" i="37"/>
  <c r="C11" i="37"/>
  <c r="B11" i="37"/>
  <c r="H10" i="37"/>
  <c r="D10" i="37"/>
  <c r="C10" i="37"/>
  <c r="B10" i="37"/>
  <c r="H9" i="37"/>
  <c r="D9" i="37"/>
  <c r="C9" i="37"/>
  <c r="B9" i="37"/>
  <c r="H8" i="37"/>
  <c r="D8" i="37"/>
  <c r="C8" i="37"/>
  <c r="B8" i="37"/>
  <c r="H7" i="37"/>
  <c r="D7" i="37"/>
  <c r="C7" i="37"/>
  <c r="B7" i="37"/>
  <c r="H6" i="37"/>
  <c r="D6" i="37"/>
  <c r="C6" i="37"/>
  <c r="B6" i="37"/>
  <c r="H5" i="37"/>
  <c r="D5" i="37"/>
  <c r="C5" i="37"/>
  <c r="B5" i="37"/>
  <c r="H4" i="37"/>
  <c r="D4" i="37"/>
  <c r="C4" i="37"/>
  <c r="B4" i="37"/>
  <c r="H3" i="37"/>
  <c r="D3" i="37"/>
  <c r="C3" i="37"/>
  <c r="B3" i="37"/>
  <c r="J19" i="35"/>
  <c r="J12" i="35"/>
  <c r="J13" i="35"/>
  <c r="J14" i="35"/>
  <c r="J15" i="35"/>
  <c r="J16" i="35"/>
  <c r="J17" i="35"/>
  <c r="J18" i="35"/>
  <c r="J11" i="35"/>
  <c r="I19" i="35"/>
  <c r="I12" i="35"/>
  <c r="I13" i="35"/>
  <c r="I14" i="35"/>
  <c r="I15" i="35"/>
  <c r="I16" i="35"/>
  <c r="I17" i="35"/>
  <c r="I18" i="35"/>
  <c r="I11" i="35"/>
  <c r="G19" i="35"/>
  <c r="G12" i="35"/>
  <c r="G13" i="35"/>
  <c r="G14" i="35"/>
  <c r="G15" i="35"/>
  <c r="G16" i="35"/>
  <c r="G17" i="35"/>
  <c r="G18" i="35"/>
  <c r="G11" i="35"/>
  <c r="I9" i="35"/>
  <c r="I8" i="35"/>
  <c r="G9" i="35"/>
  <c r="G8" i="35"/>
  <c r="H5" i="35"/>
  <c r="G5" i="35"/>
  <c r="H4" i="35"/>
  <c r="G4" i="35"/>
  <c r="H3" i="35"/>
  <c r="G3" i="35"/>
  <c r="H2" i="35"/>
  <c r="G2" i="35"/>
  <c r="M245" i="35"/>
  <c r="K245" i="35"/>
  <c r="M244" i="35"/>
  <c r="K244" i="35"/>
  <c r="G212" i="35"/>
  <c r="G239" i="35" s="1"/>
  <c r="AZ339" i="35" s="1"/>
  <c r="AZ377" i="35" s="1"/>
  <c r="G150" i="35"/>
  <c r="G179" i="35" s="1"/>
  <c r="G83" i="35"/>
  <c r="D61" i="35"/>
  <c r="D60" i="35"/>
  <c r="D59" i="35"/>
  <c r="D58" i="35"/>
  <c r="D56" i="35"/>
  <c r="D55" i="35"/>
  <c r="D54" i="35"/>
  <c r="D53" i="35"/>
  <c r="D52" i="35"/>
  <c r="D51" i="35"/>
  <c r="D50" i="35"/>
  <c r="D49" i="35"/>
  <c r="D57" i="35"/>
  <c r="B241" i="37" l="1"/>
  <c r="B243" i="37"/>
  <c r="B234" i="38"/>
  <c r="B238" i="38"/>
  <c r="B237" i="39"/>
  <c r="B239" i="39"/>
  <c r="B243" i="39"/>
  <c r="B240" i="38"/>
  <c r="B237" i="37"/>
  <c r="B242" i="37"/>
  <c r="B235" i="38"/>
  <c r="B234" i="37"/>
  <c r="B241" i="39"/>
  <c r="B239" i="37"/>
  <c r="B240" i="37"/>
  <c r="B236" i="37"/>
  <c r="B239" i="38"/>
  <c r="B241" i="38"/>
  <c r="B242" i="38"/>
  <c r="B243" i="38"/>
  <c r="B235" i="39"/>
  <c r="B235" i="37"/>
  <c r="B238" i="37"/>
  <c r="B237" i="38"/>
  <c r="B236" i="38"/>
  <c r="B234" i="39"/>
  <c r="AD354" i="35"/>
  <c r="AD364" i="35" s="1"/>
  <c r="D257" i="35"/>
  <c r="D271" i="35" s="1"/>
  <c r="D256" i="35"/>
  <c r="D270" i="35" s="1"/>
  <c r="D259" i="35"/>
  <c r="D273" i="35" s="1"/>
  <c r="D255" i="35"/>
  <c r="D269" i="35" s="1"/>
  <c r="D261" i="35"/>
  <c r="D275" i="35" s="1"/>
  <c r="D260" i="35"/>
  <c r="D274" i="35" s="1"/>
  <c r="D254" i="35"/>
  <c r="D268" i="35" s="1"/>
  <c r="D262" i="35"/>
  <c r="D276" i="35" s="1"/>
  <c r="D258" i="35"/>
  <c r="D272" i="35" s="1"/>
  <c r="D277" i="35"/>
  <c r="D220" i="35"/>
  <c r="G218" i="35"/>
  <c r="G225" i="35" s="1"/>
  <c r="G232" i="35" s="1"/>
  <c r="D127" i="35"/>
  <c r="D144" i="35" s="1"/>
  <c r="D76" i="35"/>
  <c r="D128" i="35"/>
  <c r="D145" i="35" s="1"/>
  <c r="D181" i="35" s="1"/>
  <c r="D202" i="35" s="1"/>
  <c r="D208" i="35" s="1"/>
  <c r="D214" i="35" s="1"/>
  <c r="D221" i="35" s="1"/>
  <c r="D227" i="35" s="1"/>
  <c r="D241" i="35" s="1"/>
  <c r="D244" i="35" s="1"/>
  <c r="D247" i="35" s="1"/>
  <c r="D284" i="35" s="1"/>
  <c r="D77" i="35"/>
  <c r="D129" i="35"/>
  <c r="D146" i="35" s="1"/>
  <c r="D182" i="35" s="1"/>
  <c r="D203" i="35" s="1"/>
  <c r="D209" i="35" s="1"/>
  <c r="D215" i="35" s="1"/>
  <c r="D222" i="35" s="1"/>
  <c r="D228" i="35" s="1"/>
  <c r="D242" i="35" s="1"/>
  <c r="D245" i="35" s="1"/>
  <c r="D248" i="35" s="1"/>
  <c r="D285" i="35" s="1"/>
  <c r="D78" i="35"/>
  <c r="D126" i="35"/>
  <c r="D143" i="35" s="1"/>
  <c r="D75" i="35"/>
  <c r="D119" i="35"/>
  <c r="D136" i="35" s="1"/>
  <c r="D68" i="35"/>
  <c r="D123" i="35"/>
  <c r="D140" i="35" s="1"/>
  <c r="D72" i="35"/>
  <c r="D120" i="35"/>
  <c r="D137" i="35" s="1"/>
  <c r="D69" i="35"/>
  <c r="D124" i="35"/>
  <c r="D141" i="35" s="1"/>
  <c r="D73" i="35"/>
  <c r="D121" i="35"/>
  <c r="D138" i="35" s="1"/>
  <c r="D70" i="35"/>
  <c r="D125" i="35"/>
  <c r="D142" i="35" s="1"/>
  <c r="D74" i="35"/>
  <c r="D118" i="35"/>
  <c r="D135" i="35" s="1"/>
  <c r="D67" i="35"/>
  <c r="D122" i="35"/>
  <c r="D139" i="35" s="1"/>
  <c r="D71" i="35"/>
  <c r="O43" i="35"/>
  <c r="G164" i="35"/>
  <c r="B236" i="39"/>
  <c r="B238" i="39"/>
  <c r="B240" i="39"/>
  <c r="B242" i="39"/>
  <c r="C115" i="37"/>
  <c r="B247" i="37" l="1"/>
  <c r="B247" i="38"/>
  <c r="B247" i="39"/>
  <c r="AZ399" i="35"/>
  <c r="AD391" i="35"/>
  <c r="AD401" i="35" s="1"/>
  <c r="C127" i="37"/>
  <c r="AD428" i="35" l="1"/>
  <c r="AD438" i="35" s="1"/>
  <c r="AZ434" i="35"/>
  <c r="C139" i="37"/>
  <c r="AD465" i="35" l="1"/>
  <c r="AD475" i="35" s="1"/>
  <c r="AZ488" i="35"/>
  <c r="C151" i="37"/>
  <c r="AD502" i="35" l="1"/>
  <c r="AD512" i="35" s="1"/>
  <c r="AZ525" i="35"/>
  <c r="C163" i="37"/>
  <c r="AD539" i="35" l="1"/>
  <c r="AD549" i="35" s="1"/>
  <c r="AZ561" i="35"/>
  <c r="AD576" i="35" s="1"/>
  <c r="AD586" i="35" s="1"/>
  <c r="C175" i="37"/>
  <c r="C187" i="37" l="1"/>
  <c r="C199" i="37" l="1"/>
  <c r="C211" i="37" l="1"/>
  <c r="C223" i="37" l="1"/>
  <c r="I12" i="17" l="1"/>
  <c r="I26" i="17" s="1"/>
  <c r="H12" i="17"/>
  <c r="H26" i="17" s="1"/>
  <c r="G12" i="17"/>
  <c r="G26" i="17" s="1"/>
  <c r="E26" i="17"/>
  <c r="D12" i="17"/>
  <c r="D26" i="17" s="1"/>
  <c r="C12" i="17"/>
  <c r="C26" i="17" s="1"/>
  <c r="B12" i="17"/>
  <c r="B26" i="17" s="1"/>
  <c r="I11" i="17"/>
  <c r="H11" i="17"/>
  <c r="G11" i="17"/>
  <c r="D11" i="17"/>
  <c r="C11" i="17"/>
  <c r="B11" i="17"/>
  <c r="I10" i="17"/>
  <c r="H10" i="17"/>
  <c r="G10" i="17"/>
  <c r="D10" i="17"/>
  <c r="C10" i="17"/>
  <c r="B10" i="17"/>
  <c r="I9" i="17"/>
  <c r="H9" i="17"/>
  <c r="G9" i="17"/>
  <c r="D9" i="17"/>
  <c r="C9" i="17"/>
  <c r="B9" i="17"/>
  <c r="I8" i="17"/>
  <c r="H8" i="17"/>
  <c r="G8" i="17"/>
  <c r="D8" i="17"/>
  <c r="C8" i="17"/>
  <c r="B8" i="17"/>
  <c r="I7" i="17"/>
  <c r="H7" i="17"/>
  <c r="G7" i="17"/>
  <c r="D7" i="17"/>
  <c r="C7" i="17"/>
  <c r="B7" i="17"/>
  <c r="I6" i="17"/>
  <c r="H6" i="17"/>
  <c r="G6" i="17"/>
  <c r="D6" i="17"/>
  <c r="C6" i="17"/>
  <c r="B6" i="17"/>
  <c r="I5" i="17"/>
  <c r="H5" i="17"/>
  <c r="G5" i="17"/>
  <c r="D5" i="17"/>
  <c r="C5" i="17"/>
  <c r="B5" i="17"/>
  <c r="I4" i="17"/>
  <c r="H4" i="17"/>
  <c r="G4" i="17"/>
  <c r="D4" i="17"/>
  <c r="C4" i="17"/>
  <c r="B4" i="17"/>
  <c r="I3" i="17"/>
  <c r="H3" i="17"/>
  <c r="G3" i="17"/>
  <c r="D3" i="17"/>
  <c r="C3" i="17"/>
  <c r="B3" i="17"/>
  <c r="O12" i="9"/>
  <c r="N12" i="9"/>
  <c r="M12" i="9"/>
  <c r="O11" i="9"/>
  <c r="N11" i="9"/>
  <c r="M11" i="9"/>
  <c r="O10" i="9"/>
  <c r="N10" i="9"/>
  <c r="M10" i="9"/>
  <c r="O9" i="9"/>
  <c r="N9" i="9"/>
  <c r="M9" i="9"/>
  <c r="O8" i="9"/>
  <c r="N8" i="9"/>
  <c r="M8" i="9"/>
  <c r="O7" i="9"/>
  <c r="N7" i="9"/>
  <c r="M7" i="9"/>
  <c r="O6" i="9"/>
  <c r="N6" i="9"/>
  <c r="M6" i="9"/>
  <c r="O5" i="9"/>
  <c r="N5" i="9"/>
  <c r="M5" i="9"/>
  <c r="O4" i="9"/>
  <c r="N4" i="9"/>
  <c r="M4" i="9"/>
  <c r="O3" i="9"/>
  <c r="N3" i="9"/>
  <c r="M3" i="9"/>
  <c r="I206" i="28"/>
  <c r="I205" i="28"/>
  <c r="I204" i="28"/>
  <c r="I203" i="28"/>
  <c r="I202" i="28"/>
  <c r="I201" i="28"/>
  <c r="I200" i="28"/>
  <c r="I199" i="28"/>
  <c r="I198" i="28"/>
  <c r="I197" i="28"/>
  <c r="I196" i="28"/>
  <c r="I195" i="28"/>
  <c r="I194" i="28"/>
  <c r="I193" i="28"/>
  <c r="I192" i="28"/>
  <c r="I191" i="28"/>
  <c r="I190" i="28"/>
  <c r="I189" i="28"/>
  <c r="I188" i="28"/>
  <c r="I187" i="28"/>
  <c r="I186" i="28"/>
  <c r="I185" i="28"/>
  <c r="I184" i="28"/>
  <c r="I183" i="28"/>
  <c r="I182" i="28"/>
  <c r="I181" i="28"/>
  <c r="I180" i="28"/>
  <c r="I179" i="28"/>
  <c r="I178" i="28"/>
  <c r="I177" i="28"/>
  <c r="I176" i="28"/>
  <c r="I175" i="28"/>
  <c r="I174" i="28"/>
  <c r="I173" i="28"/>
  <c r="I172" i="28"/>
  <c r="I171" i="28"/>
  <c r="I170" i="28"/>
  <c r="I169" i="28"/>
  <c r="I168" i="28"/>
  <c r="I167" i="28"/>
  <c r="I166" i="28"/>
  <c r="I165" i="28"/>
  <c r="I164" i="28"/>
  <c r="I163" i="28"/>
  <c r="I162" i="28"/>
  <c r="I161" i="28"/>
  <c r="I160" i="28"/>
  <c r="I159" i="28"/>
  <c r="I158" i="28"/>
  <c r="I157" i="28"/>
  <c r="I156" i="28"/>
  <c r="I155" i="28"/>
  <c r="I154" i="28"/>
  <c r="I153" i="28"/>
  <c r="I152" i="28"/>
  <c r="I151" i="28"/>
  <c r="I150" i="28"/>
  <c r="I149" i="28"/>
  <c r="I148" i="28"/>
  <c r="I147" i="28"/>
  <c r="I146" i="28"/>
  <c r="I145" i="28"/>
  <c r="I144" i="28"/>
  <c r="I143" i="28"/>
  <c r="I142" i="28"/>
  <c r="I141" i="28"/>
  <c r="I140" i="28"/>
  <c r="I139" i="28"/>
  <c r="I138" i="28"/>
  <c r="I137" i="28"/>
  <c r="I136" i="28"/>
  <c r="I135" i="28"/>
  <c r="I134" i="28"/>
  <c r="I133" i="28"/>
  <c r="I132" i="28"/>
  <c r="I131" i="28"/>
  <c r="I130" i="28"/>
  <c r="I129" i="28"/>
  <c r="I128" i="28"/>
  <c r="I127" i="28"/>
  <c r="I126" i="28"/>
  <c r="I125" i="28"/>
  <c r="I124" i="28"/>
  <c r="I123" i="28"/>
  <c r="I122" i="28"/>
  <c r="I121" i="28"/>
  <c r="I120" i="28"/>
  <c r="I119" i="28"/>
  <c r="I118" i="28"/>
  <c r="I117" i="28"/>
  <c r="I116" i="28"/>
  <c r="I115" i="28"/>
  <c r="I114" i="28"/>
  <c r="I113" i="28"/>
  <c r="I112" i="28"/>
  <c r="I111" i="28"/>
  <c r="I110" i="28"/>
  <c r="I109" i="28"/>
  <c r="I108" i="28"/>
  <c r="I107" i="28"/>
  <c r="I106" i="28"/>
  <c r="I105" i="28"/>
  <c r="I104" i="28"/>
  <c r="I103" i="28"/>
  <c r="I102" i="28"/>
  <c r="I101" i="28"/>
  <c r="I100" i="28"/>
  <c r="I99" i="28"/>
  <c r="I98" i="28"/>
  <c r="I97" i="28"/>
  <c r="I96" i="28"/>
  <c r="I95" i="28"/>
  <c r="I94" i="28"/>
  <c r="I93" i="28"/>
  <c r="I92" i="28"/>
  <c r="I91" i="28"/>
  <c r="I90" i="28"/>
  <c r="I89" i="28"/>
  <c r="I88" i="28"/>
  <c r="I87" i="28"/>
  <c r="I86" i="28"/>
  <c r="I85" i="28"/>
  <c r="I84" i="28"/>
  <c r="I83" i="28"/>
  <c r="I82" i="28"/>
  <c r="I81" i="28"/>
  <c r="I80" i="28"/>
  <c r="I79" i="28"/>
  <c r="I78" i="28"/>
  <c r="I77" i="28"/>
  <c r="I76" i="28"/>
  <c r="I75" i="28"/>
  <c r="I74" i="28"/>
  <c r="I73" i="28"/>
  <c r="I72" i="28"/>
  <c r="I71" i="28"/>
  <c r="I70" i="28"/>
  <c r="I69" i="28"/>
  <c r="I68" i="28"/>
  <c r="I67" i="28"/>
  <c r="I66" i="28"/>
  <c r="I65" i="28"/>
  <c r="I64" i="28"/>
  <c r="I63" i="28"/>
  <c r="I62" i="28"/>
  <c r="I61" i="28"/>
  <c r="I60" i="28"/>
  <c r="I59" i="28"/>
  <c r="I58" i="28"/>
  <c r="I57" i="28"/>
  <c r="I56" i="28"/>
  <c r="I55" i="28"/>
  <c r="I54" i="28"/>
  <c r="I53" i="28"/>
  <c r="I52" i="28"/>
  <c r="I51" i="28"/>
  <c r="I50" i="28"/>
  <c r="I49" i="28"/>
  <c r="I48" i="28"/>
  <c r="I47" i="28"/>
  <c r="I46" i="28"/>
  <c r="I45" i="28"/>
  <c r="I44" i="28"/>
  <c r="I43" i="28"/>
  <c r="I42" i="28"/>
  <c r="I41" i="28"/>
  <c r="I40" i="28"/>
  <c r="I39" i="28"/>
  <c r="I38" i="28"/>
  <c r="I37" i="28"/>
  <c r="I36" i="28"/>
  <c r="I35" i="28"/>
  <c r="I34" i="28"/>
  <c r="I33" i="28"/>
  <c r="I32" i="28"/>
  <c r="I31" i="28"/>
  <c r="I30" i="28"/>
  <c r="I29" i="28"/>
  <c r="I28" i="28"/>
  <c r="I27" i="28"/>
  <c r="I26" i="28"/>
  <c r="I25" i="28"/>
  <c r="I24" i="28"/>
  <c r="I23" i="28"/>
  <c r="I22" i="28"/>
  <c r="I21" i="28"/>
  <c r="I20" i="28"/>
  <c r="I19" i="28"/>
  <c r="I18" i="28"/>
  <c r="I17" i="28"/>
  <c r="I16" i="28"/>
  <c r="I15" i="28"/>
  <c r="I14" i="28"/>
  <c r="I13" i="28"/>
  <c r="I12" i="28"/>
  <c r="I11" i="28"/>
  <c r="I10" i="28"/>
  <c r="I9" i="28"/>
  <c r="I8" i="28"/>
  <c r="I7" i="28"/>
  <c r="I6" i="28"/>
  <c r="I5" i="28"/>
  <c r="I4" i="28"/>
  <c r="I3" i="28"/>
  <c r="B206" i="28"/>
  <c r="B205" i="28"/>
  <c r="B204" i="28"/>
  <c r="B203" i="28"/>
  <c r="B202" i="28"/>
  <c r="B201" i="28"/>
  <c r="B200" i="28"/>
  <c r="B199" i="28"/>
  <c r="B198" i="28"/>
  <c r="B197" i="28"/>
  <c r="B196" i="28"/>
  <c r="B195" i="28"/>
  <c r="B194" i="28"/>
  <c r="B193" i="28"/>
  <c r="B192" i="28"/>
  <c r="B191" i="28"/>
  <c r="B190" i="28"/>
  <c r="B189" i="28"/>
  <c r="B188" i="28"/>
  <c r="B187" i="28"/>
  <c r="B186" i="28"/>
  <c r="B185" i="28"/>
  <c r="B184" i="28"/>
  <c r="B183" i="28"/>
  <c r="B182" i="28"/>
  <c r="B181" i="28"/>
  <c r="B180" i="28"/>
  <c r="B179" i="28"/>
  <c r="B178" i="28"/>
  <c r="B177" i="28"/>
  <c r="B176" i="28"/>
  <c r="B175" i="28"/>
  <c r="B174" i="28"/>
  <c r="B173" i="28"/>
  <c r="B172" i="28"/>
  <c r="B171" i="28"/>
  <c r="B170" i="28"/>
  <c r="B169" i="28"/>
  <c r="B168" i="28"/>
  <c r="B167" i="28"/>
  <c r="B166" i="28"/>
  <c r="B165" i="28"/>
  <c r="B164" i="28"/>
  <c r="B163" i="28"/>
  <c r="B162" i="28"/>
  <c r="B161" i="28"/>
  <c r="B160" i="28"/>
  <c r="B159" i="28"/>
  <c r="B158" i="28"/>
  <c r="B157" i="28"/>
  <c r="B156" i="28"/>
  <c r="B155" i="28"/>
  <c r="B154" i="28"/>
  <c r="B153" i="28"/>
  <c r="B152" i="28"/>
  <c r="B151" i="28"/>
  <c r="B150" i="28"/>
  <c r="B149" i="28"/>
  <c r="B148" i="28"/>
  <c r="B147" i="28"/>
  <c r="B146" i="28"/>
  <c r="B145" i="28"/>
  <c r="B144" i="28"/>
  <c r="B143" i="28"/>
  <c r="B142" i="28"/>
  <c r="B141" i="28"/>
  <c r="B140" i="28"/>
  <c r="B139" i="28"/>
  <c r="B138" i="28"/>
  <c r="B137" i="28"/>
  <c r="B136" i="28"/>
  <c r="B135" i="28"/>
  <c r="B134" i="28"/>
  <c r="B133" i="28"/>
  <c r="B132" i="28"/>
  <c r="B131" i="28"/>
  <c r="B130" i="28"/>
  <c r="B129" i="28"/>
  <c r="B128" i="28"/>
  <c r="B127" i="28"/>
  <c r="B126" i="28"/>
  <c r="B125" i="28"/>
  <c r="B124" i="28"/>
  <c r="B123" i="28"/>
  <c r="B122" i="28"/>
  <c r="B121" i="28"/>
  <c r="B120" i="28"/>
  <c r="B119" i="28"/>
  <c r="B118" i="28"/>
  <c r="B117" i="28"/>
  <c r="B116" i="28"/>
  <c r="B115" i="28"/>
  <c r="B114" i="28"/>
  <c r="B113" i="28"/>
  <c r="B112" i="28"/>
  <c r="B111" i="28"/>
  <c r="B110" i="28"/>
  <c r="B109" i="28"/>
  <c r="B108" i="28"/>
  <c r="B107" i="28"/>
  <c r="B106" i="28"/>
  <c r="B105" i="28"/>
  <c r="B104" i="28"/>
  <c r="B103" i="28"/>
  <c r="B102" i="28"/>
  <c r="B101" i="28"/>
  <c r="B100" i="28"/>
  <c r="B99" i="28"/>
  <c r="B98" i="28"/>
  <c r="B97" i="28"/>
  <c r="B96" i="28"/>
  <c r="B95" i="28"/>
  <c r="B94" i="28"/>
  <c r="B93" i="28"/>
  <c r="B92" i="28"/>
  <c r="B91" i="28"/>
  <c r="B90" i="28"/>
  <c r="B89" i="28"/>
  <c r="B88" i="28"/>
  <c r="B87" i="28"/>
  <c r="B86" i="28"/>
  <c r="B85" i="28"/>
  <c r="B84" i="28"/>
  <c r="B83" i="28"/>
  <c r="B82" i="28"/>
  <c r="B81" i="28"/>
  <c r="B80" i="28"/>
  <c r="B79" i="28"/>
  <c r="B78" i="28"/>
  <c r="B77" i="28"/>
  <c r="B76" i="28"/>
  <c r="B75" i="28"/>
  <c r="B74" i="28"/>
  <c r="B73" i="28"/>
  <c r="B72" i="28"/>
  <c r="B71" i="28"/>
  <c r="B70" i="28"/>
  <c r="B69" i="28"/>
  <c r="B68" i="28"/>
  <c r="B67" i="28"/>
  <c r="B66" i="28"/>
  <c r="B65" i="28"/>
  <c r="B64" i="28"/>
  <c r="B63" i="28"/>
  <c r="B62" i="28"/>
  <c r="B61" i="28"/>
  <c r="B60" i="28"/>
  <c r="B59" i="28"/>
  <c r="B58" i="28"/>
  <c r="B57" i="28"/>
  <c r="B56" i="28"/>
  <c r="B55" i="28"/>
  <c r="B54" i="28"/>
  <c r="B53" i="28"/>
  <c r="B52" i="28"/>
  <c r="B51" i="28"/>
  <c r="B50" i="28"/>
  <c r="B49" i="28"/>
  <c r="B48" i="28"/>
  <c r="B47" i="28"/>
  <c r="B46" i="28"/>
  <c r="B45" i="28"/>
  <c r="B44" i="28"/>
  <c r="B43" i="28"/>
  <c r="B42" i="28"/>
  <c r="B41" i="28"/>
  <c r="B40" i="28"/>
  <c r="B39" i="28"/>
  <c r="B38" i="28"/>
  <c r="B37" i="28"/>
  <c r="B36" i="28"/>
  <c r="B35" i="28"/>
  <c r="B34" i="28"/>
  <c r="B33" i="28"/>
  <c r="B32" i="28"/>
  <c r="B31" i="28"/>
  <c r="B30" i="28"/>
  <c r="B29" i="28"/>
  <c r="B28" i="28"/>
  <c r="B27" i="28"/>
  <c r="B26" i="28"/>
  <c r="B25" i="28"/>
  <c r="B24" i="28"/>
  <c r="B23" i="28"/>
  <c r="B22" i="28"/>
  <c r="B21" i="28"/>
  <c r="B20" i="28"/>
  <c r="B19" i="28"/>
  <c r="B18" i="28"/>
  <c r="B17" i="28"/>
  <c r="B16" i="28"/>
  <c r="B15" i="28"/>
  <c r="B14" i="28"/>
  <c r="B13" i="28"/>
  <c r="B12" i="28"/>
  <c r="B11" i="28"/>
  <c r="B10" i="28"/>
  <c r="B9" i="28"/>
  <c r="B8" i="28"/>
  <c r="B7" i="28"/>
  <c r="B6" i="28"/>
  <c r="B5" i="28"/>
  <c r="B4" i="28"/>
  <c r="B3" i="28"/>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7" i="27"/>
  <c r="J6" i="27"/>
  <c r="J5" i="27"/>
  <c r="J4" i="27"/>
  <c r="J3" i="27"/>
  <c r="B206" i="27"/>
  <c r="B205" i="27"/>
  <c r="B204" i="27"/>
  <c r="B203" i="27"/>
  <c r="B202" i="27"/>
  <c r="B201" i="27"/>
  <c r="B200" i="27"/>
  <c r="B199" i="27"/>
  <c r="B198" i="27"/>
  <c r="B197" i="27"/>
  <c r="B196" i="27"/>
  <c r="B195" i="27"/>
  <c r="B194" i="27"/>
  <c r="B193" i="27"/>
  <c r="B192" i="27"/>
  <c r="B191" i="27"/>
  <c r="B190" i="27"/>
  <c r="B189" i="27"/>
  <c r="B188" i="27"/>
  <c r="B187" i="27"/>
  <c r="B186" i="27"/>
  <c r="B185" i="27"/>
  <c r="B184" i="27"/>
  <c r="B183" i="27"/>
  <c r="B182" i="27"/>
  <c r="B181" i="27"/>
  <c r="B180" i="27"/>
  <c r="B179" i="27"/>
  <c r="B178" i="27"/>
  <c r="B177" i="27"/>
  <c r="B176" i="27"/>
  <c r="B175" i="27"/>
  <c r="B174" i="27"/>
  <c r="B173" i="27"/>
  <c r="B172" i="27"/>
  <c r="B171" i="27"/>
  <c r="B170" i="27"/>
  <c r="B169" i="27"/>
  <c r="B168" i="27"/>
  <c r="B167" i="27"/>
  <c r="B166" i="27"/>
  <c r="B165" i="27"/>
  <c r="B164" i="27"/>
  <c r="B163" i="27"/>
  <c r="B162" i="27"/>
  <c r="B161" i="27"/>
  <c r="B160" i="27"/>
  <c r="B159" i="27"/>
  <c r="B158" i="27"/>
  <c r="B157" i="27"/>
  <c r="B156" i="27"/>
  <c r="B155" i="27"/>
  <c r="B154" i="27"/>
  <c r="B153" i="27"/>
  <c r="B152" i="27"/>
  <c r="B151" i="27"/>
  <c r="B150" i="27"/>
  <c r="B149" i="27"/>
  <c r="B148" i="27"/>
  <c r="B147" i="27"/>
  <c r="B146" i="27"/>
  <c r="B145" i="27"/>
  <c r="B144" i="27"/>
  <c r="B143" i="27"/>
  <c r="B142" i="27"/>
  <c r="B141" i="27"/>
  <c r="B140" i="27"/>
  <c r="B139" i="27"/>
  <c r="B138" i="27"/>
  <c r="B137" i="27"/>
  <c r="B136" i="27"/>
  <c r="B135" i="27"/>
  <c r="B134" i="27"/>
  <c r="B133" i="27"/>
  <c r="B132" i="27"/>
  <c r="B131" i="27"/>
  <c r="B130" i="27"/>
  <c r="B129" i="27"/>
  <c r="B128" i="27"/>
  <c r="B127" i="27"/>
  <c r="B126" i="27"/>
  <c r="B125" i="27"/>
  <c r="B124" i="27"/>
  <c r="B123" i="27"/>
  <c r="B122" i="27"/>
  <c r="B121" i="27"/>
  <c r="B120" i="27"/>
  <c r="B119" i="27"/>
  <c r="B118" i="27"/>
  <c r="B117" i="27"/>
  <c r="B116" i="27"/>
  <c r="B115" i="27"/>
  <c r="B114" i="27"/>
  <c r="B113" i="27"/>
  <c r="B112" i="27"/>
  <c r="B111" i="27"/>
  <c r="B110" i="27"/>
  <c r="B109" i="27"/>
  <c r="B108" i="27"/>
  <c r="B107" i="27"/>
  <c r="B106" i="27"/>
  <c r="B105" i="27"/>
  <c r="B104" i="27"/>
  <c r="B103" i="27"/>
  <c r="B102" i="27"/>
  <c r="B101" i="27"/>
  <c r="B100" i="27"/>
  <c r="B99" i="27"/>
  <c r="B98" i="27"/>
  <c r="B97" i="27"/>
  <c r="B96" i="27"/>
  <c r="B95" i="27"/>
  <c r="B94" i="27"/>
  <c r="B93" i="27"/>
  <c r="B92" i="27"/>
  <c r="B91" i="27"/>
  <c r="B90" i="27"/>
  <c r="B89" i="27"/>
  <c r="B88" i="27"/>
  <c r="B87" i="27"/>
  <c r="B86" i="27"/>
  <c r="B85" i="27"/>
  <c r="B84" i="27"/>
  <c r="B83" i="27"/>
  <c r="B82" i="27"/>
  <c r="B81" i="27"/>
  <c r="B80" i="27"/>
  <c r="B79" i="27"/>
  <c r="B78" i="27"/>
  <c r="B77" i="27"/>
  <c r="B76" i="27"/>
  <c r="B75" i="27"/>
  <c r="B74" i="27"/>
  <c r="B73" i="27"/>
  <c r="B72" i="27"/>
  <c r="B71" i="27"/>
  <c r="B70" i="27"/>
  <c r="B69" i="27"/>
  <c r="B68" i="27"/>
  <c r="B67" i="27"/>
  <c r="B66" i="27"/>
  <c r="B65" i="27"/>
  <c r="B64" i="27"/>
  <c r="B63" i="27"/>
  <c r="B62" i="27"/>
  <c r="B61" i="27"/>
  <c r="B60" i="27"/>
  <c r="B59" i="27"/>
  <c r="B58" i="27"/>
  <c r="B57" i="27"/>
  <c r="B56" i="27"/>
  <c r="B55" i="27"/>
  <c r="B54" i="27"/>
  <c r="B53" i="27"/>
  <c r="B52" i="27"/>
  <c r="B51" i="27"/>
  <c r="B50" i="27"/>
  <c r="B49" i="27"/>
  <c r="B48" i="27"/>
  <c r="B47" i="27"/>
  <c r="B46" i="27"/>
  <c r="B45" i="27"/>
  <c r="B44" i="27"/>
  <c r="B43" i="27"/>
  <c r="B42" i="27"/>
  <c r="B41" i="27"/>
  <c r="B40" i="27"/>
  <c r="B39" i="27"/>
  <c r="B38" i="27"/>
  <c r="B37" i="27"/>
  <c r="B36" i="27"/>
  <c r="B35" i="27"/>
  <c r="B34" i="27"/>
  <c r="B33" i="27"/>
  <c r="B32" i="27"/>
  <c r="B31" i="27"/>
  <c r="B30" i="27"/>
  <c r="B29" i="27"/>
  <c r="B28" i="27"/>
  <c r="B27" i="27"/>
  <c r="B26" i="27"/>
  <c r="B25" i="27"/>
  <c r="B24" i="27"/>
  <c r="B23" i="27"/>
  <c r="B22" i="27"/>
  <c r="B21" i="27"/>
  <c r="B20" i="27"/>
  <c r="B19" i="27"/>
  <c r="B18" i="27"/>
  <c r="B17" i="27"/>
  <c r="B16" i="27"/>
  <c r="B15" i="27"/>
  <c r="B14" i="27"/>
  <c r="B13" i="27"/>
  <c r="B12" i="27"/>
  <c r="B11" i="27"/>
  <c r="B10" i="27"/>
  <c r="B9" i="27"/>
  <c r="B8" i="27"/>
  <c r="B7" i="27"/>
  <c r="B6" i="27"/>
  <c r="B5" i="27"/>
  <c r="B4" i="27"/>
  <c r="B3" i="27"/>
  <c r="I206" i="25"/>
  <c r="I205" i="25"/>
  <c r="I204" i="25"/>
  <c r="I203" i="25"/>
  <c r="I202" i="25"/>
  <c r="I201" i="25"/>
  <c r="I200" i="25"/>
  <c r="I199" i="25"/>
  <c r="I198" i="25"/>
  <c r="I197" i="25"/>
  <c r="I196" i="25"/>
  <c r="I195" i="25"/>
  <c r="I194" i="25"/>
  <c r="I193" i="25"/>
  <c r="I192" i="25"/>
  <c r="I191" i="25"/>
  <c r="I190" i="25"/>
  <c r="I189" i="25"/>
  <c r="I188" i="25"/>
  <c r="I187" i="25"/>
  <c r="I186" i="25"/>
  <c r="I185" i="25"/>
  <c r="I184" i="25"/>
  <c r="I183" i="25"/>
  <c r="I182" i="25"/>
  <c r="I181" i="25"/>
  <c r="I180" i="25"/>
  <c r="I179" i="25"/>
  <c r="I178" i="25"/>
  <c r="I177" i="25"/>
  <c r="I176" i="25"/>
  <c r="I175" i="25"/>
  <c r="I174" i="25"/>
  <c r="I173" i="25"/>
  <c r="I172" i="25"/>
  <c r="I171" i="25"/>
  <c r="I170" i="25"/>
  <c r="I169" i="25"/>
  <c r="I168" i="25"/>
  <c r="I167" i="25"/>
  <c r="I166" i="25"/>
  <c r="I165" i="25"/>
  <c r="I164" i="25"/>
  <c r="I163" i="25"/>
  <c r="I162" i="25"/>
  <c r="I161" i="25"/>
  <c r="I160" i="25"/>
  <c r="I159" i="25"/>
  <c r="I158" i="25"/>
  <c r="I157" i="25"/>
  <c r="I156" i="25"/>
  <c r="I155" i="25"/>
  <c r="I154" i="25"/>
  <c r="I153" i="25"/>
  <c r="I152" i="25"/>
  <c r="I151" i="25"/>
  <c r="I150" i="25"/>
  <c r="I149" i="25"/>
  <c r="I148" i="25"/>
  <c r="I147" i="25"/>
  <c r="I146" i="25"/>
  <c r="I145" i="25"/>
  <c r="I144" i="25"/>
  <c r="I143" i="25"/>
  <c r="I142" i="25"/>
  <c r="I141" i="25"/>
  <c r="I140" i="25"/>
  <c r="I139" i="25"/>
  <c r="I138" i="25"/>
  <c r="I137" i="25"/>
  <c r="I136" i="25"/>
  <c r="I135" i="25"/>
  <c r="I134" i="25"/>
  <c r="I133" i="25"/>
  <c r="I132" i="25"/>
  <c r="I131" i="25"/>
  <c r="I130" i="25"/>
  <c r="I129" i="25"/>
  <c r="I128" i="25"/>
  <c r="I127" i="25"/>
  <c r="I126" i="25"/>
  <c r="I125" i="25"/>
  <c r="I124" i="25"/>
  <c r="I123" i="25"/>
  <c r="I122" i="25"/>
  <c r="I121" i="25"/>
  <c r="I120" i="25"/>
  <c r="I119" i="25"/>
  <c r="I118" i="25"/>
  <c r="I117" i="25"/>
  <c r="I116" i="25"/>
  <c r="I115" i="25"/>
  <c r="I114" i="25"/>
  <c r="I113" i="25"/>
  <c r="I112" i="25"/>
  <c r="I111" i="25"/>
  <c r="I110" i="25"/>
  <c r="I109" i="25"/>
  <c r="I108" i="25"/>
  <c r="I107" i="25"/>
  <c r="I106" i="25"/>
  <c r="I105" i="25"/>
  <c r="I104" i="25"/>
  <c r="I103" i="25"/>
  <c r="I102" i="25"/>
  <c r="I101" i="25"/>
  <c r="I100" i="25"/>
  <c r="I99" i="25"/>
  <c r="I98" i="25"/>
  <c r="I97" i="25"/>
  <c r="I96" i="25"/>
  <c r="I95" i="25"/>
  <c r="I94" i="25"/>
  <c r="I93" i="25"/>
  <c r="I92" i="25"/>
  <c r="I91" i="25"/>
  <c r="I90" i="25"/>
  <c r="I89" i="25"/>
  <c r="I88" i="25"/>
  <c r="I87" i="25"/>
  <c r="I86" i="25"/>
  <c r="I85" i="25"/>
  <c r="I84" i="25"/>
  <c r="I83" i="25"/>
  <c r="I82" i="25"/>
  <c r="I81" i="25"/>
  <c r="I80" i="25"/>
  <c r="I79" i="25"/>
  <c r="I78" i="25"/>
  <c r="I77" i="25"/>
  <c r="I76" i="25"/>
  <c r="I75" i="25"/>
  <c r="I74" i="25"/>
  <c r="I73" i="25"/>
  <c r="I72" i="25"/>
  <c r="I71" i="25"/>
  <c r="I70" i="25"/>
  <c r="I69" i="25"/>
  <c r="I68" i="25"/>
  <c r="I67" i="25"/>
  <c r="I66" i="25"/>
  <c r="I65" i="25"/>
  <c r="I64" i="25"/>
  <c r="I63" i="25"/>
  <c r="I62" i="25"/>
  <c r="I61" i="25"/>
  <c r="I60" i="25"/>
  <c r="I59" i="25"/>
  <c r="I58" i="25"/>
  <c r="I57" i="25"/>
  <c r="I56" i="25"/>
  <c r="I55" i="25"/>
  <c r="I54" i="25"/>
  <c r="I53" i="25"/>
  <c r="I52" i="25"/>
  <c r="I51" i="25"/>
  <c r="I50" i="25"/>
  <c r="I49" i="25"/>
  <c r="I48" i="25"/>
  <c r="I47" i="25"/>
  <c r="I46" i="25"/>
  <c r="I45" i="25"/>
  <c r="I44" i="25"/>
  <c r="I43" i="25"/>
  <c r="I42" i="25"/>
  <c r="I41" i="25"/>
  <c r="I40" i="25"/>
  <c r="I39" i="25"/>
  <c r="I38" i="25"/>
  <c r="I37" i="25"/>
  <c r="I36" i="25"/>
  <c r="I35" i="25"/>
  <c r="I34" i="25"/>
  <c r="I33" i="25"/>
  <c r="I32" i="25"/>
  <c r="I31" i="25"/>
  <c r="I30" i="25"/>
  <c r="I29" i="25"/>
  <c r="I28" i="25"/>
  <c r="I27" i="25"/>
  <c r="I26" i="25"/>
  <c r="I25" i="25"/>
  <c r="I24" i="25"/>
  <c r="I23" i="25"/>
  <c r="I22" i="25"/>
  <c r="I21" i="25"/>
  <c r="I20" i="25"/>
  <c r="I19" i="25"/>
  <c r="I18" i="25"/>
  <c r="I17" i="25"/>
  <c r="I16" i="25"/>
  <c r="I15" i="25"/>
  <c r="I14" i="25"/>
  <c r="I13" i="25"/>
  <c r="I12" i="25"/>
  <c r="I11" i="25"/>
  <c r="I10" i="25"/>
  <c r="I9" i="25"/>
  <c r="I8" i="25"/>
  <c r="I7" i="25"/>
  <c r="I6" i="25"/>
  <c r="I5" i="25"/>
  <c r="I4" i="25"/>
  <c r="I3" i="25"/>
  <c r="B206" i="25"/>
  <c r="B205" i="25"/>
  <c r="B204" i="25"/>
  <c r="B203" i="25"/>
  <c r="B202" i="25"/>
  <c r="B201" i="25"/>
  <c r="B200" i="25"/>
  <c r="B199" i="25"/>
  <c r="B198" i="25"/>
  <c r="B197" i="25"/>
  <c r="B196" i="25"/>
  <c r="B195" i="25"/>
  <c r="B194" i="25"/>
  <c r="B193" i="25"/>
  <c r="B192" i="25"/>
  <c r="B191" i="25"/>
  <c r="B190" i="25"/>
  <c r="B189" i="25"/>
  <c r="B188" i="25"/>
  <c r="B187" i="25"/>
  <c r="B186" i="25"/>
  <c r="B185" i="25"/>
  <c r="B184" i="25"/>
  <c r="B183" i="25"/>
  <c r="B182" i="25"/>
  <c r="B181" i="25"/>
  <c r="B180" i="25"/>
  <c r="B179" i="25"/>
  <c r="B178" i="25"/>
  <c r="B177" i="25"/>
  <c r="B176" i="25"/>
  <c r="B175" i="25"/>
  <c r="B174" i="25"/>
  <c r="B173" i="25"/>
  <c r="B172" i="25"/>
  <c r="B171" i="25"/>
  <c r="B170" i="25"/>
  <c r="B169" i="25"/>
  <c r="B168" i="25"/>
  <c r="B167" i="25"/>
  <c r="B166" i="25"/>
  <c r="B165" i="25"/>
  <c r="B164" i="25"/>
  <c r="B163" i="25"/>
  <c r="B162" i="25"/>
  <c r="B161" i="25"/>
  <c r="B160" i="25"/>
  <c r="B159" i="25"/>
  <c r="B158" i="25"/>
  <c r="B157" i="25"/>
  <c r="B156" i="25"/>
  <c r="B155" i="25"/>
  <c r="B154" i="25"/>
  <c r="B153" i="25"/>
  <c r="B152" i="25"/>
  <c r="B151" i="25"/>
  <c r="B150" i="25"/>
  <c r="B149" i="25"/>
  <c r="B148" i="25"/>
  <c r="B147" i="25"/>
  <c r="B146" i="25"/>
  <c r="B145" i="25"/>
  <c r="B144" i="25"/>
  <c r="B143" i="25"/>
  <c r="B142" i="25"/>
  <c r="B141" i="25"/>
  <c r="B140" i="25"/>
  <c r="B139" i="25"/>
  <c r="B138" i="25"/>
  <c r="B137" i="25"/>
  <c r="B136" i="25"/>
  <c r="B135" i="25"/>
  <c r="B134" i="25"/>
  <c r="B133" i="25"/>
  <c r="B132" i="25"/>
  <c r="B131" i="25"/>
  <c r="B130" i="25"/>
  <c r="B129" i="25"/>
  <c r="B128" i="25"/>
  <c r="B127" i="25"/>
  <c r="B126" i="25"/>
  <c r="B125" i="25"/>
  <c r="B124" i="25"/>
  <c r="B123" i="25"/>
  <c r="B122" i="25"/>
  <c r="B121" i="25"/>
  <c r="B120" i="25"/>
  <c r="B119" i="25"/>
  <c r="B118" i="25"/>
  <c r="B117" i="25"/>
  <c r="B116" i="25"/>
  <c r="B115" i="25"/>
  <c r="B114" i="25"/>
  <c r="B113" i="25"/>
  <c r="B112" i="25"/>
  <c r="B111" i="25"/>
  <c r="B110" i="25"/>
  <c r="B109" i="25"/>
  <c r="B108" i="25"/>
  <c r="B107" i="25"/>
  <c r="B106" i="25"/>
  <c r="B105" i="25"/>
  <c r="B104" i="25"/>
  <c r="B103" i="25"/>
  <c r="B102" i="25"/>
  <c r="B101" i="25"/>
  <c r="B100" i="25"/>
  <c r="B99" i="25"/>
  <c r="B98" i="25"/>
  <c r="B97" i="25"/>
  <c r="B96" i="25"/>
  <c r="B95" i="25"/>
  <c r="B94" i="25"/>
  <c r="B93" i="25"/>
  <c r="B92" i="25"/>
  <c r="B91" i="25"/>
  <c r="B90" i="25"/>
  <c r="B89" i="25"/>
  <c r="B88" i="25"/>
  <c r="B87" i="25"/>
  <c r="B86" i="25"/>
  <c r="B85" i="25"/>
  <c r="B84" i="25"/>
  <c r="B83" i="25"/>
  <c r="B82" i="25"/>
  <c r="B81" i="25"/>
  <c r="B80" i="25"/>
  <c r="B79" i="25"/>
  <c r="B78" i="25"/>
  <c r="B77" i="25"/>
  <c r="B76" i="25"/>
  <c r="B75" i="25"/>
  <c r="B74" i="25"/>
  <c r="B73" i="25"/>
  <c r="B72" i="25"/>
  <c r="B71" i="25"/>
  <c r="B70" i="25"/>
  <c r="B69" i="25"/>
  <c r="B68" i="25"/>
  <c r="B67" i="25"/>
  <c r="B66" i="25"/>
  <c r="B65" i="25"/>
  <c r="B64" i="25"/>
  <c r="B63" i="25"/>
  <c r="B62" i="25"/>
  <c r="B61" i="25"/>
  <c r="B60" i="25"/>
  <c r="B59" i="25"/>
  <c r="B58" i="25"/>
  <c r="B57" i="25"/>
  <c r="B56" i="25"/>
  <c r="B55" i="25"/>
  <c r="B54" i="25"/>
  <c r="B53" i="25"/>
  <c r="B52" i="25"/>
  <c r="B51" i="25"/>
  <c r="B50" i="25"/>
  <c r="B49" i="25"/>
  <c r="B48" i="25"/>
  <c r="B47" i="25"/>
  <c r="B46" i="25"/>
  <c r="B45" i="25"/>
  <c r="B44" i="25"/>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B12" i="25"/>
  <c r="B11" i="25"/>
  <c r="B10" i="25"/>
  <c r="B9" i="25"/>
  <c r="B8" i="25"/>
  <c r="B7" i="25"/>
  <c r="B6" i="25"/>
  <c r="B5" i="25"/>
  <c r="B4" i="25"/>
  <c r="B3" i="25"/>
  <c r="H206" i="24"/>
  <c r="H205" i="24"/>
  <c r="H204" i="24"/>
  <c r="H203" i="24"/>
  <c r="H202" i="24"/>
  <c r="H201" i="24"/>
  <c r="H200" i="24"/>
  <c r="H199" i="24"/>
  <c r="H198" i="24"/>
  <c r="H197" i="24"/>
  <c r="H196" i="24"/>
  <c r="H195" i="24"/>
  <c r="H194" i="24"/>
  <c r="H193" i="24"/>
  <c r="H192" i="24"/>
  <c r="H191" i="24"/>
  <c r="H190" i="24"/>
  <c r="H189" i="24"/>
  <c r="H188" i="24"/>
  <c r="H187" i="24"/>
  <c r="H186" i="24"/>
  <c r="H185" i="24"/>
  <c r="H184" i="24"/>
  <c r="H183" i="24"/>
  <c r="H182" i="24"/>
  <c r="H181" i="24"/>
  <c r="H180" i="24"/>
  <c r="H179" i="24"/>
  <c r="H178" i="24"/>
  <c r="H177" i="24"/>
  <c r="H176" i="24"/>
  <c r="H175" i="24"/>
  <c r="H174" i="24"/>
  <c r="H173" i="24"/>
  <c r="H172" i="24"/>
  <c r="H171" i="24"/>
  <c r="H170" i="24"/>
  <c r="H169" i="24"/>
  <c r="H168" i="24"/>
  <c r="H167" i="24"/>
  <c r="H166" i="24"/>
  <c r="H165" i="24"/>
  <c r="H164" i="24"/>
  <c r="H163" i="24"/>
  <c r="H162" i="24"/>
  <c r="H161" i="24"/>
  <c r="H160" i="24"/>
  <c r="H159" i="24"/>
  <c r="H158" i="24"/>
  <c r="H157" i="24"/>
  <c r="H156" i="24"/>
  <c r="H155" i="24"/>
  <c r="H154" i="24"/>
  <c r="H153" i="24"/>
  <c r="H152" i="24"/>
  <c r="H151" i="24"/>
  <c r="H150" i="24"/>
  <c r="H149" i="24"/>
  <c r="H148" i="24"/>
  <c r="H147" i="24"/>
  <c r="H146" i="24"/>
  <c r="H145" i="24"/>
  <c r="H144" i="24"/>
  <c r="H143" i="24"/>
  <c r="H142" i="24"/>
  <c r="H141" i="24"/>
  <c r="H140" i="24"/>
  <c r="H139" i="24"/>
  <c r="H138" i="24"/>
  <c r="H137" i="24"/>
  <c r="H136" i="24"/>
  <c r="H135" i="24"/>
  <c r="H134" i="24"/>
  <c r="H133" i="24"/>
  <c r="H132" i="24"/>
  <c r="H131" i="24"/>
  <c r="H130" i="24"/>
  <c r="H129" i="24"/>
  <c r="H128" i="24"/>
  <c r="H127" i="24"/>
  <c r="H126" i="24"/>
  <c r="H125" i="24"/>
  <c r="H124" i="24"/>
  <c r="H123" i="24"/>
  <c r="H122" i="24"/>
  <c r="H121" i="24"/>
  <c r="H120" i="24"/>
  <c r="H119" i="24"/>
  <c r="H118" i="24"/>
  <c r="H117" i="24"/>
  <c r="H116" i="24"/>
  <c r="H115" i="24"/>
  <c r="H114" i="24"/>
  <c r="H113" i="24"/>
  <c r="H112" i="24"/>
  <c r="H111" i="24"/>
  <c r="H110" i="24"/>
  <c r="H109" i="24"/>
  <c r="H108" i="24"/>
  <c r="H107" i="24"/>
  <c r="H106" i="24"/>
  <c r="H105" i="24"/>
  <c r="H104" i="24"/>
  <c r="H103" i="24"/>
  <c r="H102" i="24"/>
  <c r="H101" i="24"/>
  <c r="H100" i="24"/>
  <c r="H99" i="24"/>
  <c r="H98" i="24"/>
  <c r="H97" i="24"/>
  <c r="H96" i="24"/>
  <c r="H95" i="24"/>
  <c r="H94" i="24"/>
  <c r="H93" i="24"/>
  <c r="H92" i="24"/>
  <c r="H91" i="24"/>
  <c r="H90" i="24"/>
  <c r="H89" i="24"/>
  <c r="H88" i="24"/>
  <c r="H87" i="24"/>
  <c r="H86" i="24"/>
  <c r="H85" i="24"/>
  <c r="H84" i="24"/>
  <c r="H83" i="24"/>
  <c r="H82" i="24"/>
  <c r="H81" i="24"/>
  <c r="H80" i="24"/>
  <c r="H79" i="24"/>
  <c r="H78" i="24"/>
  <c r="H77" i="24"/>
  <c r="H76" i="24"/>
  <c r="H75" i="24"/>
  <c r="H74" i="24"/>
  <c r="H73" i="24"/>
  <c r="H72" i="24"/>
  <c r="H71" i="24"/>
  <c r="H70" i="24"/>
  <c r="H69" i="24"/>
  <c r="H68" i="24"/>
  <c r="H67" i="24"/>
  <c r="H66" i="24"/>
  <c r="H65" i="24"/>
  <c r="H64" i="24"/>
  <c r="H63" i="24"/>
  <c r="H62" i="24"/>
  <c r="H61" i="24"/>
  <c r="H60" i="24"/>
  <c r="H59" i="24"/>
  <c r="H58" i="24"/>
  <c r="H57" i="24"/>
  <c r="H56" i="24"/>
  <c r="H55" i="24"/>
  <c r="H54" i="24"/>
  <c r="H53" i="24"/>
  <c r="H52" i="24"/>
  <c r="H51" i="24"/>
  <c r="H50" i="24"/>
  <c r="H49" i="24"/>
  <c r="H48" i="24"/>
  <c r="H47" i="24"/>
  <c r="H46" i="24"/>
  <c r="H45" i="24"/>
  <c r="H44" i="24"/>
  <c r="H43" i="24"/>
  <c r="H42" i="24"/>
  <c r="H41" i="24"/>
  <c r="H40" i="24"/>
  <c r="H39" i="24"/>
  <c r="H38" i="24"/>
  <c r="H37" i="24"/>
  <c r="H36" i="24"/>
  <c r="H35" i="24"/>
  <c r="H34" i="24"/>
  <c r="H33" i="24"/>
  <c r="H32" i="24"/>
  <c r="H31" i="24"/>
  <c r="H30" i="24"/>
  <c r="H29" i="24"/>
  <c r="H28" i="24"/>
  <c r="H27" i="24"/>
  <c r="H26" i="24"/>
  <c r="H25" i="24"/>
  <c r="H24" i="24"/>
  <c r="H23" i="24"/>
  <c r="H22" i="24"/>
  <c r="H21" i="24"/>
  <c r="H20" i="24"/>
  <c r="H19" i="24"/>
  <c r="H18" i="24"/>
  <c r="H17" i="24"/>
  <c r="H16" i="24"/>
  <c r="H15" i="24"/>
  <c r="H14" i="24"/>
  <c r="H13" i="24"/>
  <c r="H12" i="24"/>
  <c r="H11" i="24"/>
  <c r="H10" i="24"/>
  <c r="H9" i="24"/>
  <c r="H8" i="24"/>
  <c r="H7" i="24"/>
  <c r="H6" i="24"/>
  <c r="H5" i="24"/>
  <c r="H4" i="24"/>
  <c r="H3" i="24"/>
  <c r="B206" i="24"/>
  <c r="B205" i="24"/>
  <c r="B204" i="24"/>
  <c r="B203" i="24"/>
  <c r="B202" i="24"/>
  <c r="B201" i="24"/>
  <c r="B200" i="24"/>
  <c r="B199" i="24"/>
  <c r="B198" i="24"/>
  <c r="B197" i="24"/>
  <c r="B196" i="24"/>
  <c r="B195" i="24"/>
  <c r="B194" i="24"/>
  <c r="B193" i="24"/>
  <c r="B192" i="24"/>
  <c r="B191" i="24"/>
  <c r="B190" i="24"/>
  <c r="B189" i="24"/>
  <c r="B188" i="24"/>
  <c r="B187" i="24"/>
  <c r="B186" i="24"/>
  <c r="B185" i="24"/>
  <c r="B184" i="24"/>
  <c r="B183" i="24"/>
  <c r="B182" i="24"/>
  <c r="B181" i="24"/>
  <c r="B180" i="24"/>
  <c r="B179" i="24"/>
  <c r="B178" i="24"/>
  <c r="B177" i="24"/>
  <c r="B176" i="24"/>
  <c r="B175" i="24"/>
  <c r="B174" i="24"/>
  <c r="B173" i="24"/>
  <c r="B172" i="24"/>
  <c r="B171" i="24"/>
  <c r="B170" i="24"/>
  <c r="B169" i="24"/>
  <c r="B168" i="24"/>
  <c r="B167" i="24"/>
  <c r="B166" i="24"/>
  <c r="B165" i="24"/>
  <c r="B164" i="24"/>
  <c r="B163" i="24"/>
  <c r="B162" i="24"/>
  <c r="B161" i="24"/>
  <c r="B160" i="24"/>
  <c r="B159" i="24"/>
  <c r="B158" i="24"/>
  <c r="B157" i="24"/>
  <c r="B156" i="24"/>
  <c r="B155" i="24"/>
  <c r="B154" i="24"/>
  <c r="B153" i="24"/>
  <c r="B152" i="24"/>
  <c r="B151" i="24"/>
  <c r="B150" i="24"/>
  <c r="B149" i="24"/>
  <c r="B148" i="24"/>
  <c r="B147" i="24"/>
  <c r="B146" i="24"/>
  <c r="B145" i="24"/>
  <c r="B144" i="24"/>
  <c r="B143" i="24"/>
  <c r="B142" i="24"/>
  <c r="B141" i="24"/>
  <c r="B140" i="24"/>
  <c r="B139" i="24"/>
  <c r="B138" i="24"/>
  <c r="B137" i="24"/>
  <c r="B136" i="24"/>
  <c r="B135" i="24"/>
  <c r="B134" i="24"/>
  <c r="B133" i="24"/>
  <c r="B132" i="24"/>
  <c r="B131" i="24"/>
  <c r="B130" i="24"/>
  <c r="B129" i="24"/>
  <c r="B128" i="24"/>
  <c r="B127" i="24"/>
  <c r="B126" i="24"/>
  <c r="B125" i="24"/>
  <c r="B124" i="24"/>
  <c r="B123" i="24"/>
  <c r="B122" i="24"/>
  <c r="B121" i="24"/>
  <c r="B120" i="24"/>
  <c r="B119" i="24"/>
  <c r="B118" i="24"/>
  <c r="B117" i="24"/>
  <c r="B116" i="24"/>
  <c r="B115" i="24"/>
  <c r="B114" i="24"/>
  <c r="B113" i="24"/>
  <c r="B112" i="24"/>
  <c r="B111" i="24"/>
  <c r="B110" i="24"/>
  <c r="B109" i="24"/>
  <c r="B108" i="24"/>
  <c r="B107" i="24"/>
  <c r="B106" i="24"/>
  <c r="B105" i="24"/>
  <c r="B104" i="24"/>
  <c r="B103" i="24"/>
  <c r="B102" i="24"/>
  <c r="B101" i="24"/>
  <c r="B100" i="24"/>
  <c r="B99" i="24"/>
  <c r="B98" i="24"/>
  <c r="B97" i="24"/>
  <c r="B96" i="24"/>
  <c r="B95" i="24"/>
  <c r="B94" i="24"/>
  <c r="B93" i="24"/>
  <c r="B92" i="24"/>
  <c r="B91" i="24"/>
  <c r="B90" i="24"/>
  <c r="B89" i="24"/>
  <c r="B88" i="24"/>
  <c r="B87" i="24"/>
  <c r="B86" i="24"/>
  <c r="B85" i="24"/>
  <c r="B84" i="24"/>
  <c r="B83" i="24"/>
  <c r="B82" i="24"/>
  <c r="B81" i="24"/>
  <c r="B80" i="24"/>
  <c r="B79" i="24"/>
  <c r="B78" i="24"/>
  <c r="B77" i="24"/>
  <c r="B76" i="24"/>
  <c r="B75" i="24"/>
  <c r="B74" i="24"/>
  <c r="B73" i="24"/>
  <c r="B72" i="24"/>
  <c r="B71" i="24"/>
  <c r="B70" i="24"/>
  <c r="B69" i="24"/>
  <c r="B68" i="24"/>
  <c r="B67" i="24"/>
  <c r="B66" i="24"/>
  <c r="B65" i="24"/>
  <c r="B64" i="24"/>
  <c r="B63" i="24"/>
  <c r="B62" i="24"/>
  <c r="B61" i="24"/>
  <c r="B60" i="24"/>
  <c r="B59" i="24"/>
  <c r="B58" i="24"/>
  <c r="B57" i="24"/>
  <c r="B56" i="24"/>
  <c r="B55" i="24"/>
  <c r="B54" i="24"/>
  <c r="B53" i="24"/>
  <c r="B52" i="24"/>
  <c r="B51" i="24"/>
  <c r="B50" i="24"/>
  <c r="B49" i="24"/>
  <c r="B48" i="24"/>
  <c r="B47" i="24"/>
  <c r="B46" i="24"/>
  <c r="B45" i="24"/>
  <c r="B44" i="24"/>
  <c r="B43" i="24"/>
  <c r="B42" i="24"/>
  <c r="B41" i="24"/>
  <c r="B40" i="24"/>
  <c r="B39" i="24"/>
  <c r="B38" i="24"/>
  <c r="B37" i="24"/>
  <c r="B36" i="24"/>
  <c r="B35" i="24"/>
  <c r="B34" i="24"/>
  <c r="B33" i="24"/>
  <c r="B32" i="24"/>
  <c r="B31" i="24"/>
  <c r="B30" i="24"/>
  <c r="B29" i="24"/>
  <c r="B28" i="24"/>
  <c r="B27" i="24"/>
  <c r="B26" i="24"/>
  <c r="B25" i="24"/>
  <c r="B24" i="24"/>
  <c r="B23" i="24"/>
  <c r="B22" i="24"/>
  <c r="B21" i="24"/>
  <c r="B20" i="24"/>
  <c r="B19" i="24"/>
  <c r="B18" i="24"/>
  <c r="B17" i="24"/>
  <c r="B16" i="24"/>
  <c r="B15" i="24"/>
  <c r="B14" i="24"/>
  <c r="B13" i="24"/>
  <c r="B12" i="24"/>
  <c r="B11" i="24"/>
  <c r="B10" i="24"/>
  <c r="B9" i="24"/>
  <c r="B8" i="24"/>
  <c r="B7" i="24"/>
  <c r="B6" i="24"/>
  <c r="B5" i="24"/>
  <c r="B4" i="24"/>
  <c r="B3" i="24"/>
  <c r="I206" i="19"/>
  <c r="I205" i="19"/>
  <c r="I204" i="19"/>
  <c r="I203" i="19"/>
  <c r="I202" i="19"/>
  <c r="I201" i="19"/>
  <c r="I200" i="19"/>
  <c r="I199" i="19"/>
  <c r="I198" i="19"/>
  <c r="I197" i="19"/>
  <c r="I196" i="19"/>
  <c r="I195" i="19"/>
  <c r="I194" i="19"/>
  <c r="I193" i="19"/>
  <c r="I192" i="19"/>
  <c r="I191" i="19"/>
  <c r="I190" i="19"/>
  <c r="I189" i="19"/>
  <c r="I188" i="19"/>
  <c r="I187" i="19"/>
  <c r="I186" i="19"/>
  <c r="I185" i="19"/>
  <c r="I184" i="19"/>
  <c r="I183" i="19"/>
  <c r="I182" i="19"/>
  <c r="I181" i="19"/>
  <c r="I180" i="19"/>
  <c r="I179" i="19"/>
  <c r="I178" i="19"/>
  <c r="I177" i="19"/>
  <c r="I176" i="19"/>
  <c r="I175" i="19"/>
  <c r="I174" i="19"/>
  <c r="I173" i="19"/>
  <c r="I172" i="19"/>
  <c r="I171" i="19"/>
  <c r="I170" i="19"/>
  <c r="I169" i="19"/>
  <c r="I168" i="19"/>
  <c r="I167" i="19"/>
  <c r="I166" i="19"/>
  <c r="I165" i="19"/>
  <c r="I164" i="19"/>
  <c r="I163" i="19"/>
  <c r="I162" i="19"/>
  <c r="I161" i="19"/>
  <c r="I160" i="19"/>
  <c r="I159" i="19"/>
  <c r="I158" i="19"/>
  <c r="I157" i="19"/>
  <c r="I156" i="19"/>
  <c r="I155" i="19"/>
  <c r="I154" i="19"/>
  <c r="I153" i="19"/>
  <c r="I152" i="19"/>
  <c r="I151" i="19"/>
  <c r="I150" i="19"/>
  <c r="I149" i="19"/>
  <c r="I148" i="19"/>
  <c r="I147" i="19"/>
  <c r="I146" i="19"/>
  <c r="I145" i="19"/>
  <c r="I144" i="19"/>
  <c r="I143" i="19"/>
  <c r="I142" i="19"/>
  <c r="I141" i="19"/>
  <c r="I140" i="19"/>
  <c r="I139" i="19"/>
  <c r="I138" i="19"/>
  <c r="I137" i="19"/>
  <c r="I136" i="19"/>
  <c r="I135" i="19"/>
  <c r="I134" i="19"/>
  <c r="I133" i="19"/>
  <c r="I132" i="19"/>
  <c r="I131" i="19"/>
  <c r="I130" i="19"/>
  <c r="I129" i="19"/>
  <c r="I128" i="19"/>
  <c r="I127" i="19"/>
  <c r="I126" i="19"/>
  <c r="I125" i="19"/>
  <c r="I124" i="19"/>
  <c r="I123" i="19"/>
  <c r="I122" i="19"/>
  <c r="I121" i="19"/>
  <c r="I120" i="19"/>
  <c r="I119" i="19"/>
  <c r="I118" i="19"/>
  <c r="I117" i="19"/>
  <c r="I116" i="19"/>
  <c r="I115" i="19"/>
  <c r="I114" i="19"/>
  <c r="I113" i="19"/>
  <c r="I112" i="19"/>
  <c r="I111" i="19"/>
  <c r="I110" i="19"/>
  <c r="I109" i="19"/>
  <c r="I108" i="19"/>
  <c r="I107" i="19"/>
  <c r="I106" i="19"/>
  <c r="I105" i="19"/>
  <c r="I104" i="19"/>
  <c r="I103" i="19"/>
  <c r="I102" i="19"/>
  <c r="I101" i="19"/>
  <c r="I100" i="19"/>
  <c r="I99" i="19"/>
  <c r="I98" i="19"/>
  <c r="I97" i="19"/>
  <c r="I96" i="19"/>
  <c r="I95" i="19"/>
  <c r="I94" i="19"/>
  <c r="I93" i="19"/>
  <c r="I92" i="19"/>
  <c r="I91" i="19"/>
  <c r="I90" i="19"/>
  <c r="I89" i="19"/>
  <c r="I88" i="19"/>
  <c r="I87" i="19"/>
  <c r="I86" i="19"/>
  <c r="I85" i="19"/>
  <c r="I84" i="19"/>
  <c r="I83" i="19"/>
  <c r="I82" i="19"/>
  <c r="I81" i="19"/>
  <c r="I80" i="19"/>
  <c r="I79" i="19"/>
  <c r="I78" i="19"/>
  <c r="I77" i="19"/>
  <c r="I76" i="19"/>
  <c r="I75" i="19"/>
  <c r="I74" i="19"/>
  <c r="I73" i="19"/>
  <c r="I72" i="19"/>
  <c r="I71" i="19"/>
  <c r="I70" i="19"/>
  <c r="I69" i="19"/>
  <c r="I68" i="19"/>
  <c r="I67" i="19"/>
  <c r="I66" i="19"/>
  <c r="I65" i="19"/>
  <c r="I64" i="19"/>
  <c r="I63" i="19"/>
  <c r="I62" i="19"/>
  <c r="I61" i="19"/>
  <c r="I60" i="19"/>
  <c r="I59" i="19"/>
  <c r="I58" i="19"/>
  <c r="I57" i="19"/>
  <c r="I56" i="19"/>
  <c r="I55" i="19"/>
  <c r="I54" i="19"/>
  <c r="I53" i="19"/>
  <c r="I52" i="19"/>
  <c r="I51" i="19"/>
  <c r="I50" i="19"/>
  <c r="I49" i="19"/>
  <c r="I48" i="19"/>
  <c r="I47" i="19"/>
  <c r="I46" i="19"/>
  <c r="I45" i="19"/>
  <c r="I44" i="19"/>
  <c r="I43" i="19"/>
  <c r="I42" i="19"/>
  <c r="I41" i="19"/>
  <c r="I40" i="19"/>
  <c r="I39" i="19"/>
  <c r="I38" i="19"/>
  <c r="I37" i="19"/>
  <c r="I36" i="19"/>
  <c r="I35" i="19"/>
  <c r="I34" i="19"/>
  <c r="I33" i="19"/>
  <c r="I32" i="19"/>
  <c r="I31" i="19"/>
  <c r="I30" i="19"/>
  <c r="I29" i="19"/>
  <c r="I28" i="19"/>
  <c r="I27" i="19"/>
  <c r="I26" i="19"/>
  <c r="I25" i="19"/>
  <c r="I24" i="19"/>
  <c r="I23" i="19"/>
  <c r="I22" i="19"/>
  <c r="I21" i="19"/>
  <c r="I20" i="19"/>
  <c r="I19" i="19"/>
  <c r="I18" i="19"/>
  <c r="I17" i="19"/>
  <c r="I16" i="19"/>
  <c r="I15" i="19"/>
  <c r="I14" i="19"/>
  <c r="I13" i="19"/>
  <c r="I12" i="19"/>
  <c r="I11" i="19"/>
  <c r="I10" i="19"/>
  <c r="I9" i="19"/>
  <c r="I8" i="19"/>
  <c r="I7" i="19"/>
  <c r="I6" i="19"/>
  <c r="I5" i="19"/>
  <c r="I4" i="19"/>
  <c r="I3" i="19"/>
  <c r="B206" i="19"/>
  <c r="B205" i="19"/>
  <c r="B204" i="19"/>
  <c r="B203" i="19"/>
  <c r="B202" i="19"/>
  <c r="B201" i="19"/>
  <c r="B200" i="19"/>
  <c r="B199" i="19"/>
  <c r="B198" i="19"/>
  <c r="B197" i="19"/>
  <c r="B196" i="19"/>
  <c r="B195" i="19"/>
  <c r="B194" i="19"/>
  <c r="B193" i="19"/>
  <c r="B192" i="19"/>
  <c r="B191" i="19"/>
  <c r="B190" i="19"/>
  <c r="B189" i="19"/>
  <c r="B188" i="19"/>
  <c r="B187" i="19"/>
  <c r="B186" i="19"/>
  <c r="B185" i="19"/>
  <c r="B184" i="19"/>
  <c r="B183" i="19"/>
  <c r="B182" i="19"/>
  <c r="B181" i="19"/>
  <c r="B180" i="19"/>
  <c r="B179" i="19"/>
  <c r="B178" i="19"/>
  <c r="B177" i="19"/>
  <c r="B176" i="19"/>
  <c r="B175" i="19"/>
  <c r="B174" i="19"/>
  <c r="B173" i="19"/>
  <c r="B172" i="19"/>
  <c r="B171" i="19"/>
  <c r="B170" i="19"/>
  <c r="B169" i="19"/>
  <c r="B168" i="19"/>
  <c r="B167" i="19"/>
  <c r="B166" i="19"/>
  <c r="B165" i="19"/>
  <c r="B164" i="19"/>
  <c r="B163" i="19"/>
  <c r="B162" i="19"/>
  <c r="B161" i="19"/>
  <c r="B160" i="19"/>
  <c r="B159" i="19"/>
  <c r="B158" i="19"/>
  <c r="B157" i="19"/>
  <c r="B156" i="19"/>
  <c r="B155" i="19"/>
  <c r="B154"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B130" i="19"/>
  <c r="B129" i="19"/>
  <c r="B128" i="19"/>
  <c r="B127" i="19"/>
  <c r="B126" i="19"/>
  <c r="B125" i="19"/>
  <c r="B124" i="19"/>
  <c r="B123" i="19"/>
  <c r="B122" i="19"/>
  <c r="B121" i="19"/>
  <c r="B120" i="19"/>
  <c r="B119" i="19"/>
  <c r="B118" i="19"/>
  <c r="B117" i="19"/>
  <c r="B116" i="19"/>
  <c r="B115" i="19"/>
  <c r="B114" i="19"/>
  <c r="B113" i="19"/>
  <c r="B112" i="19"/>
  <c r="B111" i="19"/>
  <c r="B110" i="19"/>
  <c r="B109" i="19"/>
  <c r="B108" i="19"/>
  <c r="B107" i="19"/>
  <c r="B106" i="19"/>
  <c r="B105" i="19"/>
  <c r="B104" i="19"/>
  <c r="B103" i="19"/>
  <c r="B102" i="19"/>
  <c r="B101" i="19"/>
  <c r="B100" i="19"/>
  <c r="B99" i="19"/>
  <c r="B98" i="19"/>
  <c r="B97" i="19"/>
  <c r="B96" i="19"/>
  <c r="B95" i="19"/>
  <c r="B94" i="19"/>
  <c r="B93" i="19"/>
  <c r="B92" i="19"/>
  <c r="B91" i="19"/>
  <c r="B90" i="19"/>
  <c r="B89" i="19"/>
  <c r="B88" i="19"/>
  <c r="B87" i="19"/>
  <c r="B86" i="19"/>
  <c r="B85" i="19"/>
  <c r="B84" i="19"/>
  <c r="B83" i="19"/>
  <c r="B82" i="19"/>
  <c r="B81" i="19"/>
  <c r="B80" i="19"/>
  <c r="B79" i="19"/>
  <c r="B78" i="19"/>
  <c r="B77" i="19"/>
  <c r="B76" i="19"/>
  <c r="B75" i="19"/>
  <c r="B74" i="19"/>
  <c r="B73" i="19"/>
  <c r="B72" i="19"/>
  <c r="B71" i="19"/>
  <c r="B70" i="19"/>
  <c r="B69" i="19"/>
  <c r="B68" i="19"/>
  <c r="B67" i="19"/>
  <c r="B66" i="19"/>
  <c r="B65" i="19"/>
  <c r="B64" i="19"/>
  <c r="B63" i="19"/>
  <c r="B62" i="19"/>
  <c r="B61" i="19"/>
  <c r="B60" i="19"/>
  <c r="B59" i="19"/>
  <c r="B58" i="19"/>
  <c r="B57" i="19"/>
  <c r="B56" i="19"/>
  <c r="B55" i="19"/>
  <c r="B54" i="19"/>
  <c r="B53" i="19"/>
  <c r="B52" i="19"/>
  <c r="B51" i="19"/>
  <c r="B50" i="19"/>
  <c r="B49" i="19"/>
  <c r="B48" i="19"/>
  <c r="B47" i="19"/>
  <c r="B46" i="19"/>
  <c r="B45" i="19"/>
  <c r="B44" i="19"/>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B3" i="19"/>
  <c r="F11" i="18"/>
  <c r="E11" i="18"/>
  <c r="J263" i="35" s="1"/>
  <c r="I263" i="35"/>
  <c r="H263" i="35"/>
  <c r="B11" i="18"/>
  <c r="G263" i="35" s="1"/>
  <c r="F10" i="18"/>
  <c r="E10" i="18"/>
  <c r="J262" i="35" s="1"/>
  <c r="I262" i="35"/>
  <c r="H262" i="35"/>
  <c r="B10" i="18"/>
  <c r="G262" i="35" s="1"/>
  <c r="F9" i="18"/>
  <c r="E9" i="18"/>
  <c r="J261" i="35" s="1"/>
  <c r="I261" i="35"/>
  <c r="H261" i="35"/>
  <c r="B9" i="18"/>
  <c r="G261" i="35" s="1"/>
  <c r="F8" i="18"/>
  <c r="E8" i="18"/>
  <c r="J260" i="35" s="1"/>
  <c r="I260" i="35"/>
  <c r="H260" i="35"/>
  <c r="B8" i="18"/>
  <c r="G260" i="35" s="1"/>
  <c r="F7" i="18"/>
  <c r="E7" i="18"/>
  <c r="J259" i="35" s="1"/>
  <c r="I259" i="35"/>
  <c r="H259" i="35"/>
  <c r="B7" i="18"/>
  <c r="G259" i="35" s="1"/>
  <c r="F6" i="18"/>
  <c r="E6" i="18"/>
  <c r="J258" i="35" s="1"/>
  <c r="I258" i="35"/>
  <c r="H258" i="35"/>
  <c r="B6" i="18"/>
  <c r="G258" i="35" s="1"/>
  <c r="F5" i="18"/>
  <c r="E5" i="18"/>
  <c r="J257" i="35" s="1"/>
  <c r="I257" i="35"/>
  <c r="H257" i="35"/>
  <c r="B5" i="18"/>
  <c r="G257" i="35" s="1"/>
  <c r="F4" i="18"/>
  <c r="E4" i="18"/>
  <c r="J256" i="35" s="1"/>
  <c r="I256" i="35"/>
  <c r="H256" i="35"/>
  <c r="B4" i="18"/>
  <c r="G256" i="35" s="1"/>
  <c r="F3" i="18"/>
  <c r="E3" i="18"/>
  <c r="J255" i="35" s="1"/>
  <c r="I255" i="35"/>
  <c r="H255" i="35"/>
  <c r="B3" i="18"/>
  <c r="G255" i="35" s="1"/>
  <c r="F2" i="18"/>
  <c r="E2" i="18"/>
  <c r="J254" i="35" s="1"/>
  <c r="I254" i="35"/>
  <c r="H254" i="35"/>
  <c r="B2" i="18"/>
  <c r="G254" i="35" s="1"/>
  <c r="D42" i="18"/>
  <c r="D41" i="18"/>
  <c r="D40" i="18"/>
  <c r="D39" i="18"/>
  <c r="D38" i="18"/>
  <c r="D37" i="18"/>
  <c r="D36" i="18"/>
  <c r="D35" i="18"/>
  <c r="D34" i="18"/>
  <c r="D33" i="18"/>
  <c r="D32" i="18"/>
  <c r="D31" i="18"/>
  <c r="K255" i="35" l="1"/>
  <c r="L255" i="35" s="1"/>
  <c r="K259" i="35"/>
  <c r="L259" i="35" s="1"/>
  <c r="K263" i="35"/>
  <c r="L263" i="35" s="1"/>
  <c r="K256" i="35"/>
  <c r="L256" i="35" s="1"/>
  <c r="K260" i="35"/>
  <c r="L260" i="35" s="1"/>
  <c r="K257" i="35"/>
  <c r="L257" i="35" s="1"/>
  <c r="K261" i="35"/>
  <c r="L261" i="35" s="1"/>
  <c r="K254" i="35"/>
  <c r="L254" i="35" s="1"/>
  <c r="K258" i="35"/>
  <c r="L258" i="35" s="1"/>
  <c r="K262" i="35"/>
  <c r="L262" i="35" s="1"/>
  <c r="H232" i="24"/>
  <c r="D44" i="18"/>
  <c r="D43" i="18" l="1"/>
  <c r="D45" i="18"/>
  <c r="N111" i="28" l="1"/>
  <c r="K222" i="35" l="1"/>
  <c r="J222" i="35"/>
  <c r="I222" i="35"/>
  <c r="H222" i="35"/>
  <c r="G222" i="35"/>
  <c r="K221" i="35"/>
  <c r="J221" i="35"/>
  <c r="I221" i="35"/>
  <c r="H221" i="35"/>
  <c r="K220" i="35"/>
  <c r="J220" i="35"/>
  <c r="G221" i="35" l="1"/>
  <c r="L221" i="35" s="1"/>
  <c r="H56" i="9"/>
  <c r="K227" i="35"/>
  <c r="L244" i="35" s="1"/>
  <c r="I227" i="35"/>
  <c r="I244" i="35" s="1"/>
  <c r="I228" i="35"/>
  <c r="I245" i="35" s="1"/>
  <c r="J228" i="35"/>
  <c r="J245" i="35" s="1"/>
  <c r="J227" i="35"/>
  <c r="J244" i="35" s="1"/>
  <c r="H228" i="35"/>
  <c r="H245" i="35" s="1"/>
  <c r="H227" i="35"/>
  <c r="H244" i="35" s="1"/>
  <c r="L222" i="35"/>
  <c r="H57" i="9"/>
  <c r="G228" i="35" l="1"/>
  <c r="G245" i="35" s="1"/>
  <c r="L234" i="35"/>
  <c r="K228" i="35"/>
  <c r="L245" i="35" s="1"/>
  <c r="G227" i="35"/>
  <c r="G244" i="35" s="1"/>
  <c r="O244" i="35" s="1"/>
  <c r="M57" i="9"/>
  <c r="K56" i="9"/>
  <c r="L228" i="35" l="1"/>
  <c r="O245" i="35"/>
  <c r="L227" i="35"/>
  <c r="M56" i="9"/>
  <c r="L57" i="9"/>
  <c r="N57" i="9"/>
  <c r="O57" i="9"/>
  <c r="L56" i="9"/>
  <c r="N56" i="9"/>
  <c r="O56" i="9"/>
  <c r="J56" i="9"/>
  <c r="I56" i="9"/>
  <c r="J57" i="9" l="1"/>
  <c r="I57" i="9"/>
  <c r="C302" i="31"/>
  <c r="B302" i="31"/>
  <c r="C301" i="31"/>
  <c r="B301" i="31"/>
  <c r="C300" i="31"/>
  <c r="B300" i="31"/>
  <c r="C299" i="31"/>
  <c r="B299" i="31"/>
  <c r="C298" i="31"/>
  <c r="B298" i="31"/>
  <c r="C297" i="31"/>
  <c r="B297" i="31"/>
  <c r="C296" i="31"/>
  <c r="B296" i="31"/>
  <c r="C295" i="31"/>
  <c r="B295" i="31"/>
  <c r="C294" i="31"/>
  <c r="B294" i="31"/>
  <c r="C293" i="31"/>
  <c r="B293" i="31"/>
  <c r="C292" i="31"/>
  <c r="B292" i="31"/>
  <c r="C291" i="31"/>
  <c r="B291" i="31"/>
  <c r="C290" i="31"/>
  <c r="B290" i="31"/>
  <c r="C289" i="31"/>
  <c r="B289" i="31"/>
  <c r="C288" i="31"/>
  <c r="B288" i="31"/>
  <c r="C287" i="31"/>
  <c r="B287" i="31"/>
  <c r="C286" i="31"/>
  <c r="B286" i="31"/>
  <c r="C285" i="31"/>
  <c r="B285" i="31"/>
  <c r="C284" i="31"/>
  <c r="B284" i="31"/>
  <c r="C283" i="31"/>
  <c r="B283" i="31"/>
  <c r="C282" i="31"/>
  <c r="B282" i="31"/>
  <c r="C281" i="31"/>
  <c r="B281" i="31"/>
  <c r="C280" i="31"/>
  <c r="B280" i="31"/>
  <c r="C279" i="31"/>
  <c r="B279" i="31"/>
  <c r="C278" i="31"/>
  <c r="B278" i="31"/>
  <c r="C277" i="31"/>
  <c r="B277" i="31"/>
  <c r="C276" i="31"/>
  <c r="B276" i="31"/>
  <c r="C275" i="31"/>
  <c r="B275" i="31"/>
  <c r="C274" i="31"/>
  <c r="B274" i="31"/>
  <c r="C273" i="31"/>
  <c r="B273" i="31"/>
  <c r="C272" i="31"/>
  <c r="B272" i="31"/>
  <c r="C271" i="31"/>
  <c r="B271" i="31"/>
  <c r="C270" i="31"/>
  <c r="B270" i="31"/>
  <c r="C269" i="31"/>
  <c r="B269" i="31"/>
  <c r="C268" i="31"/>
  <c r="B268" i="31"/>
  <c r="C267" i="31"/>
  <c r="B267" i="31"/>
  <c r="C266" i="31"/>
  <c r="B266" i="31"/>
  <c r="C265" i="31"/>
  <c r="B265" i="31"/>
  <c r="C264" i="31"/>
  <c r="B264" i="31"/>
  <c r="C263" i="31"/>
  <c r="B263" i="31"/>
  <c r="C262" i="31"/>
  <c r="B262" i="31"/>
  <c r="C261" i="31"/>
  <c r="B261" i="31"/>
  <c r="C260" i="31"/>
  <c r="B260" i="31"/>
  <c r="C259" i="31"/>
  <c r="B259" i="31"/>
  <c r="C258" i="31"/>
  <c r="B258" i="31"/>
  <c r="C257" i="31"/>
  <c r="B257" i="31"/>
  <c r="C256" i="31"/>
  <c r="B256" i="31"/>
  <c r="C255" i="31"/>
  <c r="B255" i="31"/>
  <c r="C254" i="31"/>
  <c r="B254" i="31"/>
  <c r="C253" i="31"/>
  <c r="B253" i="31"/>
  <c r="C252" i="31"/>
  <c r="B252" i="31"/>
  <c r="C251" i="31"/>
  <c r="B251" i="31"/>
  <c r="C250" i="31"/>
  <c r="B250" i="31"/>
  <c r="C249" i="31"/>
  <c r="B249" i="31"/>
  <c r="C248" i="31"/>
  <c r="B248" i="31"/>
  <c r="C247" i="31"/>
  <c r="B247" i="31"/>
  <c r="C246" i="31"/>
  <c r="B246" i="31"/>
  <c r="C245" i="31"/>
  <c r="B245" i="31"/>
  <c r="C244" i="31"/>
  <c r="B244" i="31"/>
  <c r="C243" i="31"/>
  <c r="B243" i="31"/>
  <c r="C242" i="31"/>
  <c r="B242" i="31"/>
  <c r="C241" i="31"/>
  <c r="B241" i="31"/>
  <c r="C240" i="31"/>
  <c r="B240" i="31"/>
  <c r="C239" i="31"/>
  <c r="B239" i="31"/>
  <c r="C238" i="31"/>
  <c r="B238" i="31"/>
  <c r="C237" i="31"/>
  <c r="B237" i="31"/>
  <c r="C236" i="31"/>
  <c r="B236" i="31"/>
  <c r="C235" i="31"/>
  <c r="B235" i="31"/>
  <c r="C234" i="31"/>
  <c r="B234" i="31"/>
  <c r="C233" i="31"/>
  <c r="B233" i="31"/>
  <c r="C232" i="31"/>
  <c r="B232" i="31"/>
  <c r="C231" i="31"/>
  <c r="B231" i="31"/>
  <c r="C230" i="31"/>
  <c r="B230" i="31"/>
  <c r="C229" i="31"/>
  <c r="B229" i="31"/>
  <c r="C228" i="31"/>
  <c r="B228" i="31"/>
  <c r="C227" i="31"/>
  <c r="B227" i="31"/>
  <c r="C226" i="31"/>
  <c r="B226" i="31"/>
  <c r="C225" i="31"/>
  <c r="B225" i="31"/>
  <c r="C224" i="31"/>
  <c r="B224" i="31"/>
  <c r="C223" i="31"/>
  <c r="B223" i="31"/>
  <c r="C222" i="31"/>
  <c r="B222" i="31"/>
  <c r="C221" i="31"/>
  <c r="B221" i="31"/>
  <c r="C220" i="31"/>
  <c r="B220" i="31"/>
  <c r="C219" i="31"/>
  <c r="B219" i="31"/>
  <c r="C218" i="31"/>
  <c r="B218" i="31"/>
  <c r="C217" i="31"/>
  <c r="B217" i="31"/>
  <c r="C216" i="31"/>
  <c r="B216" i="31"/>
  <c r="C215" i="31"/>
  <c r="B215" i="31"/>
  <c r="C214" i="31"/>
  <c r="B214" i="31"/>
  <c r="C213" i="31"/>
  <c r="B213" i="31"/>
  <c r="C212" i="31"/>
  <c r="B212" i="31"/>
  <c r="C211" i="31"/>
  <c r="B211" i="31"/>
  <c r="C210" i="31"/>
  <c r="B210" i="31"/>
  <c r="C209" i="31"/>
  <c r="B209" i="31"/>
  <c r="C208" i="31"/>
  <c r="B208" i="31"/>
  <c r="C207" i="31"/>
  <c r="B207" i="31"/>
  <c r="C206" i="31"/>
  <c r="B206" i="31"/>
  <c r="C205" i="31"/>
  <c r="B205" i="31"/>
  <c r="C204" i="31"/>
  <c r="B204" i="31"/>
  <c r="C203" i="31"/>
  <c r="B203" i="31"/>
  <c r="C202" i="31"/>
  <c r="B202" i="31"/>
  <c r="C201" i="31"/>
  <c r="B201" i="31"/>
  <c r="C200" i="31"/>
  <c r="B200" i="31"/>
  <c r="C199" i="31"/>
  <c r="B199" i="31"/>
  <c r="C198" i="31"/>
  <c r="B198" i="31"/>
  <c r="C197" i="31"/>
  <c r="B197" i="31"/>
  <c r="C196" i="31"/>
  <c r="B196" i="31"/>
  <c r="C195" i="31"/>
  <c r="B195" i="31"/>
  <c r="C194" i="31"/>
  <c r="B194" i="31"/>
  <c r="C193" i="31"/>
  <c r="B193" i="31"/>
  <c r="C192" i="31"/>
  <c r="B192" i="31"/>
  <c r="C191" i="31"/>
  <c r="B191" i="31"/>
  <c r="C190" i="31"/>
  <c r="B190" i="31"/>
  <c r="C189" i="31"/>
  <c r="B189" i="31"/>
  <c r="C188" i="31"/>
  <c r="B188" i="31"/>
  <c r="C187" i="31"/>
  <c r="B187" i="31"/>
  <c r="C186" i="31"/>
  <c r="B186" i="31"/>
  <c r="C185" i="31"/>
  <c r="B185" i="31"/>
  <c r="C184" i="31"/>
  <c r="B184" i="31"/>
  <c r="C183" i="31"/>
  <c r="B183" i="31"/>
  <c r="A42" i="11" l="1"/>
  <c r="K40" i="11"/>
  <c r="V325" i="35" s="1"/>
  <c r="AI508" i="35" s="1"/>
  <c r="J40" i="11"/>
  <c r="U325" i="35" s="1"/>
  <c r="AI471" i="35" s="1"/>
  <c r="H40" i="11"/>
  <c r="R325" i="35" s="1"/>
  <c r="AI360" i="35" s="1"/>
  <c r="G40" i="11"/>
  <c r="Q325" i="35" s="1"/>
  <c r="AH360" i="35" s="1"/>
  <c r="F40" i="11"/>
  <c r="D40" i="11"/>
  <c r="C40" i="11"/>
  <c r="B40" i="11"/>
  <c r="N22" i="35" l="1"/>
  <c r="N212" i="35" s="1"/>
  <c r="P327" i="35"/>
  <c r="AH397" i="35"/>
  <c r="AH370" i="35"/>
  <c r="AH508" i="35"/>
  <c r="AH518" i="35" s="1"/>
  <c r="AH545" i="35"/>
  <c r="Q57" i="9"/>
  <c r="Q56" i="9"/>
  <c r="E40" i="11"/>
  <c r="I40" i="11"/>
  <c r="T325" i="35" s="1"/>
  <c r="N150" i="35" l="1"/>
  <c r="N179" i="35" s="1"/>
  <c r="K185" i="35" s="1"/>
  <c r="K200" i="35" s="1"/>
  <c r="K206" i="35" s="1"/>
  <c r="AI434" i="35"/>
  <c r="AI397" i="35"/>
  <c r="N239" i="35"/>
  <c r="AZ346" i="35" s="1"/>
  <c r="AZ384" i="35" s="1"/>
  <c r="N164" i="35"/>
  <c r="K43" i="11"/>
  <c r="J43" i="11"/>
  <c r="I43" i="11"/>
  <c r="H43" i="11"/>
  <c r="G43" i="11"/>
  <c r="F43" i="11"/>
  <c r="N53" i="35" s="1"/>
  <c r="N156" i="35" s="1"/>
  <c r="E43" i="11"/>
  <c r="N52" i="35" s="1"/>
  <c r="N155" i="35" s="1"/>
  <c r="D43" i="11"/>
  <c r="N51" i="35" s="1"/>
  <c r="N154" i="35" s="1"/>
  <c r="C43" i="11"/>
  <c r="N50" i="35" s="1"/>
  <c r="N153" i="35" s="1"/>
  <c r="B43" i="11"/>
  <c r="N49" i="35" s="1"/>
  <c r="N152" i="35" s="1"/>
  <c r="I2" i="17"/>
  <c r="N168" i="35" l="1"/>
  <c r="N170" i="35"/>
  <c r="U328" i="35"/>
  <c r="AF472" i="35" s="1"/>
  <c r="N58" i="35"/>
  <c r="N160" i="35" s="1"/>
  <c r="N167" i="35"/>
  <c r="Q328" i="35"/>
  <c r="AE361" i="35" s="1"/>
  <c r="N54" i="35"/>
  <c r="N157" i="35" s="1"/>
  <c r="N171" i="35" s="1"/>
  <c r="V328" i="35"/>
  <c r="AF509" i="35" s="1"/>
  <c r="N59" i="35"/>
  <c r="N161" i="35" s="1"/>
  <c r="R328" i="35"/>
  <c r="AF361" i="35" s="1"/>
  <c r="N55" i="35"/>
  <c r="N158" i="35" s="1"/>
  <c r="AH471" i="35"/>
  <c r="AH407" i="35"/>
  <c r="N169" i="35"/>
  <c r="T328" i="35"/>
  <c r="N56" i="35"/>
  <c r="N159" i="35" s="1"/>
  <c r="AH444" i="35"/>
  <c r="AD361" i="35"/>
  <c r="AD371" i="35" s="1"/>
  <c r="I24" i="17"/>
  <c r="I20" i="17"/>
  <c r="I23" i="17"/>
  <c r="I19" i="17"/>
  <c r="I25" i="17"/>
  <c r="I21" i="17"/>
  <c r="I17" i="17"/>
  <c r="I22" i="17"/>
  <c r="I18" i="17"/>
  <c r="I30" i="17" l="1"/>
  <c r="N176" i="35" s="1"/>
  <c r="N172" i="35"/>
  <c r="N173" i="35"/>
  <c r="N174" i="35"/>
  <c r="AF398" i="35"/>
  <c r="AF435" i="35"/>
  <c r="AE445" i="35" s="1"/>
  <c r="AE398" i="35"/>
  <c r="AE371" i="35"/>
  <c r="N175" i="35"/>
  <c r="AH481" i="35"/>
  <c r="AE546" i="35"/>
  <c r="L43" i="11"/>
  <c r="N181" i="35"/>
  <c r="AE509" i="35"/>
  <c r="AE519" i="35" s="1"/>
  <c r="AD398" i="35"/>
  <c r="AD408" i="35" s="1"/>
  <c r="AZ406" i="35"/>
  <c r="I14" i="17"/>
  <c r="W328" i="35" l="1"/>
  <c r="AF546" i="35" s="1"/>
  <c r="N60" i="35"/>
  <c r="M43" i="11"/>
  <c r="N182" i="35"/>
  <c r="AE472" i="35"/>
  <c r="AE482" i="35" s="1"/>
  <c r="AE408" i="35"/>
  <c r="AD435" i="35"/>
  <c r="AD445" i="35" s="1"/>
  <c r="AZ441" i="35"/>
  <c r="H44" i="11"/>
  <c r="O23" i="9"/>
  <c r="K193" i="35" s="1"/>
  <c r="E44" i="11"/>
  <c r="N27" i="35" s="1"/>
  <c r="N38" i="35" s="1"/>
  <c r="O20" i="9"/>
  <c r="K190" i="35" s="1"/>
  <c r="I44" i="11"/>
  <c r="O24" i="9"/>
  <c r="B44" i="11"/>
  <c r="N24" i="35" s="1"/>
  <c r="N35" i="35" s="1"/>
  <c r="O17" i="9"/>
  <c r="K187" i="35" s="1"/>
  <c r="J44" i="11"/>
  <c r="O25" i="9"/>
  <c r="C44" i="11"/>
  <c r="N25" i="35" s="1"/>
  <c r="N36" i="35" s="1"/>
  <c r="O18" i="9"/>
  <c r="K188" i="35" s="1"/>
  <c r="G44" i="11"/>
  <c r="O22" i="9"/>
  <c r="K192" i="35" s="1"/>
  <c r="K44" i="11"/>
  <c r="O26" i="9"/>
  <c r="K196" i="35" s="1"/>
  <c r="K202" i="35" s="1"/>
  <c r="D44" i="11"/>
  <c r="N26" i="35" s="1"/>
  <c r="N37" i="35" s="1"/>
  <c r="O19" i="9"/>
  <c r="K189" i="35" s="1"/>
  <c r="F44" i="11"/>
  <c r="N28" i="35" s="1"/>
  <c r="N39" i="35" s="1"/>
  <c r="O21" i="9"/>
  <c r="K191" i="35" s="1"/>
  <c r="G11" i="18"/>
  <c r="G10" i="18"/>
  <c r="G9" i="18"/>
  <c r="G8" i="18"/>
  <c r="G7" i="18"/>
  <c r="G6" i="18"/>
  <c r="G5" i="18"/>
  <c r="G4" i="18"/>
  <c r="G3" i="18"/>
  <c r="G2" i="18"/>
  <c r="J11" i="17"/>
  <c r="J7" i="17"/>
  <c r="J3" i="17"/>
  <c r="F25" i="18"/>
  <c r="F24" i="18"/>
  <c r="K276" i="35" s="1"/>
  <c r="F23" i="18"/>
  <c r="K275" i="35" s="1"/>
  <c r="F22" i="18"/>
  <c r="K274" i="35" s="1"/>
  <c r="F21" i="18"/>
  <c r="K273" i="35" s="1"/>
  <c r="F20" i="18"/>
  <c r="K272" i="35" s="1"/>
  <c r="F19" i="18"/>
  <c r="K271" i="35" s="1"/>
  <c r="F18" i="18"/>
  <c r="K270" i="35" s="1"/>
  <c r="F17" i="18"/>
  <c r="K269" i="35" s="1"/>
  <c r="F16" i="18"/>
  <c r="K268" i="35" s="1"/>
  <c r="K203" i="35" l="1"/>
  <c r="K209" i="35" s="1"/>
  <c r="N215" i="35" s="1"/>
  <c r="N242" i="35" s="1"/>
  <c r="N248" i="35" s="1"/>
  <c r="K208" i="35"/>
  <c r="N214" i="35" s="1"/>
  <c r="N241" i="35" s="1"/>
  <c r="N247" i="35" s="1"/>
  <c r="N33" i="35"/>
  <c r="N45" i="35" s="1"/>
  <c r="V329" i="35"/>
  <c r="AI509" i="35" s="1"/>
  <c r="X328" i="35"/>
  <c r="AF583" i="35" s="1"/>
  <c r="N61" i="35"/>
  <c r="F27" i="18"/>
  <c r="K279" i="35" s="1"/>
  <c r="K277" i="35"/>
  <c r="K278" i="35" s="1"/>
  <c r="O38" i="9"/>
  <c r="K195" i="35"/>
  <c r="O37" i="9"/>
  <c r="K194" i="35"/>
  <c r="N29" i="35"/>
  <c r="N40" i="35" s="1"/>
  <c r="Q329" i="35"/>
  <c r="AH361" i="35" s="1"/>
  <c r="AL361" i="35" s="1"/>
  <c r="N32" i="35"/>
  <c r="N44" i="35" s="1"/>
  <c r="U329" i="35"/>
  <c r="AI472" i="35" s="1"/>
  <c r="N31" i="35"/>
  <c r="N42" i="35" s="1"/>
  <c r="T329" i="35"/>
  <c r="N30" i="35"/>
  <c r="N41" i="35" s="1"/>
  <c r="R329" i="35"/>
  <c r="AI361" i="35" s="1"/>
  <c r="AE583" i="35"/>
  <c r="AE593" i="35" s="1"/>
  <c r="AE556" i="35"/>
  <c r="AD472" i="35"/>
  <c r="AD482" i="35" s="1"/>
  <c r="AZ495" i="35"/>
  <c r="O34" i="9"/>
  <c r="J5" i="17"/>
  <c r="O33" i="9"/>
  <c r="O27" i="9"/>
  <c r="O39" i="9"/>
  <c r="O31" i="9"/>
  <c r="J4" i="17"/>
  <c r="J6" i="17"/>
  <c r="J8" i="17"/>
  <c r="J10" i="17"/>
  <c r="J12" i="17"/>
  <c r="O32" i="9"/>
  <c r="O35" i="9"/>
  <c r="O36" i="9"/>
  <c r="J9" i="17"/>
  <c r="AI398" i="35" l="1"/>
  <c r="AI435" i="35"/>
  <c r="AH398" i="35"/>
  <c r="AL398" i="35" s="1"/>
  <c r="AH371" i="35"/>
  <c r="AM361" i="35"/>
  <c r="AL371" i="35" s="1"/>
  <c r="AH509" i="35"/>
  <c r="AL509" i="35" s="1"/>
  <c r="AM472" i="35"/>
  <c r="AM509" i="35"/>
  <c r="AH546" i="35"/>
  <c r="AL546" i="35" s="1"/>
  <c r="AD509" i="35"/>
  <c r="AD519" i="35" s="1"/>
  <c r="AZ532" i="35"/>
  <c r="O43" i="9"/>
  <c r="O28" i="9"/>
  <c r="O48" i="9" s="1"/>
  <c r="O61" i="9" s="1"/>
  <c r="M44" i="11" s="1"/>
  <c r="O47" i="9"/>
  <c r="O60" i="9" s="1"/>
  <c r="L44" i="11" s="1"/>
  <c r="P57" i="9"/>
  <c r="AH519" i="35" l="1"/>
  <c r="AM435" i="35"/>
  <c r="AL519" i="35"/>
  <c r="AM398" i="35"/>
  <c r="AL408" i="35" s="1"/>
  <c r="AH435" i="35"/>
  <c r="AL435" i="35" s="1"/>
  <c r="AH408" i="35"/>
  <c r="AH472" i="35"/>
  <c r="N47" i="35"/>
  <c r="X329" i="35"/>
  <c r="N46" i="35"/>
  <c r="W329" i="35"/>
  <c r="AI546" i="35" s="1"/>
  <c r="AD546" i="35"/>
  <c r="AD556" i="35" s="1"/>
  <c r="AZ568" i="35"/>
  <c r="AD583" i="35" s="1"/>
  <c r="AD593" i="35" s="1"/>
  <c r="P56" i="9"/>
  <c r="J35" i="11"/>
  <c r="U320" i="35" s="1"/>
  <c r="AI470" i="35" s="1"/>
  <c r="H35" i="11"/>
  <c r="R320" i="35" s="1"/>
  <c r="AI359" i="35" s="1"/>
  <c r="K30" i="11"/>
  <c r="V315" i="35" s="1"/>
  <c r="AI506" i="35" s="1"/>
  <c r="J30" i="11"/>
  <c r="U315" i="35" s="1"/>
  <c r="AI469" i="35" s="1"/>
  <c r="I30" i="11"/>
  <c r="T315" i="35" s="1"/>
  <c r="H30" i="11"/>
  <c r="R315" i="35" s="1"/>
  <c r="AI358" i="35" s="1"/>
  <c r="K25" i="11"/>
  <c r="J25" i="11"/>
  <c r="H25" i="11"/>
  <c r="J20" i="11"/>
  <c r="U305" i="35" s="1"/>
  <c r="I20" i="11"/>
  <c r="T305" i="35" s="1"/>
  <c r="H54" i="11"/>
  <c r="I38" i="11"/>
  <c r="H38" i="11"/>
  <c r="H18" i="17"/>
  <c r="K33" i="11"/>
  <c r="V318" i="35" s="1"/>
  <c r="AF507" i="35" s="1"/>
  <c r="G24" i="17"/>
  <c r="I33" i="11"/>
  <c r="G21" i="17"/>
  <c r="G17" i="17"/>
  <c r="K28" i="11"/>
  <c r="V313" i="35" s="1"/>
  <c r="AF506" i="35" s="1"/>
  <c r="I28" i="11"/>
  <c r="H28" i="11"/>
  <c r="J23" i="11"/>
  <c r="I23" i="11"/>
  <c r="H23" i="11"/>
  <c r="K18" i="11"/>
  <c r="V303" i="35" s="1"/>
  <c r="AF504" i="35" s="1"/>
  <c r="AE541" i="35" s="1"/>
  <c r="J18" i="11"/>
  <c r="H18" i="11"/>
  <c r="K14" i="11"/>
  <c r="V299" i="35" s="1"/>
  <c r="AF503" i="35" s="1"/>
  <c r="J14" i="11"/>
  <c r="I14" i="11"/>
  <c r="C21" i="17"/>
  <c r="C17" i="17"/>
  <c r="B23" i="17"/>
  <c r="H10" i="11"/>
  <c r="B19" i="17"/>
  <c r="J39" i="11"/>
  <c r="H193" i="35"/>
  <c r="H192" i="35"/>
  <c r="H191" i="35"/>
  <c r="H190" i="35"/>
  <c r="H189" i="35"/>
  <c r="H188" i="35"/>
  <c r="M25" i="9"/>
  <c r="I195" i="35" s="1"/>
  <c r="M22" i="9"/>
  <c r="I192" i="35" s="1"/>
  <c r="M21" i="9"/>
  <c r="I191" i="35" s="1"/>
  <c r="M20" i="9"/>
  <c r="I190" i="35" s="1"/>
  <c r="M18" i="9"/>
  <c r="I188" i="35" s="1"/>
  <c r="E16" i="18"/>
  <c r="J268" i="35" s="1"/>
  <c r="A11" i="9"/>
  <c r="A25" i="9" s="1"/>
  <c r="A12" i="9"/>
  <c r="A26" i="9" s="1"/>
  <c r="C9" i="28"/>
  <c r="D9" i="28"/>
  <c r="C10" i="28"/>
  <c r="D10" i="28"/>
  <c r="C11" i="28"/>
  <c r="D11" i="28"/>
  <c r="C12" i="28"/>
  <c r="D12" i="28"/>
  <c r="C13" i="28"/>
  <c r="D13" i="28"/>
  <c r="C14" i="28"/>
  <c r="D14" i="28"/>
  <c r="C15" i="28"/>
  <c r="D15" i="28"/>
  <c r="C16" i="28"/>
  <c r="D16" i="28"/>
  <c r="C17" i="28"/>
  <c r="D17" i="28"/>
  <c r="C18" i="28"/>
  <c r="D18" i="28"/>
  <c r="C19" i="28"/>
  <c r="D19" i="28"/>
  <c r="C20" i="28"/>
  <c r="D20" i="28"/>
  <c r="C21" i="28"/>
  <c r="D21" i="28"/>
  <c r="C22" i="28"/>
  <c r="D22" i="28"/>
  <c r="C23" i="28"/>
  <c r="D23" i="28"/>
  <c r="C24" i="28"/>
  <c r="D24" i="28"/>
  <c r="C25" i="28"/>
  <c r="D25" i="28"/>
  <c r="C26" i="28"/>
  <c r="D26" i="28"/>
  <c r="C27" i="28"/>
  <c r="D27" i="28"/>
  <c r="C28" i="28"/>
  <c r="D28" i="28"/>
  <c r="C29" i="28"/>
  <c r="D29" i="28"/>
  <c r="C30" i="28"/>
  <c r="D30" i="28"/>
  <c r="C31" i="28"/>
  <c r="D31" i="28"/>
  <c r="C32" i="28"/>
  <c r="D32" i="28"/>
  <c r="C33" i="28"/>
  <c r="D33" i="28"/>
  <c r="C34" i="28"/>
  <c r="D34" i="28"/>
  <c r="C35" i="28"/>
  <c r="D35" i="28"/>
  <c r="C36" i="28"/>
  <c r="D36" i="28"/>
  <c r="C37" i="28"/>
  <c r="D37" i="28"/>
  <c r="C38" i="28"/>
  <c r="D38" i="28"/>
  <c r="C39" i="28"/>
  <c r="D39" i="28"/>
  <c r="C40" i="28"/>
  <c r="D40" i="28"/>
  <c r="C41" i="28"/>
  <c r="D41" i="28"/>
  <c r="C42" i="28"/>
  <c r="D42" i="28"/>
  <c r="C43" i="28"/>
  <c r="D43" i="28"/>
  <c r="C44" i="28"/>
  <c r="D44" i="28"/>
  <c r="C45" i="28"/>
  <c r="D45" i="28"/>
  <c r="C46" i="28"/>
  <c r="D46" i="28"/>
  <c r="C47" i="28"/>
  <c r="D47" i="28"/>
  <c r="C48" i="28"/>
  <c r="D48" i="28"/>
  <c r="C49" i="28"/>
  <c r="D49" i="28"/>
  <c r="C50" i="28"/>
  <c r="D50" i="28"/>
  <c r="C51" i="28"/>
  <c r="D51" i="28"/>
  <c r="C52" i="28"/>
  <c r="D52" i="28"/>
  <c r="C53" i="28"/>
  <c r="D53" i="28"/>
  <c r="C54" i="28"/>
  <c r="D54" i="28"/>
  <c r="C55" i="28"/>
  <c r="D55" i="28"/>
  <c r="C56" i="28"/>
  <c r="D56" i="28"/>
  <c r="C57" i="28"/>
  <c r="D57" i="28"/>
  <c r="C58" i="28"/>
  <c r="D58" i="28"/>
  <c r="C59" i="28"/>
  <c r="D59" i="28"/>
  <c r="C60" i="28"/>
  <c r="D60" i="28"/>
  <c r="C61" i="28"/>
  <c r="D61" i="28"/>
  <c r="C62" i="28"/>
  <c r="D62" i="28"/>
  <c r="C63" i="28"/>
  <c r="D63" i="28"/>
  <c r="C64" i="28"/>
  <c r="D64" i="28"/>
  <c r="C65" i="28"/>
  <c r="D65" i="28"/>
  <c r="C66" i="28"/>
  <c r="D66" i="28"/>
  <c r="C67" i="28"/>
  <c r="D67" i="28"/>
  <c r="C68" i="28"/>
  <c r="D68" i="28"/>
  <c r="C69" i="28"/>
  <c r="D69" i="28"/>
  <c r="C70" i="28"/>
  <c r="D70" i="28"/>
  <c r="C71" i="28"/>
  <c r="D71" i="28"/>
  <c r="C72" i="28"/>
  <c r="D72" i="28"/>
  <c r="C73" i="28"/>
  <c r="D73" i="28"/>
  <c r="C74" i="28"/>
  <c r="D74" i="28"/>
  <c r="C75" i="28"/>
  <c r="D75" i="28"/>
  <c r="C76" i="28"/>
  <c r="D76" i="28"/>
  <c r="C77" i="28"/>
  <c r="D77" i="28"/>
  <c r="C78" i="28"/>
  <c r="D78" i="28"/>
  <c r="C79" i="28"/>
  <c r="D79" i="28"/>
  <c r="C80" i="28"/>
  <c r="D80" i="28"/>
  <c r="C81" i="28"/>
  <c r="D81" i="28"/>
  <c r="C82" i="28"/>
  <c r="D82" i="28"/>
  <c r="C83" i="28"/>
  <c r="D83" i="28"/>
  <c r="C84" i="28"/>
  <c r="D84" i="28"/>
  <c r="C85" i="28"/>
  <c r="D85" i="28"/>
  <c r="C86" i="28"/>
  <c r="D86" i="28"/>
  <c r="C87" i="28"/>
  <c r="D87" i="28"/>
  <c r="C88" i="28"/>
  <c r="D88" i="28"/>
  <c r="C89" i="28"/>
  <c r="D89" i="28"/>
  <c r="C90" i="28"/>
  <c r="D90" i="28"/>
  <c r="C91" i="28"/>
  <c r="D91" i="28"/>
  <c r="C92" i="28"/>
  <c r="D92" i="28"/>
  <c r="C93" i="28"/>
  <c r="D93" i="28"/>
  <c r="C94" i="28"/>
  <c r="D94" i="28"/>
  <c r="C95" i="28"/>
  <c r="D95" i="28"/>
  <c r="C96" i="28"/>
  <c r="D96" i="28"/>
  <c r="C97" i="28"/>
  <c r="D97" i="28"/>
  <c r="C98" i="28"/>
  <c r="D98" i="28"/>
  <c r="C99" i="28"/>
  <c r="D99" i="28"/>
  <c r="C100" i="28"/>
  <c r="D100" i="28"/>
  <c r="C101" i="28"/>
  <c r="D101" i="28"/>
  <c r="C102" i="28"/>
  <c r="D102" i="28"/>
  <c r="C103" i="28"/>
  <c r="D103" i="28"/>
  <c r="C104" i="28"/>
  <c r="D104" i="28"/>
  <c r="C105" i="28"/>
  <c r="D105" i="28"/>
  <c r="C106" i="28"/>
  <c r="D106" i="28"/>
  <c r="C107" i="28"/>
  <c r="D107" i="28"/>
  <c r="C108" i="28"/>
  <c r="D108" i="28"/>
  <c r="C109" i="28"/>
  <c r="D109" i="28"/>
  <c r="C110" i="28"/>
  <c r="D110" i="28"/>
  <c r="C159" i="28"/>
  <c r="D159" i="28"/>
  <c r="C160" i="28"/>
  <c r="D160" i="28"/>
  <c r="C161" i="28"/>
  <c r="D161" i="28"/>
  <c r="C162" i="28"/>
  <c r="D162" i="28"/>
  <c r="C163" i="28"/>
  <c r="D163" i="28"/>
  <c r="C164" i="28"/>
  <c r="D164" i="28"/>
  <c r="C165" i="28"/>
  <c r="D165" i="28"/>
  <c r="C166" i="28"/>
  <c r="D166" i="28"/>
  <c r="C167" i="28"/>
  <c r="D167" i="28"/>
  <c r="C168" i="28"/>
  <c r="D168" i="28"/>
  <c r="C169" i="28"/>
  <c r="D169" i="28"/>
  <c r="C170" i="28"/>
  <c r="D170" i="28"/>
  <c r="C171" i="28"/>
  <c r="D171" i="28"/>
  <c r="C172" i="28"/>
  <c r="D172" i="28"/>
  <c r="C173" i="28"/>
  <c r="D173" i="28"/>
  <c r="C174" i="28"/>
  <c r="D174" i="28"/>
  <c r="C175" i="28"/>
  <c r="D175" i="28"/>
  <c r="C176" i="28"/>
  <c r="D176" i="28"/>
  <c r="C177" i="28"/>
  <c r="D177" i="28"/>
  <c r="C178" i="28"/>
  <c r="D178" i="28"/>
  <c r="C179" i="28"/>
  <c r="D179" i="28"/>
  <c r="C180" i="28"/>
  <c r="D180" i="28"/>
  <c r="C181" i="28"/>
  <c r="D181" i="28"/>
  <c r="C182" i="28"/>
  <c r="D182" i="28"/>
  <c r="C183" i="28"/>
  <c r="D183" i="28"/>
  <c r="C184" i="28"/>
  <c r="D184" i="28"/>
  <c r="C185" i="28"/>
  <c r="D185" i="28"/>
  <c r="C186" i="28"/>
  <c r="D186" i="28"/>
  <c r="C187" i="28"/>
  <c r="D187" i="28"/>
  <c r="C188" i="28"/>
  <c r="D188" i="28"/>
  <c r="C189" i="28"/>
  <c r="D189" i="28"/>
  <c r="C190" i="28"/>
  <c r="D190" i="28"/>
  <c r="C191" i="28"/>
  <c r="D191" i="28"/>
  <c r="C192" i="28"/>
  <c r="D192" i="28"/>
  <c r="C193" i="28"/>
  <c r="D193" i="28"/>
  <c r="C194" i="28"/>
  <c r="D194" i="28"/>
  <c r="C195" i="28"/>
  <c r="D195" i="28"/>
  <c r="C196" i="28"/>
  <c r="D196" i="28"/>
  <c r="C197" i="28"/>
  <c r="D197" i="28"/>
  <c r="C198" i="28"/>
  <c r="D198" i="28"/>
  <c r="C199" i="28"/>
  <c r="D199" i="28"/>
  <c r="C200" i="28"/>
  <c r="D200" i="28"/>
  <c r="C201" i="28"/>
  <c r="D201" i="28"/>
  <c r="C202" i="28"/>
  <c r="D202" i="28"/>
  <c r="C203" i="28"/>
  <c r="D203" i="28"/>
  <c r="C204" i="28"/>
  <c r="D204" i="28"/>
  <c r="C205" i="28"/>
  <c r="D205" i="28"/>
  <c r="C206" i="28"/>
  <c r="D206" i="28"/>
  <c r="C4" i="28"/>
  <c r="D4" i="28"/>
  <c r="C5" i="28"/>
  <c r="D5" i="28"/>
  <c r="C6" i="28"/>
  <c r="D6" i="28"/>
  <c r="C7" i="28"/>
  <c r="D7" i="28"/>
  <c r="C8" i="28"/>
  <c r="D8" i="28"/>
  <c r="D3" i="28"/>
  <c r="C3" i="28"/>
  <c r="H266" i="27"/>
  <c r="F266" i="27"/>
  <c r="E266" i="27"/>
  <c r="H265" i="27"/>
  <c r="F265" i="27"/>
  <c r="E265" i="27"/>
  <c r="H264" i="27"/>
  <c r="F264" i="27"/>
  <c r="E264" i="27"/>
  <c r="H263" i="27"/>
  <c r="F263" i="27"/>
  <c r="E263" i="27"/>
  <c r="H262" i="27"/>
  <c r="F262" i="27"/>
  <c r="E262" i="27"/>
  <c r="H261" i="27"/>
  <c r="F261" i="27"/>
  <c r="E261" i="27"/>
  <c r="H260" i="27"/>
  <c r="F260" i="27"/>
  <c r="E260" i="27"/>
  <c r="H259" i="27"/>
  <c r="F259" i="27"/>
  <c r="E259" i="27"/>
  <c r="H258" i="27"/>
  <c r="F258" i="27"/>
  <c r="E258" i="27"/>
  <c r="H257" i="27"/>
  <c r="F257" i="27"/>
  <c r="E257" i="27"/>
  <c r="H256" i="27"/>
  <c r="F256" i="27"/>
  <c r="E256" i="27"/>
  <c r="H255" i="27"/>
  <c r="F255" i="27"/>
  <c r="E255" i="27"/>
  <c r="D4" i="27"/>
  <c r="D5" i="27"/>
  <c r="D6" i="27"/>
  <c r="D7" i="27"/>
  <c r="D8" i="27"/>
  <c r="D9" i="27"/>
  <c r="D10" i="27"/>
  <c r="D11" i="27"/>
  <c r="D12" i="27"/>
  <c r="D13" i="27"/>
  <c r="D14" i="27"/>
  <c r="D15" i="27"/>
  <c r="D16" i="27"/>
  <c r="D17" i="27"/>
  <c r="D18" i="27"/>
  <c r="D19" i="27"/>
  <c r="D20" i="27"/>
  <c r="D21" i="27"/>
  <c r="D22" i="27"/>
  <c r="D23" i="27"/>
  <c r="D24" i="27"/>
  <c r="D25" i="27"/>
  <c r="D26" i="27"/>
  <c r="D27" i="27"/>
  <c r="D28" i="27"/>
  <c r="D29" i="27"/>
  <c r="D30" i="27"/>
  <c r="D31" i="27"/>
  <c r="D32" i="27"/>
  <c r="D33" i="27"/>
  <c r="D34" i="27"/>
  <c r="D35" i="27"/>
  <c r="D36" i="27"/>
  <c r="D37" i="27"/>
  <c r="D38" i="27"/>
  <c r="D39" i="27"/>
  <c r="D40" i="27"/>
  <c r="D41" i="27"/>
  <c r="D42" i="27"/>
  <c r="D43" i="27"/>
  <c r="D44" i="27"/>
  <c r="D45" i="27"/>
  <c r="D46" i="27"/>
  <c r="D47" i="27"/>
  <c r="D48" i="27"/>
  <c r="D49" i="27"/>
  <c r="D50" i="27"/>
  <c r="D51" i="27"/>
  <c r="D52" i="27"/>
  <c r="D53" i="27"/>
  <c r="D54" i="27"/>
  <c r="D55" i="27"/>
  <c r="D56" i="27"/>
  <c r="D57" i="27"/>
  <c r="D58" i="27"/>
  <c r="D59" i="27"/>
  <c r="D60" i="27"/>
  <c r="D61" i="27"/>
  <c r="D62" i="27"/>
  <c r="D63" i="27"/>
  <c r="D64" i="27"/>
  <c r="D65" i="27"/>
  <c r="D66" i="27"/>
  <c r="D67" i="27"/>
  <c r="D68" i="27"/>
  <c r="D69" i="27"/>
  <c r="D70" i="27"/>
  <c r="D71" i="27"/>
  <c r="D72" i="27"/>
  <c r="D73" i="27"/>
  <c r="D74" i="27"/>
  <c r="D75" i="27"/>
  <c r="D76" i="27"/>
  <c r="D77" i="27"/>
  <c r="D78" i="27"/>
  <c r="D79" i="27"/>
  <c r="D80" i="27"/>
  <c r="D81" i="27"/>
  <c r="D82" i="27"/>
  <c r="D83" i="27"/>
  <c r="D84" i="27"/>
  <c r="D85" i="27"/>
  <c r="D86" i="27"/>
  <c r="D87" i="27"/>
  <c r="D88" i="27"/>
  <c r="D89" i="27"/>
  <c r="D90" i="27"/>
  <c r="D91" i="27"/>
  <c r="D92" i="27"/>
  <c r="D93" i="27"/>
  <c r="D94" i="27"/>
  <c r="D95" i="27"/>
  <c r="D96" i="27"/>
  <c r="D97" i="27"/>
  <c r="D98" i="27"/>
  <c r="D99" i="27"/>
  <c r="D100" i="27"/>
  <c r="D101" i="27"/>
  <c r="D102" i="27"/>
  <c r="D103" i="27"/>
  <c r="D104" i="27"/>
  <c r="D105" i="27"/>
  <c r="D106" i="27"/>
  <c r="D107" i="27"/>
  <c r="D108" i="27"/>
  <c r="D109" i="27"/>
  <c r="D110" i="27"/>
  <c r="D159" i="27"/>
  <c r="D160" i="27"/>
  <c r="D161" i="27"/>
  <c r="D162" i="27"/>
  <c r="D163" i="27"/>
  <c r="D164" i="27"/>
  <c r="D165" i="27"/>
  <c r="D166" i="27"/>
  <c r="D167" i="27"/>
  <c r="D168" i="27"/>
  <c r="D169" i="27"/>
  <c r="D170" i="27"/>
  <c r="D171" i="27"/>
  <c r="D172" i="27"/>
  <c r="D173" i="27"/>
  <c r="D174" i="27"/>
  <c r="D175" i="27"/>
  <c r="D176" i="27"/>
  <c r="D177" i="27"/>
  <c r="D178" i="27"/>
  <c r="D179" i="27"/>
  <c r="D180" i="27"/>
  <c r="D181" i="27"/>
  <c r="D182" i="27"/>
  <c r="D183" i="27"/>
  <c r="D184" i="27"/>
  <c r="D185" i="27"/>
  <c r="D186" i="27"/>
  <c r="D187" i="27"/>
  <c r="D188" i="27"/>
  <c r="D189" i="27"/>
  <c r="D190" i="27"/>
  <c r="D191" i="27"/>
  <c r="D192" i="27"/>
  <c r="D193" i="27"/>
  <c r="D194" i="27"/>
  <c r="D195" i="27"/>
  <c r="D196" i="27"/>
  <c r="D197" i="27"/>
  <c r="D198" i="27"/>
  <c r="D199" i="27"/>
  <c r="D200" i="27"/>
  <c r="D201" i="27"/>
  <c r="D202" i="27"/>
  <c r="D203" i="27"/>
  <c r="D204" i="27"/>
  <c r="D205" i="27"/>
  <c r="D206" i="27"/>
  <c r="D3" i="27"/>
  <c r="C183" i="27"/>
  <c r="C184" i="27"/>
  <c r="C185" i="27"/>
  <c r="C186" i="27"/>
  <c r="C187" i="27"/>
  <c r="C188" i="27"/>
  <c r="C189" i="27"/>
  <c r="C190" i="27"/>
  <c r="C191" i="27"/>
  <c r="C192" i="27"/>
  <c r="C193" i="27"/>
  <c r="C194" i="27"/>
  <c r="C195" i="27"/>
  <c r="C196" i="27"/>
  <c r="C197" i="27"/>
  <c r="C198" i="27"/>
  <c r="C199" i="27"/>
  <c r="C200" i="27"/>
  <c r="C201" i="27"/>
  <c r="C202" i="27"/>
  <c r="C203" i="27"/>
  <c r="C204" i="27"/>
  <c r="C205" i="27"/>
  <c r="C206" i="27"/>
  <c r="C4" i="27"/>
  <c r="C5" i="27"/>
  <c r="C6" i="27"/>
  <c r="C7" i="27"/>
  <c r="C8" i="27"/>
  <c r="C9" i="27"/>
  <c r="C10" i="27"/>
  <c r="C11" i="27"/>
  <c r="C12"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59" i="27"/>
  <c r="C160" i="27"/>
  <c r="C161" i="27"/>
  <c r="C162" i="27"/>
  <c r="C163" i="27"/>
  <c r="C164" i="27"/>
  <c r="C165" i="27"/>
  <c r="C166" i="27"/>
  <c r="C167" i="27"/>
  <c r="C168" i="27"/>
  <c r="C169" i="27"/>
  <c r="C170" i="27"/>
  <c r="C171" i="27"/>
  <c r="C172" i="27"/>
  <c r="C173" i="27"/>
  <c r="C174" i="27"/>
  <c r="C175" i="27"/>
  <c r="C176" i="27"/>
  <c r="C177" i="27"/>
  <c r="C178" i="27"/>
  <c r="C179" i="27"/>
  <c r="C180" i="27"/>
  <c r="C181" i="27"/>
  <c r="C182" i="27"/>
  <c r="C3" i="27"/>
  <c r="H256" i="25"/>
  <c r="H257" i="25"/>
  <c r="H258" i="25"/>
  <c r="H259" i="25"/>
  <c r="H260" i="25"/>
  <c r="H261" i="25"/>
  <c r="H262" i="25"/>
  <c r="H263" i="25"/>
  <c r="H264" i="25"/>
  <c r="H265" i="25"/>
  <c r="H266" i="25"/>
  <c r="H255" i="25"/>
  <c r="F266" i="25"/>
  <c r="E266" i="25"/>
  <c r="F265" i="25"/>
  <c r="E265" i="25"/>
  <c r="F264" i="25"/>
  <c r="E264" i="25"/>
  <c r="F263" i="25"/>
  <c r="E263" i="25"/>
  <c r="F262" i="25"/>
  <c r="E262" i="25"/>
  <c r="F261" i="25"/>
  <c r="E261" i="25"/>
  <c r="F260" i="25"/>
  <c r="E260" i="25"/>
  <c r="F259" i="25"/>
  <c r="E259" i="25"/>
  <c r="F258" i="25"/>
  <c r="E258" i="25"/>
  <c r="F257" i="25"/>
  <c r="E257" i="25"/>
  <c r="F256" i="25"/>
  <c r="E256" i="25"/>
  <c r="F255" i="25"/>
  <c r="E255" i="25"/>
  <c r="C4" i="25"/>
  <c r="D4" i="25"/>
  <c r="C5" i="25"/>
  <c r="D5" i="25"/>
  <c r="C6" i="25"/>
  <c r="D6" i="25"/>
  <c r="C7" i="25"/>
  <c r="D7" i="25"/>
  <c r="C8" i="25"/>
  <c r="D8" i="25"/>
  <c r="C9" i="25"/>
  <c r="D9" i="25"/>
  <c r="C10" i="25"/>
  <c r="D10" i="25"/>
  <c r="C11" i="25"/>
  <c r="D11" i="25"/>
  <c r="C12" i="25"/>
  <c r="D12" i="25"/>
  <c r="C13" i="25"/>
  <c r="D13" i="25"/>
  <c r="C14" i="25"/>
  <c r="D14" i="25"/>
  <c r="C15" i="25"/>
  <c r="D15" i="25"/>
  <c r="C16" i="25"/>
  <c r="D16" i="25"/>
  <c r="C17" i="25"/>
  <c r="D17" i="25"/>
  <c r="C18" i="25"/>
  <c r="D18" i="25"/>
  <c r="C19" i="25"/>
  <c r="D19" i="25"/>
  <c r="C20" i="25"/>
  <c r="D20" i="25"/>
  <c r="C21" i="25"/>
  <c r="D21" i="25"/>
  <c r="C22" i="25"/>
  <c r="D22" i="25"/>
  <c r="C23" i="25"/>
  <c r="D23" i="25"/>
  <c r="C24" i="25"/>
  <c r="D24" i="25"/>
  <c r="C25" i="25"/>
  <c r="D25" i="25"/>
  <c r="C26" i="25"/>
  <c r="D26" i="25"/>
  <c r="C27" i="25"/>
  <c r="D27" i="25"/>
  <c r="C28" i="25"/>
  <c r="D28" i="25"/>
  <c r="C29" i="25"/>
  <c r="D29" i="25"/>
  <c r="C30" i="25"/>
  <c r="D30" i="25"/>
  <c r="C31" i="25"/>
  <c r="D31" i="25"/>
  <c r="C32" i="25"/>
  <c r="D32" i="25"/>
  <c r="C33" i="25"/>
  <c r="D33" i="25"/>
  <c r="C34" i="25"/>
  <c r="D34" i="25"/>
  <c r="C35" i="25"/>
  <c r="D35" i="25"/>
  <c r="C36" i="25"/>
  <c r="D36" i="25"/>
  <c r="C37" i="25"/>
  <c r="D37" i="25"/>
  <c r="C38" i="25"/>
  <c r="D38" i="25"/>
  <c r="C39" i="25"/>
  <c r="D39" i="25"/>
  <c r="C40" i="25"/>
  <c r="D40" i="25"/>
  <c r="C41" i="25"/>
  <c r="D41" i="25"/>
  <c r="C42" i="25"/>
  <c r="D42" i="25"/>
  <c r="C43" i="25"/>
  <c r="D43" i="25"/>
  <c r="C44" i="25"/>
  <c r="D44" i="25"/>
  <c r="C45" i="25"/>
  <c r="D45" i="25"/>
  <c r="C46" i="25"/>
  <c r="D46" i="25"/>
  <c r="C47" i="25"/>
  <c r="D47" i="25"/>
  <c r="C48" i="25"/>
  <c r="D48" i="25"/>
  <c r="C49" i="25"/>
  <c r="D49" i="25"/>
  <c r="C50" i="25"/>
  <c r="D50" i="25"/>
  <c r="C51" i="25"/>
  <c r="D51" i="25"/>
  <c r="C52" i="25"/>
  <c r="D52" i="25"/>
  <c r="C53" i="25"/>
  <c r="D53" i="25"/>
  <c r="C54" i="25"/>
  <c r="D54" i="25"/>
  <c r="C55" i="25"/>
  <c r="D55" i="25"/>
  <c r="C56" i="25"/>
  <c r="D56" i="25"/>
  <c r="C57" i="25"/>
  <c r="D57" i="25"/>
  <c r="C58" i="25"/>
  <c r="D58" i="25"/>
  <c r="C59" i="25"/>
  <c r="D59" i="25"/>
  <c r="C60" i="25"/>
  <c r="D60" i="25"/>
  <c r="C61" i="25"/>
  <c r="D61" i="25"/>
  <c r="C62" i="25"/>
  <c r="D62" i="25"/>
  <c r="C63" i="25"/>
  <c r="D63" i="25"/>
  <c r="C64" i="25"/>
  <c r="D64" i="25"/>
  <c r="C65" i="25"/>
  <c r="D65" i="25"/>
  <c r="C66" i="25"/>
  <c r="D66" i="25"/>
  <c r="C67" i="25"/>
  <c r="D67" i="25"/>
  <c r="C68" i="25"/>
  <c r="D68" i="25"/>
  <c r="C69" i="25"/>
  <c r="D69" i="25"/>
  <c r="C70" i="25"/>
  <c r="D70" i="25"/>
  <c r="C71" i="25"/>
  <c r="D71" i="25"/>
  <c r="C72" i="25"/>
  <c r="D72" i="25"/>
  <c r="C73" i="25"/>
  <c r="D73" i="25"/>
  <c r="C74" i="25"/>
  <c r="D74" i="25"/>
  <c r="C75" i="25"/>
  <c r="D75" i="25"/>
  <c r="C76" i="25"/>
  <c r="D76" i="25"/>
  <c r="C77" i="25"/>
  <c r="D77" i="25"/>
  <c r="C78" i="25"/>
  <c r="D78" i="25"/>
  <c r="C79" i="25"/>
  <c r="D79" i="25"/>
  <c r="C80" i="25"/>
  <c r="D80" i="25"/>
  <c r="C81" i="25"/>
  <c r="D81" i="25"/>
  <c r="C82" i="25"/>
  <c r="D82" i="25"/>
  <c r="C83" i="25"/>
  <c r="D83" i="25"/>
  <c r="C84" i="25"/>
  <c r="D84" i="25"/>
  <c r="C85" i="25"/>
  <c r="D85" i="25"/>
  <c r="C86" i="25"/>
  <c r="D86" i="25"/>
  <c r="C87" i="25"/>
  <c r="D87" i="25"/>
  <c r="C88" i="25"/>
  <c r="D88" i="25"/>
  <c r="C89" i="25"/>
  <c r="D89" i="25"/>
  <c r="C90" i="25"/>
  <c r="D90" i="25"/>
  <c r="C91" i="25"/>
  <c r="D91" i="25"/>
  <c r="C92" i="25"/>
  <c r="D92" i="25"/>
  <c r="C93" i="25"/>
  <c r="D93" i="25"/>
  <c r="C94" i="25"/>
  <c r="D94" i="25"/>
  <c r="C95" i="25"/>
  <c r="D95" i="25"/>
  <c r="C96" i="25"/>
  <c r="D96" i="25"/>
  <c r="C97" i="25"/>
  <c r="D97" i="25"/>
  <c r="C98" i="25"/>
  <c r="D98" i="25"/>
  <c r="C99" i="25"/>
  <c r="D99" i="25"/>
  <c r="C100" i="25"/>
  <c r="D100" i="25"/>
  <c r="C101" i="25"/>
  <c r="D101" i="25"/>
  <c r="C102" i="25"/>
  <c r="D102" i="25"/>
  <c r="C103" i="25"/>
  <c r="D103" i="25"/>
  <c r="C104" i="25"/>
  <c r="D104" i="25"/>
  <c r="C105" i="25"/>
  <c r="D105" i="25"/>
  <c r="C106" i="25"/>
  <c r="D106" i="25"/>
  <c r="C107" i="25"/>
  <c r="D107" i="25"/>
  <c r="C108" i="25"/>
  <c r="D108" i="25"/>
  <c r="C109" i="25"/>
  <c r="D109" i="25"/>
  <c r="C110" i="25"/>
  <c r="D110" i="25"/>
  <c r="C159" i="25"/>
  <c r="D159" i="25"/>
  <c r="C160" i="25"/>
  <c r="D160" i="25"/>
  <c r="C161" i="25"/>
  <c r="D161" i="25"/>
  <c r="C162" i="25"/>
  <c r="D162" i="25"/>
  <c r="C163" i="25"/>
  <c r="D163" i="25"/>
  <c r="C164" i="25"/>
  <c r="D164" i="25"/>
  <c r="C165" i="25"/>
  <c r="D165" i="25"/>
  <c r="C166" i="25"/>
  <c r="D166" i="25"/>
  <c r="C167" i="25"/>
  <c r="D167" i="25"/>
  <c r="C168" i="25"/>
  <c r="D168" i="25"/>
  <c r="C169" i="25"/>
  <c r="D169" i="25"/>
  <c r="C170" i="25"/>
  <c r="D170" i="25"/>
  <c r="C171" i="25"/>
  <c r="D171" i="25"/>
  <c r="C172" i="25"/>
  <c r="D172" i="25"/>
  <c r="C173" i="25"/>
  <c r="D173" i="25"/>
  <c r="C174" i="25"/>
  <c r="D174" i="25"/>
  <c r="C175" i="25"/>
  <c r="D175" i="25"/>
  <c r="C176" i="25"/>
  <c r="D176" i="25"/>
  <c r="C177" i="25"/>
  <c r="D177" i="25"/>
  <c r="C178" i="25"/>
  <c r="D178" i="25"/>
  <c r="C179" i="25"/>
  <c r="D179" i="25"/>
  <c r="C180" i="25"/>
  <c r="D180" i="25"/>
  <c r="C181" i="25"/>
  <c r="D181" i="25"/>
  <c r="C182" i="25"/>
  <c r="D182" i="25"/>
  <c r="C183" i="25"/>
  <c r="D183" i="25"/>
  <c r="C184" i="25"/>
  <c r="D184" i="25"/>
  <c r="C185" i="25"/>
  <c r="D185" i="25"/>
  <c r="C186" i="25"/>
  <c r="D186" i="25"/>
  <c r="C187" i="25"/>
  <c r="D187" i="25"/>
  <c r="C188" i="25"/>
  <c r="D188" i="25"/>
  <c r="C189" i="25"/>
  <c r="D189" i="25"/>
  <c r="C190" i="25"/>
  <c r="D190" i="25"/>
  <c r="C191" i="25"/>
  <c r="D191" i="25"/>
  <c r="C192" i="25"/>
  <c r="D192" i="25"/>
  <c r="C193" i="25"/>
  <c r="D193" i="25"/>
  <c r="C194" i="25"/>
  <c r="D194" i="25"/>
  <c r="C195" i="25"/>
  <c r="D195" i="25"/>
  <c r="C196" i="25"/>
  <c r="D196" i="25"/>
  <c r="C197" i="25"/>
  <c r="D197" i="25"/>
  <c r="C198" i="25"/>
  <c r="D198" i="25"/>
  <c r="C199" i="25"/>
  <c r="D199" i="25"/>
  <c r="C200" i="25"/>
  <c r="D200" i="25"/>
  <c r="C201" i="25"/>
  <c r="D201" i="25"/>
  <c r="C202" i="25"/>
  <c r="D202" i="25"/>
  <c r="C203" i="25"/>
  <c r="D203" i="25"/>
  <c r="C204" i="25"/>
  <c r="D204" i="25"/>
  <c r="C205" i="25"/>
  <c r="D205" i="25"/>
  <c r="C206" i="25"/>
  <c r="D206" i="25"/>
  <c r="D3" i="25"/>
  <c r="C3" i="25"/>
  <c r="R310" i="35" l="1"/>
  <c r="AI357" i="35" s="1"/>
  <c r="AH394" i="35" s="1"/>
  <c r="U310" i="35"/>
  <c r="AI468" i="35" s="1"/>
  <c r="AH505" i="35" s="1"/>
  <c r="V310" i="35"/>
  <c r="AI505" i="35" s="1"/>
  <c r="AH445" i="35"/>
  <c r="I55" i="35"/>
  <c r="I158" i="35" s="1"/>
  <c r="R303" i="35"/>
  <c r="AF356" i="35" s="1"/>
  <c r="J56" i="35"/>
  <c r="J159" i="35" s="1"/>
  <c r="T308" i="35"/>
  <c r="K55" i="35"/>
  <c r="K158" i="35" s="1"/>
  <c r="R313" i="35"/>
  <c r="AF358" i="35" s="1"/>
  <c r="AH506" i="35"/>
  <c r="G55" i="35"/>
  <c r="G158" i="35" s="1"/>
  <c r="R295" i="35"/>
  <c r="H56" i="35"/>
  <c r="H159" i="35" s="1"/>
  <c r="T299" i="35"/>
  <c r="I58" i="35"/>
  <c r="I160" i="35" s="1"/>
  <c r="U303" i="35"/>
  <c r="AF467" i="35" s="1"/>
  <c r="AE504" i="35" s="1"/>
  <c r="AE514" i="35" s="1"/>
  <c r="AA509" i="35" s="1"/>
  <c r="J58" i="35"/>
  <c r="J160" i="35" s="1"/>
  <c r="U308" i="35"/>
  <c r="AF468" i="35" s="1"/>
  <c r="K56" i="35"/>
  <c r="K159" i="35" s="1"/>
  <c r="K173" i="35" s="1"/>
  <c r="T313" i="35"/>
  <c r="L56" i="35"/>
  <c r="L159" i="35" s="1"/>
  <c r="T318" i="35"/>
  <c r="M55" i="35"/>
  <c r="M158" i="35" s="1"/>
  <c r="R323" i="35"/>
  <c r="AF360" i="35" s="1"/>
  <c r="AI430" i="35"/>
  <c r="AI393" i="35"/>
  <c r="AH542" i="35"/>
  <c r="AH543" i="35"/>
  <c r="AM506" i="35"/>
  <c r="AL445" i="35"/>
  <c r="H58" i="35"/>
  <c r="H160" i="35" s="1"/>
  <c r="U299" i="35"/>
  <c r="AF466" i="35" s="1"/>
  <c r="L23" i="11"/>
  <c r="W308" i="35" s="1"/>
  <c r="AF542" i="35" s="1"/>
  <c r="AE579" i="35" s="1"/>
  <c r="J181" i="35"/>
  <c r="AE543" i="35"/>
  <c r="M56" i="35"/>
  <c r="M159" i="35" s="1"/>
  <c r="T323" i="35"/>
  <c r="AI467" i="35"/>
  <c r="U334" i="35"/>
  <c r="AM358" i="35"/>
  <c r="AH395" i="35"/>
  <c r="AH396" i="35"/>
  <c r="M32" i="35"/>
  <c r="M44" i="35" s="1"/>
  <c r="U324" i="35"/>
  <c r="AE540" i="35"/>
  <c r="J55" i="35"/>
  <c r="J158" i="35" s="1"/>
  <c r="R308" i="35"/>
  <c r="AF357" i="35" s="1"/>
  <c r="AM357" i="35" s="1"/>
  <c r="AE544" i="35"/>
  <c r="AI395" i="35"/>
  <c r="AI432" i="35"/>
  <c r="AH507" i="35"/>
  <c r="AL472" i="35"/>
  <c r="AL482" i="35" s="1"/>
  <c r="AH482" i="35"/>
  <c r="AM546" i="35"/>
  <c r="AL556" i="35" s="1"/>
  <c r="AH583" i="35"/>
  <c r="AH556" i="35"/>
  <c r="AI583" i="35"/>
  <c r="AM583" i="35" s="1"/>
  <c r="Y329" i="35"/>
  <c r="I59" i="35"/>
  <c r="I161" i="35" s="1"/>
  <c r="K59" i="35"/>
  <c r="K161" i="35" s="1"/>
  <c r="H59" i="35"/>
  <c r="H161" i="35" s="1"/>
  <c r="L59" i="35"/>
  <c r="L161" i="35" s="1"/>
  <c r="J49" i="11"/>
  <c r="E18" i="17"/>
  <c r="I10" i="11"/>
  <c r="I269" i="35"/>
  <c r="I275" i="35"/>
  <c r="E20" i="18"/>
  <c r="J272" i="35" s="1"/>
  <c r="H22" i="17"/>
  <c r="J33" i="11"/>
  <c r="M35" i="9"/>
  <c r="D19" i="17"/>
  <c r="B241" i="27"/>
  <c r="N19" i="9"/>
  <c r="J189" i="35" s="1"/>
  <c r="D20" i="17"/>
  <c r="H20" i="17"/>
  <c r="D24" i="17"/>
  <c r="I271" i="35"/>
  <c r="D23" i="17"/>
  <c r="E17" i="17"/>
  <c r="E21" i="17"/>
  <c r="H19" i="17"/>
  <c r="C25" i="17"/>
  <c r="I18" i="11"/>
  <c r="H29" i="11"/>
  <c r="B237" i="27"/>
  <c r="N20" i="9"/>
  <c r="J190" i="35" s="1"/>
  <c r="G25" i="17"/>
  <c r="J54" i="11"/>
  <c r="B243" i="28"/>
  <c r="B242" i="28"/>
  <c r="K11" i="9" s="1"/>
  <c r="B241" i="28"/>
  <c r="K10" i="9" s="1"/>
  <c r="B240" i="28"/>
  <c r="K9" i="9" s="1"/>
  <c r="B239" i="28"/>
  <c r="B238" i="28"/>
  <c r="K7" i="9" s="1"/>
  <c r="B237" i="28"/>
  <c r="B236" i="28"/>
  <c r="K5" i="9" s="1"/>
  <c r="B235" i="28"/>
  <c r="B234" i="28"/>
  <c r="B243" i="25"/>
  <c r="B242" i="25"/>
  <c r="B241" i="25"/>
  <c r="B240" i="25"/>
  <c r="B239" i="25"/>
  <c r="B238" i="25"/>
  <c r="B237" i="25"/>
  <c r="B236" i="25"/>
  <c r="B235" i="25"/>
  <c r="B234" i="25"/>
  <c r="G118" i="35" s="1"/>
  <c r="B243" i="27"/>
  <c r="B242" i="27"/>
  <c r="B240" i="27"/>
  <c r="B239" i="27"/>
  <c r="B238" i="27"/>
  <c r="B236" i="27"/>
  <c r="B235" i="27"/>
  <c r="B234" i="27"/>
  <c r="G135" i="35" s="1"/>
  <c r="M19" i="9"/>
  <c r="E18" i="18"/>
  <c r="J270" i="35" s="1"/>
  <c r="M23" i="9"/>
  <c r="H34" i="11"/>
  <c r="E22" i="18"/>
  <c r="J274" i="35" s="1"/>
  <c r="H195" i="35"/>
  <c r="J29" i="11"/>
  <c r="N23" i="9"/>
  <c r="J193" i="35" s="1"/>
  <c r="H39" i="11"/>
  <c r="B20" i="17"/>
  <c r="J10" i="11"/>
  <c r="J52" i="11"/>
  <c r="B24" i="17"/>
  <c r="C18" i="17"/>
  <c r="H14" i="11"/>
  <c r="C22" i="17"/>
  <c r="J28" i="11"/>
  <c r="G18" i="17"/>
  <c r="G19" i="17"/>
  <c r="H33" i="11"/>
  <c r="G22" i="17"/>
  <c r="G23" i="17"/>
  <c r="J38" i="11"/>
  <c r="H24" i="17"/>
  <c r="E22" i="17"/>
  <c r="H52" i="11"/>
  <c r="C19" i="17"/>
  <c r="I268" i="35"/>
  <c r="I272" i="35"/>
  <c r="I276" i="35"/>
  <c r="M24" i="9"/>
  <c r="I34" i="11"/>
  <c r="H196" i="35"/>
  <c r="H202" i="35" s="1"/>
  <c r="H203" i="35" s="1"/>
  <c r="K29" i="11"/>
  <c r="V314" i="35" s="1"/>
  <c r="N24" i="9"/>
  <c r="J194" i="35" s="1"/>
  <c r="I39" i="11"/>
  <c r="B21" i="17"/>
  <c r="B25" i="17"/>
  <c r="K52" i="11"/>
  <c r="D17" i="17"/>
  <c r="D21" i="17"/>
  <c r="D25" i="17"/>
  <c r="E19" i="17"/>
  <c r="E23" i="17"/>
  <c r="H17" i="17"/>
  <c r="H21" i="17"/>
  <c r="H25" i="17"/>
  <c r="D22" i="17"/>
  <c r="D18" i="17"/>
  <c r="K54" i="11"/>
  <c r="K20" i="11"/>
  <c r="V305" i="35" s="1"/>
  <c r="I25" i="11"/>
  <c r="I273" i="35"/>
  <c r="E19" i="18"/>
  <c r="J271" i="35" s="1"/>
  <c r="I35" i="11"/>
  <c r="T320" i="35" s="1"/>
  <c r="E23" i="18"/>
  <c r="J275" i="35" s="1"/>
  <c r="K10" i="11"/>
  <c r="B18" i="17"/>
  <c r="C20" i="17"/>
  <c r="G20" i="17"/>
  <c r="I52" i="11"/>
  <c r="E24" i="17"/>
  <c r="C23" i="17"/>
  <c r="E20" i="17"/>
  <c r="K38" i="11"/>
  <c r="V323" i="35" s="1"/>
  <c r="AF508" i="35" s="1"/>
  <c r="M34" i="9"/>
  <c r="N21" i="9"/>
  <c r="J191" i="35" s="1"/>
  <c r="N25" i="9"/>
  <c r="J195" i="35" s="1"/>
  <c r="B22" i="17"/>
  <c r="E25" i="17"/>
  <c r="C24" i="17"/>
  <c r="E14" i="17"/>
  <c r="I270" i="35"/>
  <c r="I274" i="35"/>
  <c r="E24" i="18"/>
  <c r="J276" i="35" s="1"/>
  <c r="K23" i="11"/>
  <c r="M26" i="9"/>
  <c r="K34" i="11"/>
  <c r="V319" i="35" s="1"/>
  <c r="I29" i="11"/>
  <c r="N18" i="9"/>
  <c r="J188" i="35" s="1"/>
  <c r="N22" i="9"/>
  <c r="J192" i="35" s="1"/>
  <c r="N26" i="9"/>
  <c r="K39" i="11"/>
  <c r="V324" i="35" s="1"/>
  <c r="H23" i="17"/>
  <c r="I54" i="11"/>
  <c r="E17" i="18"/>
  <c r="J269" i="35" s="1"/>
  <c r="E21" i="18"/>
  <c r="J273" i="35" s="1"/>
  <c r="K35" i="11"/>
  <c r="V320" i="35" s="1"/>
  <c r="AI507" i="35" s="1"/>
  <c r="E25" i="18"/>
  <c r="J277" i="35" s="1"/>
  <c r="J34" i="11"/>
  <c r="H20" i="11"/>
  <c r="R305" i="35" s="1"/>
  <c r="V308" i="35" l="1"/>
  <c r="AF505" i="35" s="1"/>
  <c r="AE542" i="35" s="1"/>
  <c r="T310" i="35"/>
  <c r="AI394" i="35" s="1"/>
  <c r="K6" i="9"/>
  <c r="K20" i="9" s="1"/>
  <c r="G190" i="35" s="1"/>
  <c r="K3" i="9"/>
  <c r="C16" i="18" s="1"/>
  <c r="H268" i="35" s="1"/>
  <c r="K4" i="9"/>
  <c r="K18" i="9" s="1"/>
  <c r="K22" i="9"/>
  <c r="G192" i="35" s="1"/>
  <c r="K8" i="9"/>
  <c r="K12" i="9"/>
  <c r="C25" i="18" s="1"/>
  <c r="H277" i="35" s="1"/>
  <c r="G30" i="17"/>
  <c r="L176" i="35" s="1"/>
  <c r="D30" i="17"/>
  <c r="C30" i="17"/>
  <c r="H176" i="35" s="1"/>
  <c r="H30" i="17"/>
  <c r="M176" i="35" s="1"/>
  <c r="E30" i="17"/>
  <c r="J176" i="35" s="1"/>
  <c r="J174" i="35"/>
  <c r="I175" i="35"/>
  <c r="H174" i="35"/>
  <c r="J173" i="35"/>
  <c r="J278" i="35"/>
  <c r="AM505" i="35"/>
  <c r="M173" i="35"/>
  <c r="J60" i="35"/>
  <c r="H194" i="35"/>
  <c r="AH544" i="35"/>
  <c r="AL544" i="35" s="1"/>
  <c r="AM507" i="35"/>
  <c r="AH517" i="35"/>
  <c r="M39" i="9"/>
  <c r="I196" i="35"/>
  <c r="I202" i="35" s="1"/>
  <c r="I203" i="35" s="1"/>
  <c r="AE545" i="35"/>
  <c r="AL545" i="35" s="1"/>
  <c r="AM508" i="35"/>
  <c r="M38" i="9"/>
  <c r="I194" i="35"/>
  <c r="M58" i="35"/>
  <c r="M160" i="35" s="1"/>
  <c r="M174" i="35" s="1"/>
  <c r="U323" i="35"/>
  <c r="AF471" i="35" s="1"/>
  <c r="L30" i="35"/>
  <c r="L41" i="35" s="1"/>
  <c r="R319" i="35"/>
  <c r="D27" i="18"/>
  <c r="I279" i="35" s="1"/>
  <c r="I277" i="35"/>
  <c r="I278" i="35" s="1"/>
  <c r="K30" i="35"/>
  <c r="K41" i="35" s="1"/>
  <c r="R314" i="35"/>
  <c r="AH469" i="35"/>
  <c r="AH479" i="35" s="1"/>
  <c r="AH405" i="35"/>
  <c r="AH504" i="35"/>
  <c r="AM467" i="35"/>
  <c r="AL543" i="35"/>
  <c r="AF396" i="35"/>
  <c r="AF433" i="35"/>
  <c r="AE443" i="35" s="1"/>
  <c r="AE505" i="35"/>
  <c r="AE515" i="35" s="1"/>
  <c r="AA510" i="35" s="1"/>
  <c r="AF392" i="35"/>
  <c r="AF429" i="35"/>
  <c r="AE439" i="35" s="1"/>
  <c r="AH515" i="35"/>
  <c r="AA516" i="35" s="1"/>
  <c r="AL505" i="35"/>
  <c r="AF394" i="35"/>
  <c r="AF431" i="35"/>
  <c r="AE441" i="35" s="1"/>
  <c r="AI356" i="35"/>
  <c r="R334" i="35"/>
  <c r="K31" i="35"/>
  <c r="K42" i="35" s="1"/>
  <c r="T314" i="35"/>
  <c r="AE552" i="35"/>
  <c r="AA547" i="35" s="1"/>
  <c r="M23" i="11"/>
  <c r="X308" i="35" s="1"/>
  <c r="AF579" i="35" s="1"/>
  <c r="AE589" i="35" s="1"/>
  <c r="AA584" i="35" s="1"/>
  <c r="J182" i="35"/>
  <c r="V295" i="35"/>
  <c r="H55" i="35"/>
  <c r="H158" i="35" s="1"/>
  <c r="R299" i="35"/>
  <c r="AF355" i="35" s="1"/>
  <c r="G58" i="35"/>
  <c r="G160" i="35" s="1"/>
  <c r="U295" i="35"/>
  <c r="K32" i="35"/>
  <c r="K44" i="35" s="1"/>
  <c r="U314" i="35"/>
  <c r="M36" i="9"/>
  <c r="I193" i="35"/>
  <c r="I56" i="35"/>
  <c r="I159" i="35" s="1"/>
  <c r="I173" i="35" s="1"/>
  <c r="T303" i="35"/>
  <c r="G56" i="35"/>
  <c r="G159" i="35" s="1"/>
  <c r="T295" i="35"/>
  <c r="AF434" i="35"/>
  <c r="AF397" i="35"/>
  <c r="AL542" i="35"/>
  <c r="AH440" i="35"/>
  <c r="L32" i="35"/>
  <c r="L44" i="35" s="1"/>
  <c r="U319" i="35"/>
  <c r="N27" i="9"/>
  <c r="N28" i="9" s="1"/>
  <c r="J196" i="35"/>
  <c r="J202" i="35" s="1"/>
  <c r="J203" i="35" s="1"/>
  <c r="M31" i="35"/>
  <c r="M42" i="35" s="1"/>
  <c r="T324" i="35"/>
  <c r="L58" i="35"/>
  <c r="L160" i="35" s="1"/>
  <c r="L174" i="35" s="1"/>
  <c r="U318" i="35"/>
  <c r="AF470" i="35" s="1"/>
  <c r="AE394" i="35"/>
  <c r="AE397" i="35"/>
  <c r="AL397" i="35" s="1"/>
  <c r="AM360" i="35"/>
  <c r="AF432" i="35"/>
  <c r="AE442" i="35" s="1"/>
  <c r="AF395" i="35"/>
  <c r="AM395" i="35" s="1"/>
  <c r="AF354" i="35"/>
  <c r="AE395" i="35"/>
  <c r="AL395" i="35" s="1"/>
  <c r="AE393" i="35"/>
  <c r="AI433" i="35"/>
  <c r="AI396" i="35"/>
  <c r="AI504" i="35"/>
  <c r="V334" i="35"/>
  <c r="L31" i="35"/>
  <c r="L42" i="35" s="1"/>
  <c r="T319" i="35"/>
  <c r="L55" i="35"/>
  <c r="L158" i="35" s="1"/>
  <c r="L173" i="35" s="1"/>
  <c r="R318" i="35"/>
  <c r="AF359" i="35" s="1"/>
  <c r="K58" i="35"/>
  <c r="K160" i="35" s="1"/>
  <c r="K174" i="35" s="1"/>
  <c r="U313" i="35"/>
  <c r="AF469" i="35" s="1"/>
  <c r="M30" i="35"/>
  <c r="M41" i="35" s="1"/>
  <c r="R324" i="35"/>
  <c r="M33" i="9"/>
  <c r="I189" i="35"/>
  <c r="H175" i="35"/>
  <c r="AH442" i="35"/>
  <c r="AL394" i="35"/>
  <c r="AE503" i="35"/>
  <c r="AE513" i="35" s="1"/>
  <c r="AA508" i="35" s="1"/>
  <c r="AH516" i="35"/>
  <c r="AH467" i="35"/>
  <c r="AH477" i="35" s="1"/>
  <c r="AM468" i="35"/>
  <c r="AH593" i="35"/>
  <c r="AL583" i="35"/>
  <c r="AL593" i="35" s="1"/>
  <c r="J7" i="9"/>
  <c r="B20" i="18" s="1"/>
  <c r="G272" i="35" s="1"/>
  <c r="G139" i="35"/>
  <c r="J12" i="9"/>
  <c r="K19" i="11" s="1"/>
  <c r="V304" i="35" s="1"/>
  <c r="G144" i="35"/>
  <c r="J6" i="9"/>
  <c r="B19" i="18" s="1"/>
  <c r="G271" i="35" s="1"/>
  <c r="G138" i="35"/>
  <c r="J10" i="9"/>
  <c r="B23" i="18" s="1"/>
  <c r="G275" i="35" s="1"/>
  <c r="G142" i="35"/>
  <c r="J8" i="9"/>
  <c r="B21" i="18" s="1"/>
  <c r="G273" i="35" s="1"/>
  <c r="G140" i="35"/>
  <c r="J4" i="9"/>
  <c r="B17" i="18" s="1"/>
  <c r="G269" i="35" s="1"/>
  <c r="G136" i="35"/>
  <c r="J9" i="9"/>
  <c r="H19" i="11" s="1"/>
  <c r="G141" i="35"/>
  <c r="J5" i="9"/>
  <c r="B18" i="18" s="1"/>
  <c r="G270" i="35" s="1"/>
  <c r="G137" i="35"/>
  <c r="J11" i="9"/>
  <c r="J19" i="11" s="1"/>
  <c r="G143" i="35"/>
  <c r="I5" i="9"/>
  <c r="G120" i="35"/>
  <c r="I9" i="9"/>
  <c r="H15" i="11" s="1"/>
  <c r="G124" i="35"/>
  <c r="I6" i="9"/>
  <c r="G121" i="35"/>
  <c r="I10" i="9"/>
  <c r="I15" i="11" s="1"/>
  <c r="G125" i="35"/>
  <c r="I7" i="9"/>
  <c r="G122" i="35"/>
  <c r="I11" i="9"/>
  <c r="J15" i="11" s="1"/>
  <c r="G126" i="35"/>
  <c r="I4" i="9"/>
  <c r="G119" i="35"/>
  <c r="I8" i="9"/>
  <c r="G123" i="35"/>
  <c r="I12" i="9"/>
  <c r="K15" i="11" s="1"/>
  <c r="V300" i="35" s="1"/>
  <c r="AI503" i="35" s="1"/>
  <c r="G127" i="35"/>
  <c r="M59" i="35"/>
  <c r="K33" i="35"/>
  <c r="M33" i="35"/>
  <c r="M45" i="35" s="1"/>
  <c r="J59" i="35"/>
  <c r="J161" i="35" s="1"/>
  <c r="J175" i="35" s="1"/>
  <c r="G59" i="35"/>
  <c r="G161" i="35" s="1"/>
  <c r="L33" i="35"/>
  <c r="H47" i="11"/>
  <c r="H57" i="11" s="1"/>
  <c r="I49" i="11"/>
  <c r="I59" i="11" s="1"/>
  <c r="N32" i="9"/>
  <c r="K49" i="11"/>
  <c r="K59" i="11" s="1"/>
  <c r="H49" i="11"/>
  <c r="H59" i="11" s="1"/>
  <c r="K47" i="11"/>
  <c r="K57" i="11" s="1"/>
  <c r="J47" i="11"/>
  <c r="J57" i="11" s="1"/>
  <c r="I47" i="11"/>
  <c r="I57" i="11" s="1"/>
  <c r="C21" i="18"/>
  <c r="H273" i="35" s="1"/>
  <c r="N34" i="9"/>
  <c r="N33" i="9"/>
  <c r="M5" i="11"/>
  <c r="X290" i="35" s="1"/>
  <c r="N36" i="9"/>
  <c r="K176" i="35"/>
  <c r="E27" i="18"/>
  <c r="J279" i="35" s="1"/>
  <c r="K235" i="35" s="1"/>
  <c r="K236" i="35" s="1"/>
  <c r="J59" i="11"/>
  <c r="M37" i="9"/>
  <c r="N37" i="9"/>
  <c r="M32" i="9"/>
  <c r="K24" i="9"/>
  <c r="G194" i="35" s="1"/>
  <c r="I24" i="11"/>
  <c r="K21" i="9"/>
  <c r="C20" i="18"/>
  <c r="H272" i="35" s="1"/>
  <c r="K25" i="9"/>
  <c r="G195" i="35" s="1"/>
  <c r="C24" i="18"/>
  <c r="H276" i="35" s="1"/>
  <c r="J24" i="11"/>
  <c r="M27" i="9"/>
  <c r="N35" i="9"/>
  <c r="N38" i="9"/>
  <c r="C23" i="18"/>
  <c r="H275" i="35" s="1"/>
  <c r="I3" i="9"/>
  <c r="B247" i="25"/>
  <c r="B247" i="27"/>
  <c r="J3" i="9"/>
  <c r="N39" i="9"/>
  <c r="C19" i="18"/>
  <c r="H271" i="35" s="1"/>
  <c r="K19" i="9"/>
  <c r="C18" i="18"/>
  <c r="H270" i="35" s="1"/>
  <c r="K23" i="9"/>
  <c r="H24" i="11"/>
  <c r="C22" i="18"/>
  <c r="H274" i="35" s="1"/>
  <c r="AI431" i="35" l="1"/>
  <c r="G188" i="35"/>
  <c r="T334" i="35"/>
  <c r="C17" i="18"/>
  <c r="H269" i="35" s="1"/>
  <c r="K24" i="11"/>
  <c r="K26" i="9"/>
  <c r="G196" i="35" s="1"/>
  <c r="G202" i="35" s="1"/>
  <c r="G203" i="35" s="1"/>
  <c r="AL515" i="35"/>
  <c r="B25" i="18"/>
  <c r="G277" i="35" s="1"/>
  <c r="H33" i="35"/>
  <c r="I19" i="11"/>
  <c r="T304" i="35" s="1"/>
  <c r="J61" i="35"/>
  <c r="O159" i="35"/>
  <c r="AL405" i="35"/>
  <c r="I174" i="35"/>
  <c r="O158" i="35"/>
  <c r="H278" i="35"/>
  <c r="K175" i="35"/>
  <c r="O55" i="35"/>
  <c r="L175" i="35"/>
  <c r="O56" i="35"/>
  <c r="O58" i="35"/>
  <c r="J32" i="35"/>
  <c r="J44" i="35" s="1"/>
  <c r="U309" i="35"/>
  <c r="K34" i="9"/>
  <c r="G191" i="35"/>
  <c r="AE506" i="35"/>
  <c r="AM469" i="35"/>
  <c r="AH541" i="35"/>
  <c r="AL541" i="35" s="1"/>
  <c r="AM504" i="35"/>
  <c r="R332" i="35"/>
  <c r="AF430" i="35"/>
  <c r="AF393" i="35"/>
  <c r="AE508" i="35"/>
  <c r="AM471" i="35"/>
  <c r="AH441" i="35"/>
  <c r="AM431" i="35"/>
  <c r="AL441" i="35" s="1"/>
  <c r="D28" i="17"/>
  <c r="L18" i="11" s="1"/>
  <c r="W303" i="35" s="1"/>
  <c r="AF541" i="35" s="1"/>
  <c r="I176" i="35"/>
  <c r="H173" i="35"/>
  <c r="AM432" i="35"/>
  <c r="AL442" i="35" s="1"/>
  <c r="AH406" i="35"/>
  <c r="AM396" i="35"/>
  <c r="AH470" i="35"/>
  <c r="AE391" i="35"/>
  <c r="AF362" i="35"/>
  <c r="AE507" i="35"/>
  <c r="AM470" i="35"/>
  <c r="AE471" i="35"/>
  <c r="AE407" i="35"/>
  <c r="AM397" i="35"/>
  <c r="AL407" i="35" s="1"/>
  <c r="AF428" i="35"/>
  <c r="AF391" i="35"/>
  <c r="T332" i="35"/>
  <c r="AE392" i="35"/>
  <c r="AE402" i="35" s="1"/>
  <c r="AE468" i="35"/>
  <c r="AE404" i="35"/>
  <c r="AE466" i="35"/>
  <c r="AE476" i="35" s="1"/>
  <c r="AE470" i="35"/>
  <c r="AE480" i="35" s="1"/>
  <c r="AH468" i="35"/>
  <c r="AH478" i="35" s="1"/>
  <c r="AM394" i="35"/>
  <c r="AL404" i="35" s="1"/>
  <c r="AH404" i="35"/>
  <c r="K36" i="9"/>
  <c r="G193" i="35"/>
  <c r="K32" i="9"/>
  <c r="G189" i="35"/>
  <c r="AE396" i="35"/>
  <c r="AL396" i="35" s="1"/>
  <c r="AM359" i="35"/>
  <c r="AH443" i="35"/>
  <c r="AM433" i="35"/>
  <c r="AL443" i="35" s="1"/>
  <c r="AE469" i="35"/>
  <c r="AL469" i="35" s="1"/>
  <c r="AE405" i="35"/>
  <c r="AE444" i="35"/>
  <c r="AM434" i="35"/>
  <c r="AL444" i="35" s="1"/>
  <c r="AF465" i="35"/>
  <c r="U332" i="35"/>
  <c r="AH514" i="35"/>
  <c r="AA515" i="35" s="1"/>
  <c r="AL504" i="35"/>
  <c r="J30" i="35"/>
  <c r="J41" i="35" s="1"/>
  <c r="R309" i="35"/>
  <c r="J31" i="35"/>
  <c r="J42" i="35" s="1"/>
  <c r="T309" i="35"/>
  <c r="AF502" i="35"/>
  <c r="V332" i="35"/>
  <c r="AM356" i="35"/>
  <c r="AH393" i="35"/>
  <c r="AM503" i="35"/>
  <c r="AH540" i="35"/>
  <c r="AL540" i="35" s="1"/>
  <c r="B24" i="18"/>
  <c r="G276" i="35" s="1"/>
  <c r="B22" i="18"/>
  <c r="G274" i="35" s="1"/>
  <c r="I31" i="35"/>
  <c r="I32" i="35"/>
  <c r="U304" i="35"/>
  <c r="I30" i="35"/>
  <c r="R304" i="35"/>
  <c r="H32" i="35"/>
  <c r="U300" i="35"/>
  <c r="AI466" i="35" s="1"/>
  <c r="H31" i="35"/>
  <c r="T300" i="35"/>
  <c r="H30" i="35"/>
  <c r="R300" i="35"/>
  <c r="O160" i="35"/>
  <c r="M161" i="35"/>
  <c r="O161" i="35" s="1"/>
  <c r="O59" i="35"/>
  <c r="L45" i="35"/>
  <c r="K45" i="35"/>
  <c r="I33" i="35"/>
  <c r="J33" i="35"/>
  <c r="G173" i="35"/>
  <c r="G174" i="35"/>
  <c r="C27" i="18"/>
  <c r="H279" i="35" s="1"/>
  <c r="J235" i="35" s="1"/>
  <c r="J236" i="35" s="1"/>
  <c r="R57" i="9"/>
  <c r="L5" i="11"/>
  <c r="W290" i="35" s="1"/>
  <c r="R56" i="9"/>
  <c r="K35" i="9"/>
  <c r="K33" i="9"/>
  <c r="K37" i="9"/>
  <c r="M28" i="9"/>
  <c r="B243" i="19"/>
  <c r="B242" i="19"/>
  <c r="B241" i="19"/>
  <c r="B240" i="19"/>
  <c r="B239" i="19"/>
  <c r="B238" i="19"/>
  <c r="B237" i="19"/>
  <c r="B236" i="19"/>
  <c r="B235" i="19"/>
  <c r="B234" i="19"/>
  <c r="K38" i="9"/>
  <c r="D4" i="19"/>
  <c r="D5" i="19"/>
  <c r="D6" i="19"/>
  <c r="D7" i="19"/>
  <c r="D8" i="19"/>
  <c r="D9" i="19"/>
  <c r="D10" i="19"/>
  <c r="D11" i="19"/>
  <c r="D12" i="19"/>
  <c r="D13" i="19"/>
  <c r="D14" i="19"/>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D43" i="19"/>
  <c r="D44" i="19"/>
  <c r="D45" i="19"/>
  <c r="D46" i="19"/>
  <c r="D47" i="19"/>
  <c r="D48" i="19"/>
  <c r="D49" i="19"/>
  <c r="D50" i="19"/>
  <c r="D51" i="19"/>
  <c r="D52" i="19"/>
  <c r="D53" i="19"/>
  <c r="D54" i="19"/>
  <c r="D55" i="19"/>
  <c r="D56" i="19"/>
  <c r="D57" i="19"/>
  <c r="D58" i="19"/>
  <c r="D59" i="19"/>
  <c r="D60" i="19"/>
  <c r="D61" i="19"/>
  <c r="D62" i="19"/>
  <c r="D63" i="19"/>
  <c r="D64" i="19"/>
  <c r="D65" i="19"/>
  <c r="D66" i="19"/>
  <c r="D67" i="19"/>
  <c r="D68" i="19"/>
  <c r="D69" i="19"/>
  <c r="D70" i="19"/>
  <c r="D71" i="19"/>
  <c r="D72" i="19"/>
  <c r="D73" i="19"/>
  <c r="D74" i="19"/>
  <c r="D75" i="19"/>
  <c r="D76" i="19"/>
  <c r="D77" i="19"/>
  <c r="D78" i="19"/>
  <c r="D79" i="19"/>
  <c r="D80" i="19"/>
  <c r="D81" i="19"/>
  <c r="D82" i="19"/>
  <c r="D83" i="19"/>
  <c r="D84" i="19"/>
  <c r="D85" i="19"/>
  <c r="D86" i="19"/>
  <c r="D87" i="19"/>
  <c r="D88" i="19"/>
  <c r="D89" i="19"/>
  <c r="D90" i="19"/>
  <c r="D91" i="19"/>
  <c r="D92" i="19"/>
  <c r="D93" i="19"/>
  <c r="D94" i="19"/>
  <c r="D95" i="19"/>
  <c r="D96" i="19"/>
  <c r="D97" i="19"/>
  <c r="D98" i="19"/>
  <c r="D99" i="19"/>
  <c r="D100" i="19"/>
  <c r="D101" i="19"/>
  <c r="D102" i="19"/>
  <c r="D103" i="19"/>
  <c r="D104" i="19"/>
  <c r="D105" i="19"/>
  <c r="D106" i="19"/>
  <c r="D107" i="19"/>
  <c r="D108" i="19"/>
  <c r="D109" i="19"/>
  <c r="D110" i="19"/>
  <c r="D159" i="19"/>
  <c r="D160" i="19"/>
  <c r="D161" i="19"/>
  <c r="D162" i="19"/>
  <c r="D163" i="19"/>
  <c r="D164" i="19"/>
  <c r="D165" i="19"/>
  <c r="D166" i="19"/>
  <c r="D167" i="19"/>
  <c r="D168" i="19"/>
  <c r="D169" i="19"/>
  <c r="D170" i="19"/>
  <c r="D171" i="19"/>
  <c r="D172" i="19"/>
  <c r="D173" i="19"/>
  <c r="D174" i="19"/>
  <c r="D175" i="19"/>
  <c r="D176" i="19"/>
  <c r="D177" i="19"/>
  <c r="D178" i="19"/>
  <c r="D179" i="19"/>
  <c r="D180" i="19"/>
  <c r="D181" i="19"/>
  <c r="D182" i="19"/>
  <c r="D183" i="19"/>
  <c r="D184" i="19"/>
  <c r="D185" i="19"/>
  <c r="D186" i="19"/>
  <c r="D187" i="19"/>
  <c r="D188" i="19"/>
  <c r="D189" i="19"/>
  <c r="D190" i="19"/>
  <c r="D191" i="19"/>
  <c r="D192" i="19"/>
  <c r="D193" i="19"/>
  <c r="D194" i="19"/>
  <c r="D195" i="19"/>
  <c r="D196" i="19"/>
  <c r="D197" i="19"/>
  <c r="D198" i="19"/>
  <c r="D199" i="19"/>
  <c r="D200" i="19"/>
  <c r="D201" i="19"/>
  <c r="D202" i="19"/>
  <c r="D203" i="19"/>
  <c r="D204" i="19"/>
  <c r="D205" i="19"/>
  <c r="D206" i="19"/>
  <c r="C4" i="19"/>
  <c r="C5" i="19"/>
  <c r="C6" i="19"/>
  <c r="C7" i="19"/>
  <c r="C8" i="19"/>
  <c r="C9" i="19"/>
  <c r="C10" i="19"/>
  <c r="C11" i="19"/>
  <c r="C12" i="19"/>
  <c r="C13" i="19"/>
  <c r="C14" i="19"/>
  <c r="C15" i="19"/>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45" i="19"/>
  <c r="C46" i="19"/>
  <c r="C47" i="19"/>
  <c r="C48" i="19"/>
  <c r="C49" i="19"/>
  <c r="C50" i="19"/>
  <c r="C51" i="19"/>
  <c r="C52" i="19"/>
  <c r="C53" i="19"/>
  <c r="C54" i="19"/>
  <c r="C55" i="19"/>
  <c r="C56" i="19"/>
  <c r="C57" i="19"/>
  <c r="C58" i="19"/>
  <c r="C59" i="19"/>
  <c r="C60" i="19"/>
  <c r="C61" i="19"/>
  <c r="C62" i="19"/>
  <c r="C63" i="19"/>
  <c r="C64" i="19"/>
  <c r="C65" i="19"/>
  <c r="C66" i="19"/>
  <c r="C67" i="19"/>
  <c r="C68" i="19"/>
  <c r="C69" i="19"/>
  <c r="C70" i="19"/>
  <c r="C71" i="19"/>
  <c r="C72" i="19"/>
  <c r="C73" i="19"/>
  <c r="C74" i="19"/>
  <c r="C75" i="19"/>
  <c r="C76" i="19"/>
  <c r="C77" i="19"/>
  <c r="C78" i="19"/>
  <c r="C79" i="19"/>
  <c r="C80" i="19"/>
  <c r="C81" i="19"/>
  <c r="C82" i="19"/>
  <c r="C83" i="19"/>
  <c r="C84" i="19"/>
  <c r="C85" i="19"/>
  <c r="C86" i="19"/>
  <c r="C87" i="19"/>
  <c r="C88" i="19"/>
  <c r="C89" i="19"/>
  <c r="C90" i="19"/>
  <c r="C91" i="19"/>
  <c r="C92" i="19"/>
  <c r="C93" i="19"/>
  <c r="C94" i="19"/>
  <c r="C95" i="19"/>
  <c r="C96" i="19"/>
  <c r="C97" i="19"/>
  <c r="C98" i="19"/>
  <c r="C99" i="19"/>
  <c r="C100" i="19"/>
  <c r="C101" i="19"/>
  <c r="C102" i="19"/>
  <c r="C103" i="19"/>
  <c r="C104" i="19"/>
  <c r="C105" i="19"/>
  <c r="C106" i="19"/>
  <c r="C107" i="19"/>
  <c r="C108" i="19"/>
  <c r="C109" i="19"/>
  <c r="C110" i="19"/>
  <c r="C159" i="19"/>
  <c r="C160" i="19"/>
  <c r="C161" i="19"/>
  <c r="C162" i="19"/>
  <c r="C163" i="19"/>
  <c r="C164" i="19"/>
  <c r="C165" i="19"/>
  <c r="C166" i="19"/>
  <c r="C167" i="19"/>
  <c r="C168" i="19"/>
  <c r="C169" i="19"/>
  <c r="C170" i="19"/>
  <c r="C171" i="19"/>
  <c r="C172" i="19"/>
  <c r="C173" i="19"/>
  <c r="C174" i="19"/>
  <c r="C175" i="19"/>
  <c r="C176" i="19"/>
  <c r="C177" i="19"/>
  <c r="C178" i="19"/>
  <c r="C179" i="19"/>
  <c r="C180" i="19"/>
  <c r="C181" i="19"/>
  <c r="C182" i="19"/>
  <c r="C183" i="19"/>
  <c r="C184" i="19"/>
  <c r="C185" i="19"/>
  <c r="C186" i="19"/>
  <c r="C187" i="19"/>
  <c r="C188" i="19"/>
  <c r="C189" i="19"/>
  <c r="C190" i="19"/>
  <c r="C191" i="19"/>
  <c r="C192" i="19"/>
  <c r="C193" i="19"/>
  <c r="C194" i="19"/>
  <c r="C195" i="19"/>
  <c r="C196" i="19"/>
  <c r="C197" i="19"/>
  <c r="C198" i="19"/>
  <c r="C199" i="19"/>
  <c r="C200" i="19"/>
  <c r="C201" i="19"/>
  <c r="C202" i="19"/>
  <c r="C203" i="19"/>
  <c r="C204" i="19"/>
  <c r="C205" i="19"/>
  <c r="C206" i="19"/>
  <c r="D3" i="19"/>
  <c r="C3" i="19"/>
  <c r="E256" i="24"/>
  <c r="F256" i="24"/>
  <c r="E257" i="24"/>
  <c r="F257" i="24"/>
  <c r="E258" i="24"/>
  <c r="F258" i="24"/>
  <c r="E259" i="24"/>
  <c r="F259" i="24"/>
  <c r="E260" i="24"/>
  <c r="F260" i="24"/>
  <c r="E261" i="24"/>
  <c r="F261" i="24"/>
  <c r="E262" i="24"/>
  <c r="F262" i="24"/>
  <c r="E263" i="24"/>
  <c r="F263" i="24"/>
  <c r="E264" i="24"/>
  <c r="F264" i="24"/>
  <c r="E265" i="24"/>
  <c r="F265" i="24"/>
  <c r="E266" i="24"/>
  <c r="F266" i="24"/>
  <c r="F255" i="24"/>
  <c r="E255" i="24"/>
  <c r="K27" i="9" l="1"/>
  <c r="K47" i="9" s="1"/>
  <c r="V309" i="35"/>
  <c r="K39" i="9"/>
  <c r="AL514" i="35"/>
  <c r="AE406" i="35"/>
  <c r="AE438" i="35"/>
  <c r="AF436" i="35"/>
  <c r="D14" i="17"/>
  <c r="I181" i="35"/>
  <c r="AL479" i="35"/>
  <c r="AE539" i="35"/>
  <c r="AF510" i="35"/>
  <c r="X507" i="35"/>
  <c r="AL507" i="35"/>
  <c r="AL517" i="35" s="1"/>
  <c r="AE517" i="35"/>
  <c r="AL508" i="35"/>
  <c r="AL518" i="35" s="1"/>
  <c r="AE518" i="35"/>
  <c r="AE479" i="35"/>
  <c r="AE578" i="35"/>
  <c r="AE551" i="35"/>
  <c r="AA546" i="35" s="1"/>
  <c r="AL393" i="35"/>
  <c r="AH403" i="35"/>
  <c r="AL470" i="35"/>
  <c r="AL480" i="35" s="1"/>
  <c r="AH480" i="35"/>
  <c r="AE467" i="35"/>
  <c r="AE403" i="35"/>
  <c r="AM393" i="35"/>
  <c r="AE516" i="35"/>
  <c r="AL506" i="35"/>
  <c r="AL516" i="35" s="1"/>
  <c r="AE502" i="35"/>
  <c r="AF473" i="35"/>
  <c r="AL468" i="35"/>
  <c r="AL478" i="35" s="1"/>
  <c r="AE478" i="35"/>
  <c r="AE465" i="35"/>
  <c r="AE401" i="35"/>
  <c r="AF399" i="35"/>
  <c r="AE481" i="35"/>
  <c r="AL471" i="35"/>
  <c r="AL481" i="35" s="1"/>
  <c r="AL406" i="35"/>
  <c r="AE440" i="35"/>
  <c r="AM430" i="35"/>
  <c r="AL440" i="35" s="1"/>
  <c r="AI392" i="35"/>
  <c r="AI429" i="35"/>
  <c r="AH503" i="35"/>
  <c r="AM466" i="35"/>
  <c r="AI355" i="35"/>
  <c r="M175" i="35"/>
  <c r="J45" i="35"/>
  <c r="I60" i="35"/>
  <c r="G175" i="35"/>
  <c r="B248" i="19"/>
  <c r="K28" i="9"/>
  <c r="K48" i="9" s="1"/>
  <c r="K61" i="9" s="1"/>
  <c r="K60" i="9"/>
  <c r="AL403" i="35" l="1"/>
  <c r="AE473" i="35"/>
  <c r="W507" i="35"/>
  <c r="AE510" i="35"/>
  <c r="AE512" i="35"/>
  <c r="AA507" i="35" s="1"/>
  <c r="M18" i="11"/>
  <c r="I182" i="35"/>
  <c r="AE547" i="35"/>
  <c r="AE475" i="35"/>
  <c r="AE477" i="35"/>
  <c r="AL467" i="35"/>
  <c r="AL477" i="35" s="1"/>
  <c r="AM392" i="35"/>
  <c r="AH466" i="35"/>
  <c r="AH392" i="35"/>
  <c r="AL392" i="35" s="1"/>
  <c r="AM355" i="35"/>
  <c r="AL503" i="35"/>
  <c r="AL513" i="35" s="1"/>
  <c r="AH513" i="35"/>
  <c r="AH439" i="35"/>
  <c r="AM429" i="35"/>
  <c r="AL439" i="35" s="1"/>
  <c r="L24" i="11"/>
  <c r="C12" i="18"/>
  <c r="H284" i="35" s="1"/>
  <c r="C13" i="18"/>
  <c r="H285" i="35" s="1"/>
  <c r="M24" i="11"/>
  <c r="D40" i="34"/>
  <c r="E40" i="34"/>
  <c r="G40" i="34"/>
  <c r="H40" i="34"/>
  <c r="J40" i="34"/>
  <c r="K40" i="34"/>
  <c r="M40" i="34"/>
  <c r="N40" i="34"/>
  <c r="P40" i="34"/>
  <c r="D45" i="34"/>
  <c r="E45" i="34"/>
  <c r="G45" i="34"/>
  <c r="H45" i="34"/>
  <c r="J45" i="34"/>
  <c r="K45" i="34"/>
  <c r="M45" i="34"/>
  <c r="N45" i="34"/>
  <c r="Q45" i="34"/>
  <c r="D59" i="34"/>
  <c r="E59" i="34"/>
  <c r="G59" i="34"/>
  <c r="H59" i="34"/>
  <c r="J59" i="34"/>
  <c r="K59" i="34"/>
  <c r="Q59" i="34" s="1"/>
  <c r="M59" i="34"/>
  <c r="N59" i="34"/>
  <c r="C593" i="34"/>
  <c r="D589" i="34" s="1"/>
  <c r="N586" i="34"/>
  <c r="N376" i="34" s="1"/>
  <c r="K584" i="34"/>
  <c r="G584" i="34"/>
  <c r="G586" i="34" s="1"/>
  <c r="G587" i="34" s="1"/>
  <c r="N93" i="34" s="1"/>
  <c r="E577" i="34"/>
  <c r="D577" i="34"/>
  <c r="Q576" i="34"/>
  <c r="P576" i="34"/>
  <c r="Q575" i="34"/>
  <c r="M575" i="34"/>
  <c r="P575" i="34" s="1"/>
  <c r="N574" i="34"/>
  <c r="N577" i="34" s="1"/>
  <c r="J574" i="34"/>
  <c r="J577" i="34" s="1"/>
  <c r="G574" i="34"/>
  <c r="G577" i="34" s="1"/>
  <c r="N571" i="34"/>
  <c r="M571" i="34"/>
  <c r="K571" i="34"/>
  <c r="J571" i="34"/>
  <c r="Q570" i="34"/>
  <c r="P570" i="34"/>
  <c r="Q569" i="34"/>
  <c r="P569" i="34"/>
  <c r="Q568" i="34"/>
  <c r="P568" i="34"/>
  <c r="G567" i="34"/>
  <c r="D567" i="34"/>
  <c r="H566" i="34"/>
  <c r="G566" i="34"/>
  <c r="D566" i="34"/>
  <c r="N563" i="34"/>
  <c r="M563" i="34"/>
  <c r="K563" i="34"/>
  <c r="J563" i="34"/>
  <c r="H563" i="34"/>
  <c r="G563" i="34"/>
  <c r="E563" i="34"/>
  <c r="D563" i="34"/>
  <c r="Q562" i="34"/>
  <c r="P562" i="34"/>
  <c r="Q561" i="34"/>
  <c r="P561" i="34"/>
  <c r="H558" i="34"/>
  <c r="G558" i="34"/>
  <c r="E558" i="34"/>
  <c r="D558" i="34"/>
  <c r="N557" i="34"/>
  <c r="N558" i="34" s="1"/>
  <c r="M557" i="34"/>
  <c r="M558" i="34" s="1"/>
  <c r="J557" i="34"/>
  <c r="J558" i="34" s="1"/>
  <c r="J554" i="34"/>
  <c r="G554" i="34"/>
  <c r="M553" i="34"/>
  <c r="P553" i="34" s="1"/>
  <c r="K553" i="34"/>
  <c r="K554" i="34" s="1"/>
  <c r="H553" i="34"/>
  <c r="D552" i="34"/>
  <c r="N551" i="34"/>
  <c r="N554" i="34" s="1"/>
  <c r="M551" i="34"/>
  <c r="P551" i="34" s="1"/>
  <c r="Q550" i="34"/>
  <c r="P550" i="34"/>
  <c r="Q549" i="34"/>
  <c r="P549" i="34"/>
  <c r="Q545" i="34"/>
  <c r="P545" i="34"/>
  <c r="Q544" i="34"/>
  <c r="P544" i="34"/>
  <c r="Q543" i="34"/>
  <c r="M543" i="34"/>
  <c r="J543" i="34"/>
  <c r="G542" i="34"/>
  <c r="D542" i="34"/>
  <c r="N541" i="34"/>
  <c r="Q541" i="34" s="1"/>
  <c r="M541" i="34"/>
  <c r="P541" i="34" s="1"/>
  <c r="Q540" i="34"/>
  <c r="P540" i="34"/>
  <c r="N539" i="34"/>
  <c r="M539" i="34"/>
  <c r="J539" i="34"/>
  <c r="G539" i="34"/>
  <c r="D539" i="34"/>
  <c r="Q531" i="34"/>
  <c r="P531" i="34"/>
  <c r="Q530" i="34"/>
  <c r="P530" i="34"/>
  <c r="M529" i="34"/>
  <c r="P529" i="34" s="1"/>
  <c r="Q528" i="34"/>
  <c r="P528" i="34"/>
  <c r="N527" i="34"/>
  <c r="M527" i="34"/>
  <c r="J527" i="34"/>
  <c r="G527" i="34"/>
  <c r="D527" i="34"/>
  <c r="N526" i="34"/>
  <c r="M526" i="34"/>
  <c r="J526" i="34"/>
  <c r="G526" i="34"/>
  <c r="D526" i="34"/>
  <c r="N525" i="34"/>
  <c r="M525" i="34"/>
  <c r="J525" i="34"/>
  <c r="G525" i="34"/>
  <c r="D525" i="34"/>
  <c r="N524" i="34"/>
  <c r="M524" i="34"/>
  <c r="J524" i="34"/>
  <c r="G524" i="34"/>
  <c r="D524" i="34"/>
  <c r="M523" i="34"/>
  <c r="J523" i="34"/>
  <c r="G523" i="34"/>
  <c r="D523" i="34"/>
  <c r="E506" i="34"/>
  <c r="Q506" i="34" s="1"/>
  <c r="D506" i="34"/>
  <c r="P506" i="34" s="1"/>
  <c r="E500" i="34"/>
  <c r="D500" i="34"/>
  <c r="E492" i="34"/>
  <c r="D492" i="34"/>
  <c r="E487" i="34"/>
  <c r="Q487" i="34" s="1"/>
  <c r="D487" i="34"/>
  <c r="P487" i="34" s="1"/>
  <c r="E483" i="34"/>
  <c r="Q483" i="34" s="1"/>
  <c r="D483" i="34"/>
  <c r="P483" i="34" s="1"/>
  <c r="E467" i="34"/>
  <c r="D467" i="34"/>
  <c r="M538" i="34" s="1"/>
  <c r="E466" i="34"/>
  <c r="D466" i="34"/>
  <c r="M537" i="34" s="1"/>
  <c r="E465" i="34"/>
  <c r="D465" i="34"/>
  <c r="M536" i="34" s="1"/>
  <c r="E464" i="34"/>
  <c r="D464" i="34"/>
  <c r="M535" i="34" s="1"/>
  <c r="E461" i="34"/>
  <c r="Q461" i="34" s="1"/>
  <c r="D461" i="34"/>
  <c r="P461" i="34" s="1"/>
  <c r="Q449" i="34"/>
  <c r="P449" i="34"/>
  <c r="N449" i="34"/>
  <c r="M449" i="34"/>
  <c r="K449" i="34"/>
  <c r="J449" i="34"/>
  <c r="H449" i="34"/>
  <c r="G449" i="34"/>
  <c r="E449" i="34"/>
  <c r="D449" i="34"/>
  <c r="M430" i="34"/>
  <c r="K430" i="34"/>
  <c r="J430" i="34"/>
  <c r="H430" i="34"/>
  <c r="G430" i="34"/>
  <c r="E430" i="34"/>
  <c r="D430" i="34"/>
  <c r="N427" i="34"/>
  <c r="N430" i="34" s="1"/>
  <c r="N424" i="34"/>
  <c r="M424" i="34"/>
  <c r="K424" i="34"/>
  <c r="J424" i="34"/>
  <c r="H424" i="34"/>
  <c r="G424" i="34"/>
  <c r="E424" i="34"/>
  <c r="D424" i="34"/>
  <c r="N416" i="34"/>
  <c r="M416" i="34"/>
  <c r="K416" i="34"/>
  <c r="J416" i="34"/>
  <c r="H416" i="34"/>
  <c r="G416" i="34"/>
  <c r="E416" i="34"/>
  <c r="D416" i="34"/>
  <c r="M411" i="34"/>
  <c r="K411" i="34"/>
  <c r="J411" i="34"/>
  <c r="H411" i="34"/>
  <c r="G411" i="34"/>
  <c r="E411" i="34"/>
  <c r="D411" i="34"/>
  <c r="N410" i="34"/>
  <c r="N407" i="34"/>
  <c r="M407" i="34"/>
  <c r="K407" i="34"/>
  <c r="J407" i="34"/>
  <c r="H407" i="34"/>
  <c r="G407" i="34"/>
  <c r="E407" i="34"/>
  <c r="D407" i="34"/>
  <c r="M399" i="34"/>
  <c r="K399" i="34"/>
  <c r="J399" i="34"/>
  <c r="H399" i="34"/>
  <c r="G399" i="34"/>
  <c r="E390" i="34"/>
  <c r="BO58" i="23" s="1"/>
  <c r="D390" i="34"/>
  <c r="D317" i="34" s="1"/>
  <c r="J537" i="34" s="1"/>
  <c r="E389" i="34"/>
  <c r="BO57" i="23" s="1"/>
  <c r="D389" i="34"/>
  <c r="E388" i="34"/>
  <c r="BO56" i="23" s="1"/>
  <c r="D388" i="34"/>
  <c r="D315" i="34" s="1"/>
  <c r="J535" i="34" s="1"/>
  <c r="M385" i="34"/>
  <c r="K385" i="34"/>
  <c r="J385" i="34"/>
  <c r="H385" i="34"/>
  <c r="G385" i="34"/>
  <c r="E385" i="34"/>
  <c r="D385" i="34"/>
  <c r="N379" i="34"/>
  <c r="N378" i="34"/>
  <c r="Q373" i="34"/>
  <c r="P373" i="34"/>
  <c r="N373" i="34"/>
  <c r="M373" i="34"/>
  <c r="K373" i="34"/>
  <c r="J373" i="34"/>
  <c r="H373" i="34"/>
  <c r="G373" i="34"/>
  <c r="E373" i="34"/>
  <c r="D373" i="34"/>
  <c r="N357" i="34"/>
  <c r="M357" i="34"/>
  <c r="K357" i="34"/>
  <c r="J357" i="34"/>
  <c r="H357" i="34"/>
  <c r="G357" i="34"/>
  <c r="E357" i="34"/>
  <c r="D357" i="34"/>
  <c r="N351" i="34"/>
  <c r="M351" i="34"/>
  <c r="K351" i="34"/>
  <c r="J351" i="34"/>
  <c r="H351" i="34"/>
  <c r="G351" i="34"/>
  <c r="E351" i="34"/>
  <c r="D351" i="34"/>
  <c r="N343" i="34"/>
  <c r="M343" i="34"/>
  <c r="K343" i="34"/>
  <c r="J343" i="34"/>
  <c r="H343" i="34"/>
  <c r="G343" i="34"/>
  <c r="E343" i="34"/>
  <c r="D343" i="34"/>
  <c r="M338" i="34"/>
  <c r="K338" i="34"/>
  <c r="J338" i="34"/>
  <c r="H338" i="34"/>
  <c r="G338" i="34"/>
  <c r="E338" i="34"/>
  <c r="D338" i="34"/>
  <c r="N337" i="34"/>
  <c r="N338" i="34" s="1"/>
  <c r="N334" i="34"/>
  <c r="M334" i="34"/>
  <c r="K334" i="34"/>
  <c r="J334" i="34"/>
  <c r="H334" i="34"/>
  <c r="G334" i="34"/>
  <c r="E334" i="34"/>
  <c r="D334" i="34"/>
  <c r="M326" i="34"/>
  <c r="K326" i="34"/>
  <c r="J326" i="34"/>
  <c r="H326" i="34"/>
  <c r="G326" i="34"/>
  <c r="N319" i="34"/>
  <c r="M312" i="34"/>
  <c r="K312" i="34"/>
  <c r="J312" i="34"/>
  <c r="H312" i="34"/>
  <c r="G312" i="34"/>
  <c r="E312" i="34"/>
  <c r="D312" i="34"/>
  <c r="N311" i="34"/>
  <c r="N310" i="34"/>
  <c r="N309" i="34"/>
  <c r="K529" i="34" s="1"/>
  <c r="Q529" i="34" s="1"/>
  <c r="N308" i="34"/>
  <c r="N307" i="34"/>
  <c r="K527" i="34" s="1"/>
  <c r="N306" i="34"/>
  <c r="N305" i="34"/>
  <c r="N304" i="34"/>
  <c r="K524" i="34" s="1"/>
  <c r="N303" i="34"/>
  <c r="Q300" i="34"/>
  <c r="P300" i="34"/>
  <c r="N300" i="34"/>
  <c r="M300" i="34"/>
  <c r="K300" i="34"/>
  <c r="J300" i="34"/>
  <c r="H300" i="34"/>
  <c r="G300" i="34"/>
  <c r="E300" i="34"/>
  <c r="D300" i="34"/>
  <c r="M280" i="34"/>
  <c r="J280" i="34"/>
  <c r="H280" i="34"/>
  <c r="G280" i="34"/>
  <c r="E280" i="34"/>
  <c r="D280" i="34"/>
  <c r="K277" i="34"/>
  <c r="K280" i="34" s="1"/>
  <c r="N274" i="34"/>
  <c r="M274" i="34"/>
  <c r="K274" i="34"/>
  <c r="J274" i="34"/>
  <c r="H274" i="34"/>
  <c r="G274" i="34"/>
  <c r="E274" i="34"/>
  <c r="D274" i="34"/>
  <c r="N266" i="34"/>
  <c r="M266" i="34"/>
  <c r="K266" i="34"/>
  <c r="J266" i="34"/>
  <c r="H266" i="34"/>
  <c r="G266" i="34"/>
  <c r="E266" i="34"/>
  <c r="D266" i="34"/>
  <c r="N261" i="34"/>
  <c r="M261" i="34"/>
  <c r="K261" i="34"/>
  <c r="J261" i="34"/>
  <c r="H261" i="34"/>
  <c r="G261" i="34"/>
  <c r="E261" i="34"/>
  <c r="D261" i="34"/>
  <c r="N257" i="34"/>
  <c r="M257" i="34"/>
  <c r="K257" i="34"/>
  <c r="J257" i="34"/>
  <c r="H257" i="34"/>
  <c r="G257" i="34"/>
  <c r="E257" i="34"/>
  <c r="D257" i="34"/>
  <c r="M249" i="34"/>
  <c r="J249" i="34"/>
  <c r="H249" i="34"/>
  <c r="G249" i="34"/>
  <c r="K245" i="34"/>
  <c r="N245" i="34" s="1"/>
  <c r="N242" i="34"/>
  <c r="E239" i="34"/>
  <c r="BN37" i="23" s="1"/>
  <c r="D239" i="34"/>
  <c r="D166" i="34" s="1"/>
  <c r="G536" i="34" s="1"/>
  <c r="E238" i="34"/>
  <c r="BN36" i="23" s="1"/>
  <c r="D238" i="34"/>
  <c r="M235" i="34"/>
  <c r="J235" i="34"/>
  <c r="H235" i="34"/>
  <c r="G235" i="34"/>
  <c r="E235" i="34"/>
  <c r="D235" i="34"/>
  <c r="K228" i="34"/>
  <c r="K235" i="34" s="1"/>
  <c r="Q223" i="34"/>
  <c r="P223" i="34"/>
  <c r="N223" i="34"/>
  <c r="M223" i="34"/>
  <c r="K223" i="34"/>
  <c r="J223" i="34"/>
  <c r="H223" i="34"/>
  <c r="G223" i="34"/>
  <c r="E223" i="34"/>
  <c r="D223" i="34"/>
  <c r="N207" i="34"/>
  <c r="M207" i="34"/>
  <c r="K207" i="34"/>
  <c r="J207" i="34"/>
  <c r="H207" i="34"/>
  <c r="G207" i="34"/>
  <c r="E207" i="34"/>
  <c r="D207" i="34"/>
  <c r="M201" i="34"/>
  <c r="J201" i="34"/>
  <c r="H201" i="34"/>
  <c r="G201" i="34"/>
  <c r="E201" i="34"/>
  <c r="D201" i="34"/>
  <c r="K197" i="34"/>
  <c r="K201" i="34" s="1"/>
  <c r="N193" i="34"/>
  <c r="M193" i="34"/>
  <c r="K193" i="34"/>
  <c r="J193" i="34"/>
  <c r="H193" i="34"/>
  <c r="G193" i="34"/>
  <c r="E193" i="34"/>
  <c r="D193" i="34"/>
  <c r="N188" i="34"/>
  <c r="M188" i="34"/>
  <c r="K188" i="34"/>
  <c r="J188" i="34"/>
  <c r="H188" i="34"/>
  <c r="G188" i="34"/>
  <c r="E188" i="34"/>
  <c r="D188" i="34"/>
  <c r="N184" i="34"/>
  <c r="M184" i="34"/>
  <c r="K184" i="34"/>
  <c r="J184" i="34"/>
  <c r="H184" i="34"/>
  <c r="G184" i="34"/>
  <c r="E184" i="34"/>
  <c r="D184" i="34"/>
  <c r="M176" i="34"/>
  <c r="J176" i="34"/>
  <c r="H176" i="34"/>
  <c r="G176" i="34"/>
  <c r="K172" i="34"/>
  <c r="N172" i="34" s="1"/>
  <c r="K169" i="34"/>
  <c r="N169" i="34" s="1"/>
  <c r="M162" i="34"/>
  <c r="J162" i="34"/>
  <c r="H162" i="34"/>
  <c r="G162" i="34"/>
  <c r="E162" i="34"/>
  <c r="D162" i="34"/>
  <c r="K157" i="34"/>
  <c r="N157" i="34" s="1"/>
  <c r="K156" i="34"/>
  <c r="N156" i="34" s="1"/>
  <c r="K155" i="34"/>
  <c r="N155" i="34" s="1"/>
  <c r="K154" i="34"/>
  <c r="N154" i="34" s="1"/>
  <c r="H524" i="34" s="1"/>
  <c r="K153" i="34"/>
  <c r="Q150" i="34"/>
  <c r="P150" i="34"/>
  <c r="N150" i="34"/>
  <c r="M150" i="34"/>
  <c r="K150" i="34"/>
  <c r="J150" i="34"/>
  <c r="H150" i="34"/>
  <c r="G150" i="34"/>
  <c r="E150" i="34"/>
  <c r="D150" i="34"/>
  <c r="N131" i="34"/>
  <c r="M131" i="34"/>
  <c r="K131" i="34"/>
  <c r="J131" i="34"/>
  <c r="H131" i="34"/>
  <c r="G131" i="34"/>
  <c r="E131" i="34"/>
  <c r="D131" i="34"/>
  <c r="N125" i="34"/>
  <c r="M125" i="34"/>
  <c r="K125" i="34"/>
  <c r="J125" i="34"/>
  <c r="H125" i="34"/>
  <c r="G125" i="34"/>
  <c r="E125" i="34"/>
  <c r="D125" i="34"/>
  <c r="N117" i="34"/>
  <c r="M117" i="34"/>
  <c r="K117" i="34"/>
  <c r="J117" i="34"/>
  <c r="H117" i="34"/>
  <c r="G117" i="34"/>
  <c r="E117" i="34"/>
  <c r="D117" i="34"/>
  <c r="N112" i="34"/>
  <c r="M112" i="34"/>
  <c r="K112" i="34"/>
  <c r="J112" i="34"/>
  <c r="H112" i="34"/>
  <c r="G112" i="34"/>
  <c r="E112" i="34"/>
  <c r="D112" i="34"/>
  <c r="N108" i="34"/>
  <c r="M108" i="34"/>
  <c r="K108" i="34"/>
  <c r="J108" i="34"/>
  <c r="H108" i="34"/>
  <c r="G108" i="34"/>
  <c r="E108" i="34"/>
  <c r="D108" i="34"/>
  <c r="M100" i="34"/>
  <c r="J100" i="34"/>
  <c r="G100" i="34"/>
  <c r="H96" i="34"/>
  <c r="E91" i="34"/>
  <c r="BM21" i="23" s="1"/>
  <c r="D91" i="34"/>
  <c r="D19" i="34" s="1"/>
  <c r="D537" i="34" s="1"/>
  <c r="E90" i="34"/>
  <c r="BM20" i="23" s="1"/>
  <c r="D90" i="34"/>
  <c r="D18" i="34" s="1"/>
  <c r="E89" i="34"/>
  <c r="BM19" i="23" s="1"/>
  <c r="D89" i="34"/>
  <c r="M86" i="34"/>
  <c r="J86" i="34"/>
  <c r="G86" i="34"/>
  <c r="E86" i="34"/>
  <c r="D86" i="34"/>
  <c r="H81" i="34"/>
  <c r="K81" i="34" s="1"/>
  <c r="N81" i="34" s="1"/>
  <c r="H80" i="34"/>
  <c r="K80" i="34" s="1"/>
  <c r="N80" i="34" s="1"/>
  <c r="H79" i="34"/>
  <c r="K79" i="34" s="1"/>
  <c r="N79" i="34" s="1"/>
  <c r="Q74" i="34"/>
  <c r="P74" i="34"/>
  <c r="N74" i="34"/>
  <c r="M74" i="34"/>
  <c r="K74" i="34"/>
  <c r="J74" i="34"/>
  <c r="H74" i="34"/>
  <c r="G74" i="34"/>
  <c r="E74" i="34"/>
  <c r="D74" i="34"/>
  <c r="M53" i="34"/>
  <c r="J53" i="34"/>
  <c r="G53" i="34"/>
  <c r="E53" i="34"/>
  <c r="D53" i="34"/>
  <c r="H49" i="34"/>
  <c r="H48" i="34"/>
  <c r="M36" i="34"/>
  <c r="J36" i="34"/>
  <c r="G36" i="34"/>
  <c r="E36" i="34"/>
  <c r="D36" i="34"/>
  <c r="H34" i="34"/>
  <c r="H36" i="34" s="1"/>
  <c r="M28" i="34"/>
  <c r="J28" i="34"/>
  <c r="G28" i="34"/>
  <c r="H21" i="34"/>
  <c r="M14" i="34"/>
  <c r="J14" i="34"/>
  <c r="G14" i="34"/>
  <c r="D14" i="34"/>
  <c r="E13" i="34"/>
  <c r="H13" i="34" s="1"/>
  <c r="K13" i="34" s="1"/>
  <c r="N13" i="34" s="1"/>
  <c r="E12" i="34"/>
  <c r="H12" i="34" s="1"/>
  <c r="K12" i="34" s="1"/>
  <c r="N12" i="34" s="1"/>
  <c r="E11" i="34"/>
  <c r="H11" i="34" s="1"/>
  <c r="K11" i="34" s="1"/>
  <c r="N11" i="34" s="1"/>
  <c r="H10" i="34"/>
  <c r="H9" i="34"/>
  <c r="BU23" i="23" l="1"/>
  <c r="BU59" i="23"/>
  <c r="BU39" i="23"/>
  <c r="X303" i="35"/>
  <c r="AF578" i="35" s="1"/>
  <c r="AE588" i="35" s="1"/>
  <c r="AA583" i="35" s="1"/>
  <c r="I61" i="35"/>
  <c r="AA514" i="35"/>
  <c r="AP513" i="35"/>
  <c r="AH402" i="35"/>
  <c r="AL402" i="35"/>
  <c r="AL466" i="35"/>
  <c r="AL476" i="35" s="1"/>
  <c r="AH476" i="35"/>
  <c r="W309" i="35"/>
  <c r="X309" i="35"/>
  <c r="Y309" i="35" s="1"/>
  <c r="J47" i="35"/>
  <c r="J46" i="35"/>
  <c r="L25" i="11"/>
  <c r="M25" i="11"/>
  <c r="N390" i="34"/>
  <c r="H90" i="34"/>
  <c r="N536" i="34"/>
  <c r="N538" i="34"/>
  <c r="Q538" i="34" s="1"/>
  <c r="N389" i="34"/>
  <c r="H89" i="34"/>
  <c r="H91" i="34"/>
  <c r="N537" i="34"/>
  <c r="P45" i="34"/>
  <c r="Q40" i="34"/>
  <c r="Q125" i="34"/>
  <c r="G61" i="34"/>
  <c r="P59" i="34"/>
  <c r="Q257" i="34"/>
  <c r="Q261" i="34"/>
  <c r="Q274" i="34"/>
  <c r="P407" i="34"/>
  <c r="P416" i="34"/>
  <c r="K9" i="34"/>
  <c r="N9" i="34" s="1"/>
  <c r="K162" i="34"/>
  <c r="E316" i="34"/>
  <c r="BO48" i="23" s="1"/>
  <c r="Q407" i="34"/>
  <c r="E475" i="34"/>
  <c r="Q475" i="34" s="1"/>
  <c r="N153" i="34"/>
  <c r="N197" i="34"/>
  <c r="N201" i="34" s="1"/>
  <c r="Q201" i="34" s="1"/>
  <c r="P257" i="34"/>
  <c r="P261" i="34"/>
  <c r="P274" i="34"/>
  <c r="K526" i="34"/>
  <c r="D587" i="34"/>
  <c r="E18" i="34"/>
  <c r="BM9" i="23" s="1"/>
  <c r="P351" i="34"/>
  <c r="P357" i="34"/>
  <c r="P385" i="34"/>
  <c r="E399" i="34"/>
  <c r="E432" i="34" s="1"/>
  <c r="P14" i="34"/>
  <c r="E17" i="34"/>
  <c r="BM8" i="23" s="1"/>
  <c r="Q108" i="34"/>
  <c r="M282" i="34"/>
  <c r="E317" i="34"/>
  <c r="BO49" i="23" s="1"/>
  <c r="Q334" i="34"/>
  <c r="P338" i="34"/>
  <c r="Q351" i="34"/>
  <c r="Q357" i="34"/>
  <c r="G432" i="34"/>
  <c r="P543" i="34"/>
  <c r="Q551" i="34"/>
  <c r="P280" i="34"/>
  <c r="E315" i="34"/>
  <c r="BO47" i="23" s="1"/>
  <c r="Q553" i="34"/>
  <c r="D592" i="34"/>
  <c r="M61" i="34"/>
  <c r="D100" i="34"/>
  <c r="P100" i="34" s="1"/>
  <c r="P108" i="34"/>
  <c r="P112" i="34"/>
  <c r="P117" i="34"/>
  <c r="P125" i="34"/>
  <c r="Q131" i="34"/>
  <c r="N162" i="34"/>
  <c r="Q162" i="34" s="1"/>
  <c r="Q184" i="34"/>
  <c r="Q193" i="34"/>
  <c r="P312" i="34"/>
  <c r="M432" i="34"/>
  <c r="P563" i="34"/>
  <c r="P424" i="34"/>
  <c r="D532" i="34"/>
  <c r="N532" i="34"/>
  <c r="Q563" i="34"/>
  <c r="G571" i="34"/>
  <c r="K34" i="34"/>
  <c r="K36" i="34" s="1"/>
  <c r="N77" i="34"/>
  <c r="Q112" i="34"/>
  <c r="P184" i="34"/>
  <c r="P193" i="34"/>
  <c r="N228" i="34"/>
  <c r="N235" i="34" s="1"/>
  <c r="Q235" i="34" s="1"/>
  <c r="E249" i="34"/>
  <c r="E282" i="34" s="1"/>
  <c r="P524" i="34"/>
  <c r="P542" i="34"/>
  <c r="D571" i="34"/>
  <c r="H209" i="34"/>
  <c r="K432" i="34"/>
  <c r="E14" i="34"/>
  <c r="D17" i="34"/>
  <c r="D535" i="34" s="1"/>
  <c r="P36" i="34"/>
  <c r="K49" i="34"/>
  <c r="N49" i="34" s="1"/>
  <c r="Q117" i="34"/>
  <c r="P131" i="34"/>
  <c r="J133" i="34"/>
  <c r="P162" i="34"/>
  <c r="G282" i="34"/>
  <c r="K525" i="34"/>
  <c r="N388" i="34"/>
  <c r="G532" i="34"/>
  <c r="P527" i="34"/>
  <c r="D588" i="34"/>
  <c r="P537" i="34"/>
  <c r="P53" i="34"/>
  <c r="G133" i="34"/>
  <c r="M133" i="34"/>
  <c r="Q207" i="34"/>
  <c r="P334" i="34"/>
  <c r="N535" i="34"/>
  <c r="P539" i="34"/>
  <c r="J61" i="34"/>
  <c r="P86" i="34"/>
  <c r="N312" i="34"/>
  <c r="Q312" i="34" s="1"/>
  <c r="J359" i="34"/>
  <c r="K557" i="34"/>
  <c r="Q557" i="34" s="1"/>
  <c r="Q416" i="34"/>
  <c r="M532" i="34"/>
  <c r="H554" i="34"/>
  <c r="K86" i="34"/>
  <c r="E525" i="34"/>
  <c r="K21" i="34"/>
  <c r="N21" i="34" s="1"/>
  <c r="D536" i="34"/>
  <c r="H53" i="34"/>
  <c r="K48" i="34"/>
  <c r="H86" i="34"/>
  <c r="H539" i="34"/>
  <c r="P188" i="34"/>
  <c r="H282" i="34"/>
  <c r="K359" i="34"/>
  <c r="P526" i="34"/>
  <c r="K10" i="34"/>
  <c r="E527" i="34"/>
  <c r="E19" i="34"/>
  <c r="BM10" i="23" s="1"/>
  <c r="K96" i="34"/>
  <c r="N96" i="34" s="1"/>
  <c r="H526" i="34"/>
  <c r="H542" i="34"/>
  <c r="D399" i="34"/>
  <c r="P399" i="34" s="1"/>
  <c r="D316" i="34"/>
  <c r="J536" i="34" s="1"/>
  <c r="J546" i="34" s="1"/>
  <c r="P538" i="34"/>
  <c r="M546" i="34"/>
  <c r="H14" i="34"/>
  <c r="E100" i="34"/>
  <c r="E133" i="34" s="1"/>
  <c r="P201" i="34"/>
  <c r="J209" i="34"/>
  <c r="D249" i="34"/>
  <c r="P249" i="34" s="1"/>
  <c r="D165" i="34"/>
  <c r="N385" i="34"/>
  <c r="Q385" i="34" s="1"/>
  <c r="P266" i="34"/>
  <c r="P343" i="34"/>
  <c r="G359" i="34"/>
  <c r="M359" i="34"/>
  <c r="N411" i="34"/>
  <c r="Q424" i="34"/>
  <c r="J432" i="34"/>
  <c r="P430" i="34"/>
  <c r="M577" i="34"/>
  <c r="P577" i="34" s="1"/>
  <c r="H523" i="34"/>
  <c r="H527" i="34"/>
  <c r="Q188" i="34"/>
  <c r="P207" i="34"/>
  <c r="E166" i="34"/>
  <c r="BN30" i="23" s="1"/>
  <c r="K239" i="34"/>
  <c r="Q266" i="34"/>
  <c r="Q343" i="34"/>
  <c r="H359" i="34"/>
  <c r="P411" i="34"/>
  <c r="Q430" i="34"/>
  <c r="M554" i="34"/>
  <c r="P558" i="34"/>
  <c r="P566" i="34"/>
  <c r="K574" i="34"/>
  <c r="K577" i="34" s="1"/>
  <c r="N587" i="34"/>
  <c r="N392" i="34"/>
  <c r="E526" i="34"/>
  <c r="G209" i="34"/>
  <c r="M209" i="34"/>
  <c r="P235" i="34"/>
  <c r="E165" i="34"/>
  <c r="BN29" i="23" s="1"/>
  <c r="K238" i="34"/>
  <c r="J282" i="34"/>
  <c r="Q338" i="34"/>
  <c r="H432" i="34"/>
  <c r="J532" i="34"/>
  <c r="P525" i="34"/>
  <c r="P552" i="34"/>
  <c r="D554" i="34"/>
  <c r="P557" i="34"/>
  <c r="P567" i="34"/>
  <c r="P574" i="34"/>
  <c r="D591" i="34"/>
  <c r="D590" i="34"/>
  <c r="D586" i="34"/>
  <c r="N277" i="34"/>
  <c r="N280" i="34" s="1"/>
  <c r="Q280" i="34" s="1"/>
  <c r="D475" i="34"/>
  <c r="P475" i="34" s="1"/>
  <c r="P508" i="34" s="1"/>
  <c r="P523" i="34"/>
  <c r="W310" i="35" l="1"/>
  <c r="AI542" i="35" s="1"/>
  <c r="P601" i="34"/>
  <c r="Q508" i="34"/>
  <c r="BV72" i="23"/>
  <c r="BO80" i="23"/>
  <c r="AY53" i="23" s="1"/>
  <c r="AY66" i="23" s="1"/>
  <c r="U10" i="23" s="1"/>
  <c r="BO81" i="23"/>
  <c r="AY54" i="23" s="1"/>
  <c r="AY67" i="23" s="1"/>
  <c r="AA10" i="23" s="1"/>
  <c r="BO78" i="23"/>
  <c r="BU50" i="23"/>
  <c r="BO84" i="23"/>
  <c r="BO79" i="23"/>
  <c r="AY52" i="23" s="1"/>
  <c r="AY65" i="23" s="1"/>
  <c r="O10" i="23" s="1"/>
  <c r="BO76" i="23"/>
  <c r="BM80" i="23"/>
  <c r="AW53" i="23" s="1"/>
  <c r="AW66" i="23" s="1"/>
  <c r="U8" i="23" s="1"/>
  <c r="BM76" i="23"/>
  <c r="BM81" i="23"/>
  <c r="AW54" i="23" s="1"/>
  <c r="AW67" i="23" s="1"/>
  <c r="AA8" i="23" s="1"/>
  <c r="BM78" i="23"/>
  <c r="BM79" i="23"/>
  <c r="AW52" i="23" s="1"/>
  <c r="AW65" i="23" s="1"/>
  <c r="O8" i="23" s="1"/>
  <c r="BU11" i="23"/>
  <c r="BN84" i="23"/>
  <c r="BN76" i="23"/>
  <c r="BN80" i="23"/>
  <c r="AX53" i="23" s="1"/>
  <c r="AX66" i="23" s="1"/>
  <c r="U9" i="23" s="1"/>
  <c r="BN81" i="23"/>
  <c r="AX54" i="23" s="1"/>
  <c r="AX67" i="23" s="1"/>
  <c r="AA9" i="23" s="1"/>
  <c r="BN79" i="23"/>
  <c r="AX52" i="23" s="1"/>
  <c r="AX65" i="23" s="1"/>
  <c r="O9" i="23" s="1"/>
  <c r="BU32" i="23"/>
  <c r="BN78" i="23"/>
  <c r="R18" i="34"/>
  <c r="R19" i="34"/>
  <c r="R17" i="34"/>
  <c r="X310" i="35"/>
  <c r="AI579" i="35" s="1"/>
  <c r="AM579" i="35" s="1"/>
  <c r="AH579" i="35"/>
  <c r="AM542" i="35"/>
  <c r="AL552" i="35" s="1"/>
  <c r="AH552" i="35"/>
  <c r="AA553" i="35" s="1"/>
  <c r="H100" i="34"/>
  <c r="H133" i="34" s="1"/>
  <c r="K89" i="34"/>
  <c r="N89" i="34" s="1"/>
  <c r="N546" i="34"/>
  <c r="N579" i="34" s="1"/>
  <c r="BX75" i="23" s="1"/>
  <c r="N239" i="34"/>
  <c r="N315" i="34"/>
  <c r="H17" i="34"/>
  <c r="N316" i="34"/>
  <c r="K91" i="34"/>
  <c r="K90" i="34"/>
  <c r="N317" i="34"/>
  <c r="H18" i="34"/>
  <c r="E523" i="34"/>
  <c r="Q523" i="34" s="1"/>
  <c r="E508" i="34"/>
  <c r="BY75" i="23" s="1"/>
  <c r="Q527" i="34"/>
  <c r="E326" i="34"/>
  <c r="E359" i="34" s="1"/>
  <c r="BY61" i="23" s="1"/>
  <c r="H567" i="34"/>
  <c r="H571" i="34" s="1"/>
  <c r="D326" i="34"/>
  <c r="D359" i="34" s="1"/>
  <c r="H525" i="34"/>
  <c r="Q525" i="34" s="1"/>
  <c r="P133" i="34"/>
  <c r="P571" i="34"/>
  <c r="P554" i="34"/>
  <c r="D133" i="34"/>
  <c r="N86" i="34"/>
  <c r="Q86" i="34" s="1"/>
  <c r="D546" i="34"/>
  <c r="D579" i="34" s="1"/>
  <c r="N34" i="34"/>
  <c r="N36" i="34" s="1"/>
  <c r="Q36" i="34" s="1"/>
  <c r="D432" i="34"/>
  <c r="K558" i="34"/>
  <c r="Q558" i="34" s="1"/>
  <c r="D282" i="34"/>
  <c r="E542" i="34"/>
  <c r="Q542" i="34" s="1"/>
  <c r="N10" i="34"/>
  <c r="D28" i="34"/>
  <c r="M579" i="34"/>
  <c r="Q526" i="34"/>
  <c r="E552" i="34"/>
  <c r="E554" i="34" s="1"/>
  <c r="Q554" i="34" s="1"/>
  <c r="P432" i="34"/>
  <c r="K532" i="34"/>
  <c r="K14" i="34"/>
  <c r="K539" i="34"/>
  <c r="P282" i="34"/>
  <c r="E567" i="34"/>
  <c r="H19" i="34"/>
  <c r="D508" i="34"/>
  <c r="E176" i="34"/>
  <c r="K165" i="34"/>
  <c r="Q411" i="34"/>
  <c r="P532" i="34"/>
  <c r="G535" i="34"/>
  <c r="D176" i="34"/>
  <c r="N399" i="34"/>
  <c r="Q399" i="34" s="1"/>
  <c r="BV59" i="23" s="1"/>
  <c r="E539" i="34"/>
  <c r="E28" i="34"/>
  <c r="E61" i="34" s="1"/>
  <c r="BY23" i="23" s="1"/>
  <c r="K166" i="34"/>
  <c r="K53" i="34"/>
  <c r="N48" i="34"/>
  <c r="N53" i="34" s="1"/>
  <c r="J579" i="34"/>
  <c r="N238" i="34"/>
  <c r="K249" i="34"/>
  <c r="H574" i="34"/>
  <c r="P536" i="34"/>
  <c r="BN86" i="23" l="1"/>
  <c r="BN87" i="23" s="1"/>
  <c r="BW23" i="23"/>
  <c r="BU76" i="23"/>
  <c r="BM84" i="23"/>
  <c r="BM86" i="23" s="1"/>
  <c r="BM87" i="23" s="1"/>
  <c r="U15" i="23"/>
  <c r="U16" i="23" s="1"/>
  <c r="V8" i="23"/>
  <c r="W8" i="23" s="1"/>
  <c r="U79" i="23" s="1"/>
  <c r="BZ75" i="23"/>
  <c r="BM82" i="23"/>
  <c r="BM83" i="23" s="1"/>
  <c r="AW51" i="23"/>
  <c r="BO86" i="23"/>
  <c r="BO87" i="23" s="1"/>
  <c r="AY51" i="23"/>
  <c r="BO82" i="23"/>
  <c r="BO83" i="23" s="1"/>
  <c r="BN82" i="23"/>
  <c r="BN83" i="23" s="1"/>
  <c r="AX51" i="23"/>
  <c r="BW40" i="23"/>
  <c r="O15" i="23"/>
  <c r="O16" i="23" s="1"/>
  <c r="P8" i="23"/>
  <c r="Q8" i="23" s="1"/>
  <c r="O79" i="23" s="1"/>
  <c r="BW61" i="23"/>
  <c r="AA15" i="23"/>
  <c r="AA16" i="23" s="1"/>
  <c r="AB8" i="23"/>
  <c r="AC8" i="23" s="1"/>
  <c r="AA79" i="23" s="1"/>
  <c r="K100" i="34"/>
  <c r="K133" i="34" s="1"/>
  <c r="K537" i="34"/>
  <c r="AH589" i="35"/>
  <c r="AA590" i="35" s="1"/>
  <c r="AL579" i="35"/>
  <c r="AL589" i="35" s="1"/>
  <c r="G209" i="35"/>
  <c r="G208" i="35"/>
  <c r="K17" i="34"/>
  <c r="N326" i="34"/>
  <c r="N359" i="34" s="1"/>
  <c r="N166" i="34"/>
  <c r="N91" i="34"/>
  <c r="N249" i="34"/>
  <c r="N282" i="34" s="1"/>
  <c r="K19" i="34"/>
  <c r="K536" i="34"/>
  <c r="K535" i="34"/>
  <c r="K18" i="34"/>
  <c r="N90" i="34"/>
  <c r="P28" i="34"/>
  <c r="P61" i="34" s="1"/>
  <c r="D61" i="34"/>
  <c r="H532" i="34"/>
  <c r="P326" i="34"/>
  <c r="P359" i="34" s="1"/>
  <c r="Q567" i="34"/>
  <c r="Q552" i="34"/>
  <c r="Q539" i="34"/>
  <c r="N14" i="34"/>
  <c r="Q14" i="34" s="1"/>
  <c r="Q53" i="34"/>
  <c r="E524" i="34"/>
  <c r="Q524" i="34" s="1"/>
  <c r="Q532" i="34" s="1"/>
  <c r="H28" i="34"/>
  <c r="H61" i="34" s="1"/>
  <c r="Q432" i="34"/>
  <c r="K176" i="34"/>
  <c r="K209" i="34" s="1"/>
  <c r="N165" i="34"/>
  <c r="K282" i="34"/>
  <c r="P176" i="34"/>
  <c r="P209" i="34" s="1"/>
  <c r="D209" i="34"/>
  <c r="N432" i="34"/>
  <c r="E566" i="34"/>
  <c r="H577" i="34"/>
  <c r="Q577" i="34" s="1"/>
  <c r="Q574" i="34"/>
  <c r="G546" i="34"/>
  <c r="P535" i="34"/>
  <c r="E209" i="34"/>
  <c r="BY40" i="23" s="1"/>
  <c r="BY76" i="23" s="1"/>
  <c r="AA80" i="23" l="1"/>
  <c r="AA81" i="23" s="1"/>
  <c r="AA82" i="23" s="1"/>
  <c r="AA83" i="23" s="1"/>
  <c r="AA84" i="23" s="1"/>
  <c r="AA85" i="23" s="1"/>
  <c r="AA86" i="23" s="1"/>
  <c r="AA87" i="23" s="1"/>
  <c r="AA88" i="23" s="1"/>
  <c r="AA89" i="23" s="1"/>
  <c r="AA90" i="23" s="1"/>
  <c r="AC90" i="23" s="1"/>
  <c r="AB9" i="23" s="1"/>
  <c r="AC9" i="23" s="1"/>
  <c r="AA91" i="23" s="1"/>
  <c r="O80" i="23"/>
  <c r="O81" i="23" s="1"/>
  <c r="O82" i="23" s="1"/>
  <c r="O83" i="23" s="1"/>
  <c r="O84" i="23" s="1"/>
  <c r="O85" i="23" s="1"/>
  <c r="O86" i="23" s="1"/>
  <c r="O87" i="23" s="1"/>
  <c r="O88" i="23" s="1"/>
  <c r="O89" i="23" s="1"/>
  <c r="O90" i="23" s="1"/>
  <c r="P90" i="23"/>
  <c r="R8" i="23" s="1"/>
  <c r="S8" i="23" s="1"/>
  <c r="AX55" i="23"/>
  <c r="AX64" i="23"/>
  <c r="AW55" i="23"/>
  <c r="AW64" i="23"/>
  <c r="U80" i="23"/>
  <c r="U81" i="23" s="1"/>
  <c r="U82" i="23" s="1"/>
  <c r="U83" i="23" s="1"/>
  <c r="U84" i="23" s="1"/>
  <c r="U85" i="23" s="1"/>
  <c r="U86" i="23" s="1"/>
  <c r="U87" i="23" s="1"/>
  <c r="U88" i="23" s="1"/>
  <c r="U89" i="23" s="1"/>
  <c r="U90" i="23" s="1"/>
  <c r="BW76" i="23"/>
  <c r="AY55" i="23"/>
  <c r="AY64" i="23"/>
  <c r="K28" i="34"/>
  <c r="K61" i="34" s="1"/>
  <c r="N17" i="34"/>
  <c r="J214" i="35"/>
  <c r="J241" i="35" s="1"/>
  <c r="J215" i="35"/>
  <c r="J242" i="35" s="1"/>
  <c r="Q326" i="34"/>
  <c r="N100" i="34"/>
  <c r="K546" i="34"/>
  <c r="K579" i="34" s="1"/>
  <c r="BX61" i="23" s="1"/>
  <c r="BZ61" i="23" s="1"/>
  <c r="H536" i="34"/>
  <c r="N18" i="34"/>
  <c r="Q249" i="34"/>
  <c r="N19" i="34"/>
  <c r="E532" i="34"/>
  <c r="Q566" i="34"/>
  <c r="E571" i="34"/>
  <c r="Q571" i="34" s="1"/>
  <c r="N176" i="34"/>
  <c r="N209" i="34" s="1"/>
  <c r="H535" i="34"/>
  <c r="G579" i="34"/>
  <c r="P546" i="34"/>
  <c r="P579" i="34" s="1"/>
  <c r="V90" i="23" l="1"/>
  <c r="X8" i="23" s="1"/>
  <c r="Y8" i="23" s="1"/>
  <c r="Q359" i="34"/>
  <c r="BV50" i="23"/>
  <c r="I10" i="23"/>
  <c r="AY69" i="23"/>
  <c r="C10" i="23" s="1"/>
  <c r="I8" i="23"/>
  <c r="AW69" i="23"/>
  <c r="C8" i="23" s="1"/>
  <c r="Q90" i="23"/>
  <c r="P9" i="23" s="1"/>
  <c r="Q9" i="23" s="1"/>
  <c r="O91" i="23" s="1"/>
  <c r="Q282" i="34"/>
  <c r="BV39" i="23"/>
  <c r="W90" i="23"/>
  <c r="V9" i="23" s="1"/>
  <c r="W9" i="23" s="1"/>
  <c r="U91" i="23" s="1"/>
  <c r="I9" i="23"/>
  <c r="AX69" i="23"/>
  <c r="C9" i="23" s="1"/>
  <c r="AB90" i="23"/>
  <c r="AD8" i="23" s="1"/>
  <c r="AE8" i="23" s="1"/>
  <c r="AA92" i="23"/>
  <c r="AA93" i="23" s="1"/>
  <c r="AA94" i="23" s="1"/>
  <c r="AA95" i="23" s="1"/>
  <c r="AA96" i="23" s="1"/>
  <c r="AA97" i="23" s="1"/>
  <c r="AA98" i="23" s="1"/>
  <c r="AA99" i="23" s="1"/>
  <c r="AA100" i="23" s="1"/>
  <c r="AA101" i="23" s="1"/>
  <c r="AA102" i="23" s="1"/>
  <c r="AC102" i="23" s="1"/>
  <c r="AB10" i="23" s="1"/>
  <c r="AC10" i="23" s="1"/>
  <c r="AA103" i="23" s="1"/>
  <c r="E535" i="34"/>
  <c r="Q535" i="34" s="1"/>
  <c r="J247" i="35"/>
  <c r="J248" i="35"/>
  <c r="H546" i="34"/>
  <c r="H579" i="34" s="1"/>
  <c r="BX40" i="23" s="1"/>
  <c r="BZ40" i="23" s="1"/>
  <c r="N133" i="34"/>
  <c r="Q100" i="34"/>
  <c r="N28" i="34"/>
  <c r="Q28" i="34" s="1"/>
  <c r="E536" i="34"/>
  <c r="Q536" i="34" s="1"/>
  <c r="E537" i="34"/>
  <c r="Q537" i="34" s="1"/>
  <c r="P581" i="34"/>
  <c r="Q176" i="34"/>
  <c r="AB102" i="23" l="1"/>
  <c r="AD9" i="23" s="1"/>
  <c r="AE9" i="23" s="1"/>
  <c r="P600" i="34"/>
  <c r="P598" i="34"/>
  <c r="P599" i="34"/>
  <c r="AX70" i="23"/>
  <c r="AY70" i="23"/>
  <c r="U92" i="23"/>
  <c r="U93" i="23" s="1"/>
  <c r="U94" i="23" s="1"/>
  <c r="U95" i="23" s="1"/>
  <c r="U96" i="23" s="1"/>
  <c r="U97" i="23" s="1"/>
  <c r="U98" i="23" s="1"/>
  <c r="U99" i="23" s="1"/>
  <c r="U100" i="23" s="1"/>
  <c r="U101" i="23" s="1"/>
  <c r="U102" i="23" s="1"/>
  <c r="W102" i="23" s="1"/>
  <c r="V10" i="23" s="1"/>
  <c r="W10" i="23" s="1"/>
  <c r="U103" i="23" s="1"/>
  <c r="Q133" i="34"/>
  <c r="BV23" i="23"/>
  <c r="C15" i="23"/>
  <c r="D8" i="23"/>
  <c r="E8" i="23" s="1"/>
  <c r="C79" i="23" s="1"/>
  <c r="Q61" i="34"/>
  <c r="BV11" i="23"/>
  <c r="AA104" i="23"/>
  <c r="AA105" i="23" s="1"/>
  <c r="AA106" i="23" s="1"/>
  <c r="AA107" i="23" s="1"/>
  <c r="AA108" i="23" s="1"/>
  <c r="AA109" i="23" s="1"/>
  <c r="AA110" i="23" s="1"/>
  <c r="AA111" i="23" s="1"/>
  <c r="AA112" i="23" s="1"/>
  <c r="AA113" i="23" s="1"/>
  <c r="AA114" i="23" s="1"/>
  <c r="AW70" i="23"/>
  <c r="O92" i="23"/>
  <c r="O93" i="23" s="1"/>
  <c r="O94" i="23" s="1"/>
  <c r="O95" i="23" s="1"/>
  <c r="O96" i="23" s="1"/>
  <c r="O97" i="23" s="1"/>
  <c r="O98" i="23" s="1"/>
  <c r="O99" i="23" s="1"/>
  <c r="O100" i="23" s="1"/>
  <c r="O101" i="23" s="1"/>
  <c r="O102" i="23" s="1"/>
  <c r="Q209" i="34"/>
  <c r="BV32" i="23"/>
  <c r="I15" i="23"/>
  <c r="I16" i="23" s="1"/>
  <c r="J8" i="23"/>
  <c r="K8" i="23" s="1"/>
  <c r="I79" i="23" s="1"/>
  <c r="N61" i="34"/>
  <c r="E546" i="34"/>
  <c r="Q546" i="34" s="1"/>
  <c r="P102" i="23" l="1"/>
  <c r="R9" i="23" s="1"/>
  <c r="S9" i="23" s="1"/>
  <c r="P602" i="34"/>
  <c r="AB114" i="23"/>
  <c r="AD10" i="23" s="1"/>
  <c r="AE10" i="23" s="1"/>
  <c r="V102" i="23"/>
  <c r="X9" i="23" s="1"/>
  <c r="Y9" i="23" s="1"/>
  <c r="I80" i="23"/>
  <c r="I81" i="23" s="1"/>
  <c r="I82" i="23" s="1"/>
  <c r="I83" i="23" s="1"/>
  <c r="I84" i="23" s="1"/>
  <c r="I85" i="23" s="1"/>
  <c r="I86" i="23" s="1"/>
  <c r="I87" i="23" s="1"/>
  <c r="I88" i="23" s="1"/>
  <c r="I89" i="23" s="1"/>
  <c r="I90" i="23" s="1"/>
  <c r="AC114" i="23"/>
  <c r="AB11" i="23" s="1"/>
  <c r="AC11" i="23" s="1"/>
  <c r="AA115" i="23" s="1"/>
  <c r="D16" i="23"/>
  <c r="E16" i="23" s="1"/>
  <c r="C16" i="23"/>
  <c r="U104" i="23"/>
  <c r="U105" i="23" s="1"/>
  <c r="U106" i="23" s="1"/>
  <c r="U107" i="23" s="1"/>
  <c r="U108" i="23" s="1"/>
  <c r="U109" i="23" s="1"/>
  <c r="U110" i="23" s="1"/>
  <c r="U111" i="23" s="1"/>
  <c r="U112" i="23" s="1"/>
  <c r="U113" i="23" s="1"/>
  <c r="U114" i="23" s="1"/>
  <c r="W114" i="23" s="1"/>
  <c r="V11" i="23" s="1"/>
  <c r="W11" i="23" s="1"/>
  <c r="U115" i="23" s="1"/>
  <c r="Q102" i="23"/>
  <c r="P10" i="23" s="1"/>
  <c r="Q10" i="23" s="1"/>
  <c r="O103" i="23"/>
  <c r="C80" i="23"/>
  <c r="C81" i="23" s="1"/>
  <c r="C82" i="23" s="1"/>
  <c r="C83" i="23" s="1"/>
  <c r="C84" i="23" s="1"/>
  <c r="C85" i="23" s="1"/>
  <c r="C86" i="23" s="1"/>
  <c r="C87" i="23" s="1"/>
  <c r="C88" i="23" s="1"/>
  <c r="C89" i="23" s="1"/>
  <c r="C90" i="23" s="1"/>
  <c r="E90" i="23" s="1"/>
  <c r="D9" i="23" s="1"/>
  <c r="E9" i="23" s="1"/>
  <c r="C91" i="23" s="1"/>
  <c r="E579" i="34"/>
  <c r="BX23" i="23" s="1"/>
  <c r="BZ23" i="23" s="1"/>
  <c r="Q579" i="34"/>
  <c r="BX76" i="23" s="1"/>
  <c r="BZ76" i="23" s="1"/>
  <c r="J90" i="23" l="1"/>
  <c r="L8" i="23" s="1"/>
  <c r="M8" i="23" s="1"/>
  <c r="P603" i="34"/>
  <c r="AA116" i="23"/>
  <c r="AA117" i="23" s="1"/>
  <c r="AA118" i="23" s="1"/>
  <c r="AA119" i="23" s="1"/>
  <c r="AA120" i="23" s="1"/>
  <c r="AA121" i="23" s="1"/>
  <c r="AA122" i="23" s="1"/>
  <c r="AA123" i="23" s="1"/>
  <c r="AA124" i="23" s="1"/>
  <c r="AA125" i="23" s="1"/>
  <c r="AA126" i="23" s="1"/>
  <c r="U116" i="23"/>
  <c r="U117" i="23" s="1"/>
  <c r="U118" i="23" s="1"/>
  <c r="U119" i="23" s="1"/>
  <c r="U120" i="23" s="1"/>
  <c r="U121" i="23" s="1"/>
  <c r="U122" i="23" s="1"/>
  <c r="U123" i="23" s="1"/>
  <c r="U124" i="23" s="1"/>
  <c r="U125" i="23" s="1"/>
  <c r="U126" i="23" s="1"/>
  <c r="O104" i="23"/>
  <c r="O105" i="23" s="1"/>
  <c r="O106" i="23" s="1"/>
  <c r="O107" i="23" s="1"/>
  <c r="O108" i="23" s="1"/>
  <c r="O109" i="23" s="1"/>
  <c r="O110" i="23" s="1"/>
  <c r="O111" i="23" s="1"/>
  <c r="O112" i="23" s="1"/>
  <c r="O113" i="23" s="1"/>
  <c r="O114" i="23" s="1"/>
  <c r="Q114" i="23" s="1"/>
  <c r="P11" i="23" s="1"/>
  <c r="Q11" i="23" s="1"/>
  <c r="O115" i="23" s="1"/>
  <c r="K90" i="23"/>
  <c r="J9" i="23" s="1"/>
  <c r="K9" i="23" s="1"/>
  <c r="I91" i="23" s="1"/>
  <c r="D90" i="23"/>
  <c r="F8" i="23" s="1"/>
  <c r="G8" i="23" s="1"/>
  <c r="V114" i="23"/>
  <c r="X10" i="23" s="1"/>
  <c r="Y10" i="23" s="1"/>
  <c r="C92" i="23"/>
  <c r="C93" i="23" s="1"/>
  <c r="C94" i="23" s="1"/>
  <c r="C95" i="23" s="1"/>
  <c r="C96" i="23" s="1"/>
  <c r="C97" i="23" s="1"/>
  <c r="C98" i="23" s="1"/>
  <c r="C99" i="23" s="1"/>
  <c r="C100" i="23" s="1"/>
  <c r="C101" i="23" s="1"/>
  <c r="C102" i="23" s="1"/>
  <c r="E102" i="23" s="1"/>
  <c r="D10" i="23" s="1"/>
  <c r="E10" i="23" s="1"/>
  <c r="C103" i="23" s="1"/>
  <c r="Q581" i="34"/>
  <c r="P114" i="23" l="1"/>
  <c r="R10" i="23" s="1"/>
  <c r="S10" i="23" s="1"/>
  <c r="AB126" i="23"/>
  <c r="AD11" i="23" s="1"/>
  <c r="AE11" i="23" s="1"/>
  <c r="C104" i="23"/>
  <c r="C105" i="23" s="1"/>
  <c r="C106" i="23" s="1"/>
  <c r="C107" i="23" s="1"/>
  <c r="C108" i="23" s="1"/>
  <c r="C109" i="23" s="1"/>
  <c r="C110" i="23" s="1"/>
  <c r="C111" i="23" s="1"/>
  <c r="C112" i="23" s="1"/>
  <c r="C113" i="23" s="1"/>
  <c r="C114" i="23" s="1"/>
  <c r="E114" i="23" s="1"/>
  <c r="D11" i="23" s="1"/>
  <c r="E11" i="23" s="1"/>
  <c r="C115" i="23" s="1"/>
  <c r="W126" i="23"/>
  <c r="V12" i="23" s="1"/>
  <c r="W12" i="23" s="1"/>
  <c r="U127" i="23" s="1"/>
  <c r="O116" i="23"/>
  <c r="O117" i="23" s="1"/>
  <c r="O118" i="23" s="1"/>
  <c r="O119" i="23" s="1"/>
  <c r="O120" i="23" s="1"/>
  <c r="O121" i="23" s="1"/>
  <c r="O122" i="23" s="1"/>
  <c r="O123" i="23" s="1"/>
  <c r="O124" i="23" s="1"/>
  <c r="O125" i="23" s="1"/>
  <c r="O126" i="23" s="1"/>
  <c r="Q126" i="23" s="1"/>
  <c r="P12" i="23" s="1"/>
  <c r="Q12" i="23" s="1"/>
  <c r="O127" i="23" s="1"/>
  <c r="AC126" i="23"/>
  <c r="AB12" i="23" s="1"/>
  <c r="AC12" i="23" s="1"/>
  <c r="AA127" i="23" s="1"/>
  <c r="D102" i="23"/>
  <c r="F9" i="23" s="1"/>
  <c r="G9" i="23" s="1"/>
  <c r="V126" i="23"/>
  <c r="X11" i="23" s="1"/>
  <c r="Y11" i="23" s="1"/>
  <c r="I92" i="23"/>
  <c r="I93" i="23" s="1"/>
  <c r="I94" i="23" s="1"/>
  <c r="I95" i="23" s="1"/>
  <c r="I96" i="23" s="1"/>
  <c r="I97" i="23" s="1"/>
  <c r="I98" i="23" s="1"/>
  <c r="I99" i="23" s="1"/>
  <c r="I100" i="23" s="1"/>
  <c r="I101" i="23" s="1"/>
  <c r="I102" i="23" s="1"/>
  <c r="I74" i="35"/>
  <c r="H77" i="35"/>
  <c r="H78" i="35"/>
  <c r="I73" i="35"/>
  <c r="H74" i="35"/>
  <c r="H70" i="35"/>
  <c r="I77" i="35"/>
  <c r="H73" i="35"/>
  <c r="H72" i="35"/>
  <c r="I75" i="35"/>
  <c r="I71" i="35"/>
  <c r="I70" i="35"/>
  <c r="I78" i="35"/>
  <c r="H76" i="35"/>
  <c r="H75" i="35"/>
  <c r="H71" i="35"/>
  <c r="I76" i="35"/>
  <c r="I72" i="35"/>
  <c r="D3" i="24"/>
  <c r="D4" i="24"/>
  <c r="D5" i="24"/>
  <c r="D6" i="24"/>
  <c r="D7" i="24"/>
  <c r="D8" i="24"/>
  <c r="D9" i="24"/>
  <c r="D10" i="24"/>
  <c r="D11" i="24"/>
  <c r="D12" i="24"/>
  <c r="D13" i="24"/>
  <c r="D14" i="24"/>
  <c r="D15" i="24"/>
  <c r="D16" i="24"/>
  <c r="D17" i="24"/>
  <c r="D18" i="24"/>
  <c r="D19" i="24"/>
  <c r="D20" i="24"/>
  <c r="D21" i="24"/>
  <c r="D22" i="24"/>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D53" i="24"/>
  <c r="D54" i="24"/>
  <c r="D55" i="24"/>
  <c r="D56" i="24"/>
  <c r="D57" i="24"/>
  <c r="D58" i="24"/>
  <c r="D59" i="24"/>
  <c r="D60" i="24"/>
  <c r="D61" i="24"/>
  <c r="D62" i="24"/>
  <c r="D63" i="24"/>
  <c r="D64" i="24"/>
  <c r="D65" i="24"/>
  <c r="D66" i="24"/>
  <c r="D67" i="24"/>
  <c r="D68" i="24"/>
  <c r="D69" i="24"/>
  <c r="D70" i="24"/>
  <c r="D71" i="24"/>
  <c r="D72" i="24"/>
  <c r="D73" i="24"/>
  <c r="D74" i="24"/>
  <c r="D75" i="24"/>
  <c r="D76" i="24"/>
  <c r="D77" i="24"/>
  <c r="D78" i="24"/>
  <c r="D79" i="24"/>
  <c r="D80" i="24"/>
  <c r="D81" i="24"/>
  <c r="D82" i="24"/>
  <c r="D83" i="24"/>
  <c r="D84" i="24"/>
  <c r="D85" i="24"/>
  <c r="D86" i="24"/>
  <c r="D87" i="24"/>
  <c r="D88" i="24"/>
  <c r="D89" i="24"/>
  <c r="D90" i="24"/>
  <c r="D91" i="24"/>
  <c r="D92" i="24"/>
  <c r="D93" i="24"/>
  <c r="D94" i="24"/>
  <c r="D95" i="24"/>
  <c r="D96" i="24"/>
  <c r="D97" i="24"/>
  <c r="D98" i="24"/>
  <c r="D99" i="24"/>
  <c r="D100" i="24"/>
  <c r="D101" i="24"/>
  <c r="D102" i="24"/>
  <c r="D103" i="24"/>
  <c r="D104" i="24"/>
  <c r="D105" i="24"/>
  <c r="D106" i="24"/>
  <c r="D107" i="24"/>
  <c r="D108" i="24"/>
  <c r="D109" i="24"/>
  <c r="D110" i="24"/>
  <c r="D159" i="24"/>
  <c r="D160" i="24"/>
  <c r="D161" i="24"/>
  <c r="D162" i="24"/>
  <c r="D163" i="24"/>
  <c r="D164" i="24"/>
  <c r="D165" i="24"/>
  <c r="D166" i="24"/>
  <c r="D167" i="24"/>
  <c r="D168" i="24"/>
  <c r="D169" i="24"/>
  <c r="D170" i="24"/>
  <c r="D171" i="24"/>
  <c r="D172" i="24"/>
  <c r="D173" i="24"/>
  <c r="D174" i="24"/>
  <c r="D175" i="24"/>
  <c r="D176" i="24"/>
  <c r="D177" i="24"/>
  <c r="D178" i="24"/>
  <c r="D179" i="24"/>
  <c r="D180" i="24"/>
  <c r="D181" i="24"/>
  <c r="D182" i="24"/>
  <c r="D183" i="24"/>
  <c r="D184" i="24"/>
  <c r="D185" i="24"/>
  <c r="D186" i="24"/>
  <c r="D187" i="24"/>
  <c r="D188" i="24"/>
  <c r="D189" i="24"/>
  <c r="D190" i="24"/>
  <c r="D191" i="24"/>
  <c r="D192" i="24"/>
  <c r="D193" i="24"/>
  <c r="D194" i="24"/>
  <c r="D195" i="24"/>
  <c r="D196" i="24"/>
  <c r="D197" i="24"/>
  <c r="D198" i="24"/>
  <c r="D199" i="24"/>
  <c r="D200" i="24"/>
  <c r="D201" i="24"/>
  <c r="D202" i="24"/>
  <c r="D203" i="24"/>
  <c r="D204" i="24"/>
  <c r="D205" i="24"/>
  <c r="D206" i="24"/>
  <c r="C4" i="24"/>
  <c r="C5" i="24"/>
  <c r="C6" i="24"/>
  <c r="C7" i="24"/>
  <c r="C8" i="24"/>
  <c r="C9" i="24"/>
  <c r="C10" i="24"/>
  <c r="C11" i="24"/>
  <c r="C12" i="24"/>
  <c r="C13" i="24"/>
  <c r="C14" i="24"/>
  <c r="C15" i="24"/>
  <c r="C16" i="24"/>
  <c r="C17" i="24"/>
  <c r="C18" i="24"/>
  <c r="C19" i="24"/>
  <c r="C20" i="24"/>
  <c r="C21" i="24"/>
  <c r="C22" i="24"/>
  <c r="C23" i="24"/>
  <c r="C24" i="24"/>
  <c r="C25" i="24"/>
  <c r="C26" i="24"/>
  <c r="C27" i="24"/>
  <c r="C28" i="24"/>
  <c r="C29" i="24"/>
  <c r="C30" i="24"/>
  <c r="C31" i="24"/>
  <c r="C32" i="24"/>
  <c r="C33" i="24"/>
  <c r="C34" i="24"/>
  <c r="C35" i="24"/>
  <c r="C36" i="24"/>
  <c r="C37" i="24"/>
  <c r="C38" i="24"/>
  <c r="C39" i="24"/>
  <c r="C40" i="24"/>
  <c r="C41" i="24"/>
  <c r="C42" i="24"/>
  <c r="C43" i="24"/>
  <c r="C44" i="24"/>
  <c r="C45" i="24"/>
  <c r="C46" i="24"/>
  <c r="C47" i="24"/>
  <c r="C48" i="24"/>
  <c r="C49" i="24"/>
  <c r="C50" i="24"/>
  <c r="C51" i="24"/>
  <c r="C52" i="24"/>
  <c r="C53" i="24"/>
  <c r="C54" i="24"/>
  <c r="C55" i="24"/>
  <c r="C56" i="24"/>
  <c r="C57" i="24"/>
  <c r="C58" i="24"/>
  <c r="C59" i="24"/>
  <c r="C60" i="24"/>
  <c r="C61" i="24"/>
  <c r="C62" i="24"/>
  <c r="C63" i="24"/>
  <c r="C64" i="24"/>
  <c r="C65" i="24"/>
  <c r="C66" i="24"/>
  <c r="C67" i="24"/>
  <c r="C68" i="24"/>
  <c r="C69" i="24"/>
  <c r="C70" i="24"/>
  <c r="C71" i="24"/>
  <c r="C72" i="24"/>
  <c r="C73" i="24"/>
  <c r="C74" i="24"/>
  <c r="C75" i="24"/>
  <c r="C76" i="24"/>
  <c r="C77" i="24"/>
  <c r="C78" i="24"/>
  <c r="C79" i="24"/>
  <c r="C80" i="24"/>
  <c r="C81" i="24"/>
  <c r="C82" i="24"/>
  <c r="C83" i="24"/>
  <c r="C84" i="24"/>
  <c r="C85" i="24"/>
  <c r="C86" i="24"/>
  <c r="C87" i="24"/>
  <c r="C88" i="24"/>
  <c r="C89" i="24"/>
  <c r="C90" i="24"/>
  <c r="C91" i="24"/>
  <c r="C92" i="24"/>
  <c r="C93" i="24"/>
  <c r="C94" i="24"/>
  <c r="C95" i="24"/>
  <c r="C96" i="24"/>
  <c r="C97" i="24"/>
  <c r="C98" i="24"/>
  <c r="C99" i="24"/>
  <c r="C100" i="24"/>
  <c r="C101" i="24"/>
  <c r="C102" i="24"/>
  <c r="C103" i="24"/>
  <c r="C104" i="24"/>
  <c r="C105" i="24"/>
  <c r="C106" i="24"/>
  <c r="C107" i="24"/>
  <c r="C108" i="24"/>
  <c r="C109" i="24"/>
  <c r="C110" i="24"/>
  <c r="C159" i="24"/>
  <c r="C160" i="24"/>
  <c r="C161" i="24"/>
  <c r="C162" i="24"/>
  <c r="C163" i="24"/>
  <c r="C164" i="24"/>
  <c r="C165" i="24"/>
  <c r="C166" i="24"/>
  <c r="C167" i="24"/>
  <c r="C168" i="24"/>
  <c r="C169" i="24"/>
  <c r="C170" i="24"/>
  <c r="C171" i="24"/>
  <c r="C172" i="24"/>
  <c r="C173" i="24"/>
  <c r="C174" i="24"/>
  <c r="C175" i="24"/>
  <c r="C176" i="24"/>
  <c r="C177" i="24"/>
  <c r="C178" i="24"/>
  <c r="C179" i="24"/>
  <c r="C180" i="24"/>
  <c r="C181" i="24"/>
  <c r="C182" i="24"/>
  <c r="C183" i="24"/>
  <c r="C184" i="24"/>
  <c r="C185" i="24"/>
  <c r="C186" i="24"/>
  <c r="C187" i="24"/>
  <c r="C188" i="24"/>
  <c r="C189" i="24"/>
  <c r="C190" i="24"/>
  <c r="C191" i="24"/>
  <c r="C192" i="24"/>
  <c r="C193" i="24"/>
  <c r="C194" i="24"/>
  <c r="C195" i="24"/>
  <c r="C196" i="24"/>
  <c r="C197" i="24"/>
  <c r="C198" i="24"/>
  <c r="C199" i="24"/>
  <c r="C200" i="24"/>
  <c r="C201" i="24"/>
  <c r="C202" i="24"/>
  <c r="C203" i="24"/>
  <c r="C204" i="24"/>
  <c r="C205" i="24"/>
  <c r="C206" i="24"/>
  <c r="C3" i="24"/>
  <c r="J102" i="23" l="1"/>
  <c r="L9" i="23" s="1"/>
  <c r="M9" i="23" s="1"/>
  <c r="AA128" i="23"/>
  <c r="AA129" i="23" s="1"/>
  <c r="AA130" i="23" s="1"/>
  <c r="AA131" i="23" s="1"/>
  <c r="AA132" i="23" s="1"/>
  <c r="AA133" i="23" s="1"/>
  <c r="AA134" i="23" s="1"/>
  <c r="AA135" i="23" s="1"/>
  <c r="AA136" i="23" s="1"/>
  <c r="AA137" i="23" s="1"/>
  <c r="AA138" i="23" s="1"/>
  <c r="U128" i="23"/>
  <c r="U129" i="23" s="1"/>
  <c r="U130" i="23" s="1"/>
  <c r="U131" i="23" s="1"/>
  <c r="U132" i="23" s="1"/>
  <c r="U133" i="23" s="1"/>
  <c r="U134" i="23" s="1"/>
  <c r="U135" i="23" s="1"/>
  <c r="U136" i="23" s="1"/>
  <c r="U137" i="23" s="1"/>
  <c r="U138" i="23" s="1"/>
  <c r="K102" i="23"/>
  <c r="J10" i="23" s="1"/>
  <c r="K10" i="23" s="1"/>
  <c r="I103" i="23" s="1"/>
  <c r="P126" i="23"/>
  <c r="R11" i="23" s="1"/>
  <c r="S11" i="23" s="1"/>
  <c r="D114" i="23"/>
  <c r="F10" i="23" s="1"/>
  <c r="G10" i="23" s="1"/>
  <c r="O128" i="23"/>
  <c r="O129" i="23" s="1"/>
  <c r="O130" i="23" s="1"/>
  <c r="O131" i="23" s="1"/>
  <c r="O132" i="23" s="1"/>
  <c r="O133" i="23" s="1"/>
  <c r="O134" i="23" s="1"/>
  <c r="O135" i="23" s="1"/>
  <c r="O136" i="23" s="1"/>
  <c r="O137" i="23" s="1"/>
  <c r="O138" i="23" s="1"/>
  <c r="C116" i="23"/>
  <c r="C117" i="23" s="1"/>
  <c r="C118" i="23" s="1"/>
  <c r="C119" i="23" s="1"/>
  <c r="C120" i="23" s="1"/>
  <c r="C121" i="23" s="1"/>
  <c r="C122" i="23" s="1"/>
  <c r="C123" i="23" s="1"/>
  <c r="C124" i="23" s="1"/>
  <c r="C125" i="23" s="1"/>
  <c r="C126" i="23" s="1"/>
  <c r="G78" i="35"/>
  <c r="X41" i="32"/>
  <c r="W41" i="32"/>
  <c r="V21" i="32"/>
  <c r="V41" i="32"/>
  <c r="W21" i="32"/>
  <c r="X21" i="32"/>
  <c r="G76" i="35"/>
  <c r="G75" i="35"/>
  <c r="G77" i="35"/>
  <c r="AA12" i="32"/>
  <c r="AA39" i="32"/>
  <c r="AA38" i="32"/>
  <c r="AA37" i="32"/>
  <c r="AA36" i="32"/>
  <c r="AA35" i="32"/>
  <c r="AA34" i="32"/>
  <c r="AA33" i="32"/>
  <c r="AA32" i="32"/>
  <c r="AA31" i="32"/>
  <c r="AA30" i="32"/>
  <c r="AA29" i="32"/>
  <c r="AA28" i="32"/>
  <c r="AA19" i="32"/>
  <c r="AA18" i="32"/>
  <c r="AA17" i="32"/>
  <c r="AA16" i="32"/>
  <c r="AA15" i="32"/>
  <c r="AA14" i="32"/>
  <c r="AA13" i="32"/>
  <c r="AA11" i="32"/>
  <c r="AA10" i="32"/>
  <c r="AA9" i="32"/>
  <c r="Z8" i="32"/>
  <c r="V138" i="23" l="1"/>
  <c r="X12" i="23" s="1"/>
  <c r="Y12" i="23" s="1"/>
  <c r="D126" i="23"/>
  <c r="F11" i="23" s="1"/>
  <c r="G11" i="23" s="1"/>
  <c r="I104" i="23"/>
  <c r="I105" i="23" s="1"/>
  <c r="I106" i="23" s="1"/>
  <c r="I107" i="23" s="1"/>
  <c r="I108" i="23" s="1"/>
  <c r="I109" i="23" s="1"/>
  <c r="I110" i="23" s="1"/>
  <c r="I111" i="23" s="1"/>
  <c r="I112" i="23" s="1"/>
  <c r="I113" i="23" s="1"/>
  <c r="I114" i="23" s="1"/>
  <c r="K114" i="23" s="1"/>
  <c r="J11" i="23" s="1"/>
  <c r="K11" i="23" s="1"/>
  <c r="I115" i="23" s="1"/>
  <c r="E126" i="23"/>
  <c r="D12" i="23" s="1"/>
  <c r="E12" i="23" s="1"/>
  <c r="C127" i="23" s="1"/>
  <c r="W138" i="23"/>
  <c r="V13" i="23" s="1"/>
  <c r="W13" i="23" s="1"/>
  <c r="U139" i="23" s="1"/>
  <c r="P138" i="23"/>
  <c r="R12" i="23" s="1"/>
  <c r="S12" i="23" s="1"/>
  <c r="AB138" i="23"/>
  <c r="AD12" i="23" s="1"/>
  <c r="AE12" i="23" s="1"/>
  <c r="Q138" i="23"/>
  <c r="P13" i="23" s="1"/>
  <c r="Q13" i="23" s="1"/>
  <c r="O139" i="23" s="1"/>
  <c r="AC138" i="23"/>
  <c r="AB13" i="23" s="1"/>
  <c r="AC13" i="23" s="1"/>
  <c r="AA139" i="23" s="1"/>
  <c r="Z36" i="32"/>
  <c r="D215" i="27" s="1"/>
  <c r="D227" i="27" s="1"/>
  <c r="Z12" i="32"/>
  <c r="C211" i="27" s="1"/>
  <c r="Z34" i="32"/>
  <c r="D213" i="27" s="1"/>
  <c r="D225" i="27" s="1"/>
  <c r="Z28" i="32"/>
  <c r="D207" i="25" s="1"/>
  <c r="D219" i="25" s="1"/>
  <c r="Z16" i="32"/>
  <c r="C215" i="27" s="1"/>
  <c r="Z30" i="32"/>
  <c r="D209" i="27" s="1"/>
  <c r="D221" i="27" s="1"/>
  <c r="Z9" i="32"/>
  <c r="C208" i="25" s="1"/>
  <c r="Z11" i="32"/>
  <c r="C210" i="19" s="1"/>
  <c r="C222" i="19" s="1"/>
  <c r="Z18" i="32"/>
  <c r="C217" i="27" s="1"/>
  <c r="Z38" i="32"/>
  <c r="D217" i="27" s="1"/>
  <c r="D229" i="27" s="1"/>
  <c r="Z14" i="32"/>
  <c r="C213" i="25" s="1"/>
  <c r="Z32" i="32"/>
  <c r="D211" i="25" s="1"/>
  <c r="D223" i="25" s="1"/>
  <c r="C261" i="27"/>
  <c r="C261" i="25"/>
  <c r="C261" i="24"/>
  <c r="D257" i="27"/>
  <c r="D257" i="25"/>
  <c r="D257" i="24"/>
  <c r="D265" i="27"/>
  <c r="D265" i="25"/>
  <c r="D265" i="24"/>
  <c r="C262" i="27"/>
  <c r="C262" i="25"/>
  <c r="C262" i="24"/>
  <c r="D258" i="27"/>
  <c r="D258" i="25"/>
  <c r="D258" i="24"/>
  <c r="D266" i="27"/>
  <c r="D266" i="25"/>
  <c r="D266" i="24"/>
  <c r="C258" i="27"/>
  <c r="C258" i="25"/>
  <c r="C258" i="24"/>
  <c r="C263" i="25"/>
  <c r="C263" i="27"/>
  <c r="C263" i="24"/>
  <c r="D255" i="27"/>
  <c r="D255" i="25"/>
  <c r="D255" i="24"/>
  <c r="D259" i="27"/>
  <c r="D259" i="25"/>
  <c r="D259" i="24"/>
  <c r="D263" i="27"/>
  <c r="D263" i="25"/>
  <c r="D263" i="24"/>
  <c r="C256" i="27"/>
  <c r="C256" i="25"/>
  <c r="C256" i="24"/>
  <c r="C265" i="27"/>
  <c r="C265" i="25"/>
  <c r="C265" i="24"/>
  <c r="D261" i="27"/>
  <c r="D261" i="25"/>
  <c r="D261" i="24"/>
  <c r="C257" i="27"/>
  <c r="C257" i="25"/>
  <c r="C257" i="24"/>
  <c r="C266" i="27"/>
  <c r="C266" i="25"/>
  <c r="C266" i="24"/>
  <c r="D262" i="25"/>
  <c r="D262" i="27"/>
  <c r="D262" i="24"/>
  <c r="C207" i="27"/>
  <c r="C207" i="19"/>
  <c r="C219" i="19" s="1"/>
  <c r="C207" i="25"/>
  <c r="C207" i="24"/>
  <c r="C219" i="24" s="1"/>
  <c r="C260" i="27"/>
  <c r="C260" i="25"/>
  <c r="C260" i="24"/>
  <c r="C264" i="27"/>
  <c r="C264" i="25"/>
  <c r="C264" i="24"/>
  <c r="D256" i="27"/>
  <c r="D256" i="25"/>
  <c r="D256" i="24"/>
  <c r="D260" i="27"/>
  <c r="D260" i="25"/>
  <c r="D260" i="24"/>
  <c r="D264" i="27"/>
  <c r="D264" i="25"/>
  <c r="D264" i="24"/>
  <c r="C213" i="19"/>
  <c r="C225" i="19" s="1"/>
  <c r="D207" i="24"/>
  <c r="D219" i="24" s="1"/>
  <c r="C217" i="19"/>
  <c r="C229" i="19" s="1"/>
  <c r="Z10" i="32"/>
  <c r="AA8" i="32"/>
  <c r="Z19" i="32"/>
  <c r="Z33" i="32"/>
  <c r="Z17" i="32"/>
  <c r="C208" i="24"/>
  <c r="C220" i="24" s="1"/>
  <c r="Z39" i="32"/>
  <c r="Z15" i="32"/>
  <c r="C211" i="19"/>
  <c r="C223" i="19" s="1"/>
  <c r="C259" i="27"/>
  <c r="C259" i="25"/>
  <c r="C259" i="24"/>
  <c r="Z35" i="32"/>
  <c r="Z37" i="32"/>
  <c r="Z29" i="32"/>
  <c r="Z13" i="32"/>
  <c r="D215" i="24"/>
  <c r="D227" i="24" s="1"/>
  <c r="C215" i="25"/>
  <c r="Z31" i="32"/>
  <c r="C210" i="27"/>
  <c r="R5" i="32"/>
  <c r="S5" i="32"/>
  <c r="T5" i="32"/>
  <c r="U5" i="32"/>
  <c r="V5" i="32"/>
  <c r="W5" i="32"/>
  <c r="X5" i="32"/>
  <c r="Y5" i="32"/>
  <c r="U41" i="32"/>
  <c r="T41" i="32"/>
  <c r="S41" i="32"/>
  <c r="O41" i="32"/>
  <c r="M41" i="32"/>
  <c r="K41" i="32"/>
  <c r="I41" i="32"/>
  <c r="I21" i="32"/>
  <c r="L21" i="32"/>
  <c r="M21" i="32"/>
  <c r="P21" i="32"/>
  <c r="Q21" i="32"/>
  <c r="T21" i="32"/>
  <c r="U21" i="32"/>
  <c r="E21" i="32"/>
  <c r="C21" i="32"/>
  <c r="P41" i="32"/>
  <c r="L41" i="32"/>
  <c r="H41" i="32"/>
  <c r="G41" i="32"/>
  <c r="E41" i="32"/>
  <c r="D41" i="32"/>
  <c r="C41" i="32"/>
  <c r="S21" i="32"/>
  <c r="R21" i="32"/>
  <c r="O21" i="32"/>
  <c r="N21" i="32"/>
  <c r="K21" i="32"/>
  <c r="J21" i="32"/>
  <c r="G21" i="32"/>
  <c r="F21" i="32"/>
  <c r="D21" i="32"/>
  <c r="Q5" i="32"/>
  <c r="P5" i="32"/>
  <c r="O5" i="32"/>
  <c r="N5" i="32"/>
  <c r="M5" i="32"/>
  <c r="L5" i="32"/>
  <c r="K5" i="32"/>
  <c r="B10" i="11"/>
  <c r="G49" i="35" s="1"/>
  <c r="G152" i="35" s="1"/>
  <c r="G14" i="11"/>
  <c r="B15" i="11"/>
  <c r="H24" i="35" s="1"/>
  <c r="B14" i="11"/>
  <c r="H49" i="35" s="1"/>
  <c r="H152" i="35" s="1"/>
  <c r="D14" i="11"/>
  <c r="H51" i="35" s="1"/>
  <c r="H154" i="35" s="1"/>
  <c r="F14" i="11"/>
  <c r="H53" i="35" s="1"/>
  <c r="H156" i="35" s="1"/>
  <c r="B19" i="11"/>
  <c r="I24" i="35" s="1"/>
  <c r="B18" i="11"/>
  <c r="I49" i="35" s="1"/>
  <c r="I152" i="35" s="1"/>
  <c r="C19" i="11"/>
  <c r="I25" i="35" s="1"/>
  <c r="D19" i="11"/>
  <c r="I26" i="35" s="1"/>
  <c r="E19" i="11"/>
  <c r="I27" i="35" s="1"/>
  <c r="E18" i="11"/>
  <c r="I52" i="35" s="1"/>
  <c r="I155" i="35" s="1"/>
  <c r="F18" i="11"/>
  <c r="I53" i="35" s="1"/>
  <c r="I156" i="35" s="1"/>
  <c r="G24" i="11"/>
  <c r="E24" i="11"/>
  <c r="J27" i="35" s="1"/>
  <c r="J38" i="35" s="1"/>
  <c r="B29" i="11"/>
  <c r="K24" i="35" s="1"/>
  <c r="K35" i="35" s="1"/>
  <c r="D28" i="11"/>
  <c r="K51" i="35" s="1"/>
  <c r="K154" i="35" s="1"/>
  <c r="G34" i="11"/>
  <c r="G33" i="11"/>
  <c r="B34" i="11"/>
  <c r="L24" i="35" s="1"/>
  <c r="L35" i="35" s="1"/>
  <c r="C34" i="11"/>
  <c r="L25" i="35" s="1"/>
  <c r="L36" i="35" s="1"/>
  <c r="C33" i="11"/>
  <c r="L50" i="35" s="1"/>
  <c r="L153" i="35" s="1"/>
  <c r="D34" i="11"/>
  <c r="L26" i="35" s="1"/>
  <c r="L37" i="35" s="1"/>
  <c r="F34" i="11"/>
  <c r="L28" i="35" s="1"/>
  <c r="L39" i="35" s="1"/>
  <c r="F33" i="11"/>
  <c r="L53" i="35" s="1"/>
  <c r="L156" i="35" s="1"/>
  <c r="G39" i="11"/>
  <c r="B39" i="11"/>
  <c r="M24" i="35" s="1"/>
  <c r="M35" i="35" s="1"/>
  <c r="C39" i="11"/>
  <c r="M25" i="35" s="1"/>
  <c r="M36" i="35" s="1"/>
  <c r="C38" i="11"/>
  <c r="M50" i="35" s="1"/>
  <c r="M153" i="35" s="1"/>
  <c r="D39" i="11"/>
  <c r="M26" i="35" s="1"/>
  <c r="M37" i="35" s="1"/>
  <c r="E38" i="11"/>
  <c r="M52" i="35" s="1"/>
  <c r="M155" i="35" s="1"/>
  <c r="F39" i="11"/>
  <c r="M28" i="35" s="1"/>
  <c r="M39" i="35" s="1"/>
  <c r="E25" i="11"/>
  <c r="D30" i="11"/>
  <c r="E30" i="11"/>
  <c r="F30" i="11"/>
  <c r="D35" i="11"/>
  <c r="E35" i="11"/>
  <c r="G35" i="11"/>
  <c r="Q320" i="35" s="1"/>
  <c r="AH359" i="35" s="1"/>
  <c r="B20" i="11"/>
  <c r="D20" i="11"/>
  <c r="E20" i="11"/>
  <c r="A37" i="11"/>
  <c r="P322" i="35" s="1"/>
  <c r="G2" i="17"/>
  <c r="E1" i="18" s="1"/>
  <c r="H2" i="17"/>
  <c r="F1" i="18" s="1"/>
  <c r="A10" i="9"/>
  <c r="A24" i="9" s="1"/>
  <c r="A9" i="9"/>
  <c r="A23" i="9" s="1"/>
  <c r="A3" i="9"/>
  <c r="A17" i="9" s="1"/>
  <c r="A4" i="9"/>
  <c r="A18" i="9" s="1"/>
  <c r="A5" i="9"/>
  <c r="A19" i="9" s="1"/>
  <c r="A6" i="9"/>
  <c r="A20" i="9" s="1"/>
  <c r="A7" i="9"/>
  <c r="A21" i="9" s="1"/>
  <c r="A8" i="9"/>
  <c r="A22" i="9" s="1"/>
  <c r="A22" i="11"/>
  <c r="P307" i="35" s="1"/>
  <c r="E2" i="17"/>
  <c r="C1" i="18" s="1"/>
  <c r="A13" i="11"/>
  <c r="P298" i="35" s="1"/>
  <c r="A9" i="11"/>
  <c r="C3" i="35" s="1"/>
  <c r="C2" i="17"/>
  <c r="D2" i="17"/>
  <c r="B1" i="18" s="1"/>
  <c r="F2" i="17"/>
  <c r="D1" i="18" s="1"/>
  <c r="B2" i="17"/>
  <c r="A32" i="11"/>
  <c r="P317" i="35" s="1"/>
  <c r="A27" i="11"/>
  <c r="A17" i="11"/>
  <c r="P302" i="35" s="1"/>
  <c r="B41" i="32"/>
  <c r="J41" i="32"/>
  <c r="R41" i="32"/>
  <c r="N41" i="32"/>
  <c r="Q41" i="32"/>
  <c r="F41" i="32"/>
  <c r="H21" i="32"/>
  <c r="B21" i="32"/>
  <c r="E33" i="11"/>
  <c r="L52" i="35" s="1"/>
  <c r="L155" i="35" s="1"/>
  <c r="E15" i="11"/>
  <c r="H27" i="35" s="1"/>
  <c r="F24" i="11"/>
  <c r="J28" i="35" s="1"/>
  <c r="J39" i="35" s="1"/>
  <c r="C15" i="11"/>
  <c r="H25" i="35" s="1"/>
  <c r="G15" i="11"/>
  <c r="H67" i="35"/>
  <c r="D24" i="11"/>
  <c r="J26" i="35" s="1"/>
  <c r="J37" i="35" s="1"/>
  <c r="I68" i="35"/>
  <c r="G10" i="11"/>
  <c r="I67" i="35"/>
  <c r="E39" i="11"/>
  <c r="M27" i="35" s="1"/>
  <c r="H69" i="35"/>
  <c r="E29" i="11"/>
  <c r="K27" i="35" s="1"/>
  <c r="K38" i="35" s="1"/>
  <c r="H260" i="24"/>
  <c r="AA140" i="23" l="1"/>
  <c r="AA141" i="23" s="1"/>
  <c r="AA142" i="23" s="1"/>
  <c r="AA143" i="23" s="1"/>
  <c r="AA144" i="23" s="1"/>
  <c r="AA145" i="23" s="1"/>
  <c r="AA146" i="23" s="1"/>
  <c r="AA147" i="23" s="1"/>
  <c r="AA148" i="23" s="1"/>
  <c r="AA149" i="23" s="1"/>
  <c r="AA150" i="23" s="1"/>
  <c r="AC150" i="23" s="1"/>
  <c r="AB14" i="23" s="1"/>
  <c r="AC14" i="23" s="1"/>
  <c r="AA151" i="23" s="1"/>
  <c r="C128" i="23"/>
  <c r="C129" i="23" s="1"/>
  <c r="C130" i="23" s="1"/>
  <c r="C131" i="23" s="1"/>
  <c r="C132" i="23" s="1"/>
  <c r="C133" i="23" s="1"/>
  <c r="C134" i="23" s="1"/>
  <c r="C135" i="23" s="1"/>
  <c r="C136" i="23" s="1"/>
  <c r="C137" i="23" s="1"/>
  <c r="C138" i="23" s="1"/>
  <c r="D138" i="23"/>
  <c r="F12" i="23" s="1"/>
  <c r="G12" i="23" s="1"/>
  <c r="J114" i="23"/>
  <c r="L10" i="23" s="1"/>
  <c r="M10" i="23" s="1"/>
  <c r="O140" i="23"/>
  <c r="O141" i="23" s="1"/>
  <c r="O142" i="23" s="1"/>
  <c r="O143" i="23" s="1"/>
  <c r="O144" i="23" s="1"/>
  <c r="O145" i="23" s="1"/>
  <c r="O146" i="23" s="1"/>
  <c r="O147" i="23" s="1"/>
  <c r="O148" i="23" s="1"/>
  <c r="O149" i="23" s="1"/>
  <c r="O150" i="23" s="1"/>
  <c r="Q150" i="23" s="1"/>
  <c r="P14" i="23" s="1"/>
  <c r="Q14" i="23" s="1"/>
  <c r="O151" i="23" s="1"/>
  <c r="U140" i="23"/>
  <c r="U141" i="23" s="1"/>
  <c r="U142" i="23" s="1"/>
  <c r="U143" i="23" s="1"/>
  <c r="U144" i="23" s="1"/>
  <c r="U145" i="23" s="1"/>
  <c r="U146" i="23" s="1"/>
  <c r="U147" i="23" s="1"/>
  <c r="U148" i="23" s="1"/>
  <c r="U149" i="23" s="1"/>
  <c r="U150" i="23" s="1"/>
  <c r="I116" i="23"/>
  <c r="I117" i="23" s="1"/>
  <c r="I118" i="23" s="1"/>
  <c r="I119" i="23" s="1"/>
  <c r="I120" i="23" s="1"/>
  <c r="I121" i="23" s="1"/>
  <c r="I122" i="23" s="1"/>
  <c r="I123" i="23" s="1"/>
  <c r="I124" i="23" s="1"/>
  <c r="I125" i="23" s="1"/>
  <c r="I126" i="23" s="1"/>
  <c r="K126" i="23" s="1"/>
  <c r="J12" i="23" s="1"/>
  <c r="K12" i="23" s="1"/>
  <c r="I127" i="23" s="1"/>
  <c r="K22" i="35"/>
  <c r="K150" i="35" s="1"/>
  <c r="P312" i="35"/>
  <c r="G54" i="35"/>
  <c r="G157" i="35" s="1"/>
  <c r="Q295" i="35"/>
  <c r="AH369" i="35"/>
  <c r="L54" i="35"/>
  <c r="L157" i="35" s="1"/>
  <c r="L172" i="35" s="1"/>
  <c r="Q318" i="35"/>
  <c r="AE359" i="35" s="1"/>
  <c r="AE369" i="35" s="1"/>
  <c r="M29" i="35"/>
  <c r="M40" i="35" s="1"/>
  <c r="Q324" i="35"/>
  <c r="L29" i="35"/>
  <c r="L40" i="35" s="1"/>
  <c r="Q319" i="35"/>
  <c r="J29" i="35"/>
  <c r="J40" i="35" s="1"/>
  <c r="Q309" i="35"/>
  <c r="H54" i="35"/>
  <c r="H157" i="35" s="1"/>
  <c r="H172" i="35" s="1"/>
  <c r="Q299" i="35"/>
  <c r="AE355" i="35" s="1"/>
  <c r="AE365" i="35" s="1"/>
  <c r="H29" i="35"/>
  <c r="Q300" i="35"/>
  <c r="AH355" i="35" s="1"/>
  <c r="M38" i="35"/>
  <c r="L170" i="35"/>
  <c r="I170" i="35"/>
  <c r="K212" i="35"/>
  <c r="K239" i="35" s="1"/>
  <c r="AZ343" i="35" s="1"/>
  <c r="AZ381" i="35" s="1"/>
  <c r="L22" i="35"/>
  <c r="J22" i="35"/>
  <c r="M22" i="35"/>
  <c r="C5" i="35"/>
  <c r="I22" i="35"/>
  <c r="I65" i="35" s="1"/>
  <c r="C4" i="35"/>
  <c r="H22" i="35"/>
  <c r="H65" i="35" s="1"/>
  <c r="C211" i="24"/>
  <c r="C223" i="24" s="1"/>
  <c r="E49" i="11"/>
  <c r="C215" i="19"/>
  <c r="C227" i="19" s="1"/>
  <c r="D215" i="19"/>
  <c r="D227" i="19" s="1"/>
  <c r="D215" i="25"/>
  <c r="D227" i="25" s="1"/>
  <c r="D211" i="27"/>
  <c r="D223" i="27" s="1"/>
  <c r="D213" i="24"/>
  <c r="D225" i="24" s="1"/>
  <c r="C208" i="27"/>
  <c r="C220" i="27" s="1"/>
  <c r="D213" i="19"/>
  <c r="D225" i="19" s="1"/>
  <c r="C213" i="24"/>
  <c r="C225" i="24" s="1"/>
  <c r="C211" i="25"/>
  <c r="C223" i="25" s="1"/>
  <c r="C217" i="24"/>
  <c r="C229" i="24" s="1"/>
  <c r="D217" i="24"/>
  <c r="D229" i="24" s="1"/>
  <c r="D209" i="24"/>
  <c r="D221" i="24" s="1"/>
  <c r="D207" i="27"/>
  <c r="D219" i="27" s="1"/>
  <c r="C210" i="25"/>
  <c r="C222" i="25" s="1"/>
  <c r="D211" i="19"/>
  <c r="D223" i="19" s="1"/>
  <c r="C208" i="19"/>
  <c r="C220" i="19" s="1"/>
  <c r="D213" i="25"/>
  <c r="D225" i="25" s="1"/>
  <c r="D207" i="19"/>
  <c r="D219" i="19" s="1"/>
  <c r="C213" i="27"/>
  <c r="C225" i="27" s="1"/>
  <c r="C210" i="24"/>
  <c r="C222" i="24" s="1"/>
  <c r="D211" i="24"/>
  <c r="D223" i="24" s="1"/>
  <c r="C215" i="24"/>
  <c r="C227" i="24" s="1"/>
  <c r="C217" i="25"/>
  <c r="D209" i="25"/>
  <c r="D221" i="25" s="1"/>
  <c r="D217" i="25"/>
  <c r="D229" i="25" s="1"/>
  <c r="D209" i="19"/>
  <c r="D221" i="19" s="1"/>
  <c r="D217" i="19"/>
  <c r="D229" i="19" s="1"/>
  <c r="C113" i="24"/>
  <c r="C113" i="28"/>
  <c r="C113" i="27"/>
  <c r="C113" i="25"/>
  <c r="C113" i="19"/>
  <c r="C117" i="24"/>
  <c r="C117" i="28"/>
  <c r="C117" i="27"/>
  <c r="C117" i="25"/>
  <c r="C117" i="19"/>
  <c r="C121" i="24"/>
  <c r="C121" i="28"/>
  <c r="C121" i="27"/>
  <c r="C121" i="25"/>
  <c r="C121" i="19"/>
  <c r="C123" i="24"/>
  <c r="C123" i="28"/>
  <c r="C123" i="25"/>
  <c r="C123" i="27"/>
  <c r="C123" i="19"/>
  <c r="C127" i="24"/>
  <c r="C127" i="28"/>
  <c r="C127" i="25"/>
  <c r="C127" i="27"/>
  <c r="C127" i="19"/>
  <c r="C131" i="24"/>
  <c r="C131" i="28"/>
  <c r="C131" i="25"/>
  <c r="C131" i="27"/>
  <c r="C131" i="19"/>
  <c r="C135" i="24"/>
  <c r="C135" i="28"/>
  <c r="C135" i="25"/>
  <c r="C135" i="27"/>
  <c r="C135" i="19"/>
  <c r="C139" i="24"/>
  <c r="C139" i="28"/>
  <c r="C139" i="25"/>
  <c r="C139" i="27"/>
  <c r="C139" i="19"/>
  <c r="C141" i="24"/>
  <c r="C141" i="28"/>
  <c r="C141" i="27"/>
  <c r="C141" i="25"/>
  <c r="C141" i="19"/>
  <c r="C145" i="24"/>
  <c r="C145" i="28"/>
  <c r="C145" i="27"/>
  <c r="C145" i="25"/>
  <c r="C145" i="19"/>
  <c r="C149" i="28"/>
  <c r="C149" i="27"/>
  <c r="C149" i="25"/>
  <c r="C149" i="19"/>
  <c r="C149" i="24"/>
  <c r="C154" i="28"/>
  <c r="C154" i="25"/>
  <c r="C154" i="27"/>
  <c r="C154" i="19"/>
  <c r="C154" i="24"/>
  <c r="D158" i="28"/>
  <c r="D158" i="27"/>
  <c r="D158" i="25"/>
  <c r="D158" i="19"/>
  <c r="D158" i="24"/>
  <c r="C227" i="27"/>
  <c r="D208" i="27"/>
  <c r="D208" i="19"/>
  <c r="D220" i="19" s="1"/>
  <c r="D208" i="25"/>
  <c r="D220" i="25" s="1"/>
  <c r="D208" i="24"/>
  <c r="D220" i="24" s="1"/>
  <c r="C216" i="27"/>
  <c r="C228" i="27" s="1"/>
  <c r="C216" i="25"/>
  <c r="C216" i="19"/>
  <c r="C228" i="19" s="1"/>
  <c r="C216" i="24"/>
  <c r="C228" i="24" s="1"/>
  <c r="C209" i="27"/>
  <c r="C209" i="25"/>
  <c r="C209" i="19"/>
  <c r="C221" i="19" s="1"/>
  <c r="C209" i="24"/>
  <c r="C221" i="24" s="1"/>
  <c r="C229" i="27"/>
  <c r="C225" i="25"/>
  <c r="C219" i="27"/>
  <c r="D111" i="28"/>
  <c r="D111" i="27"/>
  <c r="D111" i="25"/>
  <c r="D111" i="19"/>
  <c r="D113" i="24"/>
  <c r="D113" i="28"/>
  <c r="D113" i="27"/>
  <c r="D113" i="25"/>
  <c r="D113" i="19"/>
  <c r="D115" i="24"/>
  <c r="D115" i="28"/>
  <c r="D115" i="27"/>
  <c r="D115" i="25"/>
  <c r="D115" i="19"/>
  <c r="D117" i="24"/>
  <c r="D117" i="28"/>
  <c r="D117" i="27"/>
  <c r="D117" i="25"/>
  <c r="D117" i="19"/>
  <c r="D119" i="24"/>
  <c r="D119" i="28"/>
  <c r="D119" i="27"/>
  <c r="D119" i="25"/>
  <c r="D119" i="19"/>
  <c r="D121" i="24"/>
  <c r="D121" i="28"/>
  <c r="D121" i="27"/>
  <c r="D121" i="25"/>
  <c r="D121" i="19"/>
  <c r="D123" i="24"/>
  <c r="D123" i="28"/>
  <c r="D123" i="27"/>
  <c r="D123" i="25"/>
  <c r="D123" i="19"/>
  <c r="D125" i="24"/>
  <c r="D125" i="28"/>
  <c r="D125" i="25"/>
  <c r="D125" i="27"/>
  <c r="D125" i="19"/>
  <c r="D127" i="24"/>
  <c r="D127" i="28"/>
  <c r="D127" i="27"/>
  <c r="D127" i="25"/>
  <c r="D127" i="19"/>
  <c r="D129" i="24"/>
  <c r="D129" i="28"/>
  <c r="D129" i="27"/>
  <c r="D129" i="25"/>
  <c r="D129" i="19"/>
  <c r="D131" i="24"/>
  <c r="D131" i="28"/>
  <c r="D131" i="27"/>
  <c r="D131" i="25"/>
  <c r="D131" i="19"/>
  <c r="D133" i="24"/>
  <c r="D133" i="28"/>
  <c r="D133" i="25"/>
  <c r="D133" i="27"/>
  <c r="D133" i="19"/>
  <c r="D135" i="24"/>
  <c r="D135" i="28"/>
  <c r="D135" i="27"/>
  <c r="D135" i="25"/>
  <c r="D135" i="19"/>
  <c r="D137" i="24"/>
  <c r="D137" i="28"/>
  <c r="D137" i="27"/>
  <c r="D137" i="25"/>
  <c r="D137" i="19"/>
  <c r="D139" i="24"/>
  <c r="D139" i="28"/>
  <c r="D139" i="27"/>
  <c r="D139" i="25"/>
  <c r="D139" i="19"/>
  <c r="D141" i="24"/>
  <c r="D141" i="28"/>
  <c r="D141" i="27"/>
  <c r="D141" i="25"/>
  <c r="D141" i="19"/>
  <c r="D143" i="24"/>
  <c r="D143" i="28"/>
  <c r="D143" i="27"/>
  <c r="D143" i="25"/>
  <c r="D143" i="19"/>
  <c r="D145" i="24"/>
  <c r="D145" i="28"/>
  <c r="D145" i="27"/>
  <c r="D145" i="25"/>
  <c r="D145" i="19"/>
  <c r="D147" i="28"/>
  <c r="D147" i="27"/>
  <c r="D147" i="25"/>
  <c r="D147" i="19"/>
  <c r="D147" i="24"/>
  <c r="C150" i="28"/>
  <c r="C150" i="25"/>
  <c r="C150" i="27"/>
  <c r="C150" i="19"/>
  <c r="C150" i="24"/>
  <c r="C152" i="28"/>
  <c r="C152" i="25"/>
  <c r="C152" i="27"/>
  <c r="C152" i="19"/>
  <c r="C152" i="24"/>
  <c r="D154" i="27"/>
  <c r="D154" i="25"/>
  <c r="D154" i="28"/>
  <c r="D154" i="19"/>
  <c r="D154" i="24"/>
  <c r="D156" i="28"/>
  <c r="D156" i="27"/>
  <c r="D156" i="25"/>
  <c r="D156" i="19"/>
  <c r="D156" i="24"/>
  <c r="C222" i="27"/>
  <c r="C227" i="25"/>
  <c r="D216" i="27"/>
  <c r="D216" i="19"/>
  <c r="D228" i="19" s="1"/>
  <c r="D216" i="25"/>
  <c r="D228" i="25" s="1"/>
  <c r="D216" i="24"/>
  <c r="D228" i="24" s="1"/>
  <c r="D212" i="27"/>
  <c r="D212" i="19"/>
  <c r="D224" i="19" s="1"/>
  <c r="D212" i="25"/>
  <c r="D224" i="25" s="1"/>
  <c r="D212" i="24"/>
  <c r="D224" i="24" s="1"/>
  <c r="Z21" i="32"/>
  <c r="C112" i="24"/>
  <c r="C112" i="28"/>
  <c r="C112" i="25"/>
  <c r="C112" i="27"/>
  <c r="C112" i="19"/>
  <c r="C114" i="24"/>
  <c r="C114" i="28"/>
  <c r="C114" i="25"/>
  <c r="C114" i="27"/>
  <c r="C114" i="19"/>
  <c r="C116" i="24"/>
  <c r="C116" i="28"/>
  <c r="C116" i="25"/>
  <c r="C116" i="27"/>
  <c r="C116" i="19"/>
  <c r="C118" i="24"/>
  <c r="C118" i="28"/>
  <c r="C118" i="25"/>
  <c r="C118" i="27"/>
  <c r="C118" i="19"/>
  <c r="C120" i="24"/>
  <c r="C120" i="28"/>
  <c r="C120" i="25"/>
  <c r="C120" i="27"/>
  <c r="C120" i="19"/>
  <c r="C122" i="24"/>
  <c r="C122" i="28"/>
  <c r="C122" i="25"/>
  <c r="C122" i="27"/>
  <c r="C122" i="19"/>
  <c r="C124" i="24"/>
  <c r="C124" i="28"/>
  <c r="C124" i="25"/>
  <c r="C124" i="27"/>
  <c r="C124" i="19"/>
  <c r="C126" i="24"/>
  <c r="C126" i="28"/>
  <c r="C126" i="25"/>
  <c r="C126" i="27"/>
  <c r="C126" i="19"/>
  <c r="C128" i="24"/>
  <c r="C128" i="28"/>
  <c r="C128" i="25"/>
  <c r="C128" i="27"/>
  <c r="C128" i="19"/>
  <c r="C130" i="24"/>
  <c r="C130" i="28"/>
  <c r="C130" i="25"/>
  <c r="C130" i="27"/>
  <c r="C130" i="19"/>
  <c r="C132" i="24"/>
  <c r="C132" i="28"/>
  <c r="C132" i="25"/>
  <c r="C132" i="27"/>
  <c r="C132" i="19"/>
  <c r="C134" i="24"/>
  <c r="C134" i="28"/>
  <c r="C134" i="25"/>
  <c r="C134" i="27"/>
  <c r="C134" i="19"/>
  <c r="C136" i="24"/>
  <c r="C136" i="28"/>
  <c r="C136" i="25"/>
  <c r="C136" i="27"/>
  <c r="C136" i="19"/>
  <c r="C138" i="24"/>
  <c r="C138" i="28"/>
  <c r="C138" i="25"/>
  <c r="C138" i="27"/>
  <c r="C138" i="19"/>
  <c r="C140" i="24"/>
  <c r="C140" i="28"/>
  <c r="C140" i="25"/>
  <c r="C140" i="27"/>
  <c r="C140" i="19"/>
  <c r="C142" i="24"/>
  <c r="C142" i="28"/>
  <c r="C142" i="25"/>
  <c r="C142" i="27"/>
  <c r="C142" i="19"/>
  <c r="C144" i="24"/>
  <c r="C144" i="28"/>
  <c r="C144" i="25"/>
  <c r="C144" i="27"/>
  <c r="C144" i="19"/>
  <c r="C146" i="24"/>
  <c r="C146" i="28"/>
  <c r="C146" i="25"/>
  <c r="C146" i="27"/>
  <c r="C146" i="19"/>
  <c r="C148" i="28"/>
  <c r="C148" i="25"/>
  <c r="C148" i="27"/>
  <c r="C148" i="19"/>
  <c r="C148" i="24"/>
  <c r="D150" i="28"/>
  <c r="D150" i="27"/>
  <c r="D150" i="25"/>
  <c r="D150" i="19"/>
  <c r="D150" i="24"/>
  <c r="D152" i="28"/>
  <c r="D152" i="25"/>
  <c r="D152" i="27"/>
  <c r="D152" i="19"/>
  <c r="D152" i="24"/>
  <c r="C155" i="28"/>
  <c r="C155" i="25"/>
  <c r="C155" i="27"/>
  <c r="C155" i="19"/>
  <c r="C155" i="24"/>
  <c r="C157" i="28"/>
  <c r="C157" i="27"/>
  <c r="C157" i="25"/>
  <c r="C157" i="19"/>
  <c r="C157" i="24"/>
  <c r="D210" i="27"/>
  <c r="D222" i="27" s="1"/>
  <c r="D210" i="19"/>
  <c r="D222" i="19" s="1"/>
  <c r="D210" i="25"/>
  <c r="D222" i="25" s="1"/>
  <c r="D210" i="24"/>
  <c r="D222" i="24" s="1"/>
  <c r="D214" i="27"/>
  <c r="D226" i="27" s="1"/>
  <c r="D214" i="19"/>
  <c r="D226" i="19" s="1"/>
  <c r="D214" i="25"/>
  <c r="D226" i="25" s="1"/>
  <c r="D214" i="24"/>
  <c r="D226" i="24" s="1"/>
  <c r="C214" i="27"/>
  <c r="C214" i="19"/>
  <c r="C226" i="19" s="1"/>
  <c r="C214" i="25"/>
  <c r="C214" i="24"/>
  <c r="C226" i="24" s="1"/>
  <c r="C220" i="25"/>
  <c r="C218" i="27"/>
  <c r="C218" i="19"/>
  <c r="C230" i="19" s="1"/>
  <c r="C218" i="25"/>
  <c r="C218" i="24"/>
  <c r="C230" i="24" s="1"/>
  <c r="C219" i="25"/>
  <c r="C111" i="28"/>
  <c r="C111" i="25"/>
  <c r="C111" i="27"/>
  <c r="C111" i="19"/>
  <c r="C115" i="24"/>
  <c r="C115" i="28"/>
  <c r="C115" i="25"/>
  <c r="C115" i="27"/>
  <c r="C115" i="19"/>
  <c r="C119" i="24"/>
  <c r="C119" i="28"/>
  <c r="C119" i="25"/>
  <c r="C119" i="27"/>
  <c r="C119" i="19"/>
  <c r="C125" i="24"/>
  <c r="C125" i="28"/>
  <c r="C125" i="27"/>
  <c r="C125" i="25"/>
  <c r="C125" i="19"/>
  <c r="C129" i="24"/>
  <c r="C129" i="28"/>
  <c r="C129" i="27"/>
  <c r="C129" i="25"/>
  <c r="C129" i="19"/>
  <c r="C133" i="24"/>
  <c r="C133" i="28"/>
  <c r="C133" i="27"/>
  <c r="C133" i="25"/>
  <c r="C133" i="19"/>
  <c r="C137" i="24"/>
  <c r="C137" i="28"/>
  <c r="C137" i="27"/>
  <c r="C137" i="25"/>
  <c r="C137" i="19"/>
  <c r="C143" i="24"/>
  <c r="C143" i="28"/>
  <c r="C143" i="25"/>
  <c r="C143" i="27"/>
  <c r="C143" i="19"/>
  <c r="C147" i="28"/>
  <c r="C147" i="25"/>
  <c r="C147" i="27"/>
  <c r="C147" i="19"/>
  <c r="C147" i="24"/>
  <c r="D151" i="28"/>
  <c r="D151" i="27"/>
  <c r="D151" i="25"/>
  <c r="D151" i="19"/>
  <c r="D151" i="24"/>
  <c r="C156" i="28"/>
  <c r="C156" i="25"/>
  <c r="C156" i="27"/>
  <c r="C156" i="19"/>
  <c r="C156" i="24"/>
  <c r="D112" i="24"/>
  <c r="D112" i="27"/>
  <c r="D112" i="28"/>
  <c r="D112" i="25"/>
  <c r="D112" i="19"/>
  <c r="D114" i="24"/>
  <c r="D114" i="27"/>
  <c r="D114" i="28"/>
  <c r="D114" i="25"/>
  <c r="D114" i="19"/>
  <c r="D116" i="24"/>
  <c r="D116" i="27"/>
  <c r="D116" i="28"/>
  <c r="D116" i="25"/>
  <c r="D116" i="19"/>
  <c r="D118" i="24"/>
  <c r="D118" i="28"/>
  <c r="D118" i="25"/>
  <c r="D118" i="27"/>
  <c r="D118" i="19"/>
  <c r="D120" i="24"/>
  <c r="D120" i="27"/>
  <c r="D120" i="28"/>
  <c r="D120" i="25"/>
  <c r="D120" i="19"/>
  <c r="D122" i="24"/>
  <c r="D122" i="27"/>
  <c r="D122" i="28"/>
  <c r="D122" i="25"/>
  <c r="D122" i="19"/>
  <c r="D124" i="24"/>
  <c r="D124" i="27"/>
  <c r="D124" i="28"/>
  <c r="D124" i="25"/>
  <c r="D124" i="19"/>
  <c r="D126" i="24"/>
  <c r="D126" i="27"/>
  <c r="D126" i="25"/>
  <c r="D126" i="28"/>
  <c r="D126" i="19"/>
  <c r="D128" i="24"/>
  <c r="D128" i="28"/>
  <c r="D128" i="27"/>
  <c r="D128" i="25"/>
  <c r="D128" i="19"/>
  <c r="D130" i="24"/>
  <c r="D130" i="27"/>
  <c r="D130" i="28"/>
  <c r="D130" i="25"/>
  <c r="D130" i="19"/>
  <c r="D132" i="24"/>
  <c r="D132" i="28"/>
  <c r="D132" i="27"/>
  <c r="D132" i="25"/>
  <c r="D132" i="19"/>
  <c r="D134" i="24"/>
  <c r="D134" i="27"/>
  <c r="D134" i="28"/>
  <c r="D134" i="25"/>
  <c r="D134" i="19"/>
  <c r="D136" i="24"/>
  <c r="D136" i="28"/>
  <c r="D136" i="25"/>
  <c r="D136" i="27"/>
  <c r="D136" i="19"/>
  <c r="D138" i="24"/>
  <c r="D138" i="27"/>
  <c r="D138" i="28"/>
  <c r="D138" i="25"/>
  <c r="D138" i="19"/>
  <c r="D140" i="24"/>
  <c r="D140" i="28"/>
  <c r="D140" i="27"/>
  <c r="D140" i="25"/>
  <c r="D140" i="19"/>
  <c r="D142" i="24"/>
  <c r="D142" i="25"/>
  <c r="D142" i="28"/>
  <c r="D142" i="27"/>
  <c r="D142" i="19"/>
  <c r="D144" i="24"/>
  <c r="D144" i="28"/>
  <c r="D144" i="27"/>
  <c r="D144" i="25"/>
  <c r="D144" i="19"/>
  <c r="D146" i="24"/>
  <c r="D146" i="27"/>
  <c r="D146" i="28"/>
  <c r="D146" i="25"/>
  <c r="D146" i="19"/>
  <c r="D148" i="28"/>
  <c r="D148" i="27"/>
  <c r="D148" i="25"/>
  <c r="D148" i="19"/>
  <c r="D148" i="24"/>
  <c r="C151" i="28"/>
  <c r="C151" i="25"/>
  <c r="C151" i="27"/>
  <c r="C151" i="19"/>
  <c r="C151" i="24"/>
  <c r="C153" i="28"/>
  <c r="C153" i="27"/>
  <c r="C153" i="25"/>
  <c r="C153" i="19"/>
  <c r="C153" i="24"/>
  <c r="D155" i="28"/>
  <c r="D155" i="27"/>
  <c r="D155" i="25"/>
  <c r="D155" i="19"/>
  <c r="D155" i="24"/>
  <c r="C158" i="28"/>
  <c r="C158" i="25"/>
  <c r="C158" i="27"/>
  <c r="C158" i="19"/>
  <c r="C158" i="24"/>
  <c r="C212" i="27"/>
  <c r="C224" i="27" s="1"/>
  <c r="C212" i="19"/>
  <c r="C224" i="19" s="1"/>
  <c r="C212" i="25"/>
  <c r="C212" i="24"/>
  <c r="C224" i="24" s="1"/>
  <c r="C223" i="27"/>
  <c r="D218" i="27"/>
  <c r="D230" i="27" s="1"/>
  <c r="D218" i="19"/>
  <c r="D230" i="19" s="1"/>
  <c r="D218" i="25"/>
  <c r="D230" i="25" s="1"/>
  <c r="D218" i="24"/>
  <c r="D230" i="24" s="1"/>
  <c r="C255" i="25"/>
  <c r="C255" i="27"/>
  <c r="C255" i="24"/>
  <c r="C229" i="25"/>
  <c r="D25" i="11"/>
  <c r="D49" i="11" s="1"/>
  <c r="C30" i="11"/>
  <c r="D29" i="11"/>
  <c r="K26" i="35" s="1"/>
  <c r="K37" i="35" s="1"/>
  <c r="C24" i="11"/>
  <c r="J25" i="35" s="1"/>
  <c r="J36" i="35" s="1"/>
  <c r="F29" i="11"/>
  <c r="K28" i="35" s="1"/>
  <c r="K39" i="35" s="1"/>
  <c r="M17" i="9"/>
  <c r="N17" i="9"/>
  <c r="C10" i="11"/>
  <c r="G50" i="35" s="1"/>
  <c r="G153" i="35" s="1"/>
  <c r="E10" i="11"/>
  <c r="G52" i="35" s="1"/>
  <c r="G155" i="35" s="1"/>
  <c r="E14" i="11"/>
  <c r="H52" i="35" s="1"/>
  <c r="H155" i="35" s="1"/>
  <c r="H169" i="35" s="1"/>
  <c r="E52" i="11"/>
  <c r="E23" i="11"/>
  <c r="J52" i="35" s="1"/>
  <c r="J155" i="35" s="1"/>
  <c r="B33" i="11"/>
  <c r="L49" i="35" s="1"/>
  <c r="L152" i="35" s="1"/>
  <c r="L167" i="35" s="1"/>
  <c r="D18" i="11"/>
  <c r="I51" i="35" s="1"/>
  <c r="I154" i="35" s="1"/>
  <c r="B38" i="11"/>
  <c r="M49" i="35" s="1"/>
  <c r="M152" i="35" s="1"/>
  <c r="M167" i="35" s="1"/>
  <c r="E28" i="11"/>
  <c r="K52" i="35" s="1"/>
  <c r="K155" i="35" s="1"/>
  <c r="K169" i="35" s="1"/>
  <c r="D33" i="11"/>
  <c r="L51" i="35" s="1"/>
  <c r="L154" i="35" s="1"/>
  <c r="L168" i="35" s="1"/>
  <c r="C14" i="11"/>
  <c r="H50" i="35" s="1"/>
  <c r="H153" i="35" s="1"/>
  <c r="H167" i="35" s="1"/>
  <c r="C18" i="11"/>
  <c r="I50" i="35" s="1"/>
  <c r="I153" i="35" s="1"/>
  <c r="I167" i="35" s="1"/>
  <c r="G52" i="11"/>
  <c r="F28" i="11"/>
  <c r="K53" i="35" s="1"/>
  <c r="K156" i="35" s="1"/>
  <c r="B243" i="24"/>
  <c r="B242" i="24"/>
  <c r="B241" i="24"/>
  <c r="B240" i="24"/>
  <c r="G70" i="35"/>
  <c r="G69" i="35"/>
  <c r="G68" i="35"/>
  <c r="I69" i="35"/>
  <c r="I79" i="35" s="1"/>
  <c r="F35" i="11"/>
  <c r="B16" i="18"/>
  <c r="B30" i="11"/>
  <c r="G25" i="11"/>
  <c r="D52" i="11"/>
  <c r="E54" i="11"/>
  <c r="C20" i="11"/>
  <c r="C35" i="11"/>
  <c r="B25" i="11"/>
  <c r="C29" i="11"/>
  <c r="K25" i="35" s="1"/>
  <c r="K36" i="35" s="1"/>
  <c r="F23" i="11"/>
  <c r="J53" i="35" s="1"/>
  <c r="J156" i="35" s="1"/>
  <c r="G18" i="11"/>
  <c r="B28" i="11"/>
  <c r="K49" i="35" s="1"/>
  <c r="K152" i="35" s="1"/>
  <c r="B35" i="11"/>
  <c r="F25" i="11"/>
  <c r="F54" i="11"/>
  <c r="F15" i="11"/>
  <c r="H28" i="35" s="1"/>
  <c r="D10" i="11"/>
  <c r="G51" i="35" s="1"/>
  <c r="G154" i="35" s="1"/>
  <c r="D111" i="24"/>
  <c r="C23" i="11"/>
  <c r="J50" i="35" s="1"/>
  <c r="J153" i="35" s="1"/>
  <c r="C52" i="11"/>
  <c r="G28" i="11"/>
  <c r="G30" i="11"/>
  <c r="Q315" i="35" s="1"/>
  <c r="AH358" i="35" s="1"/>
  <c r="F10" i="11"/>
  <c r="G53" i="35" s="1"/>
  <c r="G156" i="35" s="1"/>
  <c r="F52" i="11"/>
  <c r="B17" i="17"/>
  <c r="B52" i="11"/>
  <c r="D15" i="11"/>
  <c r="H26" i="35" s="1"/>
  <c r="D54" i="11"/>
  <c r="C25" i="11"/>
  <c r="C54" i="11"/>
  <c r="G38" i="11"/>
  <c r="G23" i="11"/>
  <c r="G29" i="11"/>
  <c r="D23" i="11"/>
  <c r="J51" i="35" s="1"/>
  <c r="J154" i="35" s="1"/>
  <c r="F19" i="11"/>
  <c r="I28" i="35" s="1"/>
  <c r="G19" i="11"/>
  <c r="F20" i="11"/>
  <c r="D38" i="11"/>
  <c r="M51" i="35" s="1"/>
  <c r="B24" i="11"/>
  <c r="J24" i="35" s="1"/>
  <c r="J35" i="35" s="1"/>
  <c r="K17" i="9"/>
  <c r="G54" i="11"/>
  <c r="G20" i="11"/>
  <c r="Q305" i="35" s="1"/>
  <c r="F38" i="11"/>
  <c r="M53" i="35" s="1"/>
  <c r="E34" i="11"/>
  <c r="L27" i="35" s="1"/>
  <c r="C28" i="11"/>
  <c r="K50" i="35" s="1"/>
  <c r="K153" i="35" s="1"/>
  <c r="B23" i="11"/>
  <c r="J49" i="35" s="1"/>
  <c r="J152" i="35" s="1"/>
  <c r="C111" i="24"/>
  <c r="B303" i="31"/>
  <c r="Y41" i="32"/>
  <c r="Y21" i="32"/>
  <c r="G255" i="31"/>
  <c r="H261" i="24"/>
  <c r="B237" i="24"/>
  <c r="B235" i="24"/>
  <c r="B239" i="24"/>
  <c r="B238" i="24"/>
  <c r="B236" i="24"/>
  <c r="B234" i="24"/>
  <c r="G187" i="35" l="1"/>
  <c r="K31" i="9"/>
  <c r="Q310" i="35"/>
  <c r="AH357" i="35" s="1"/>
  <c r="AH367" i="35" s="1"/>
  <c r="P150" i="23"/>
  <c r="R13" i="23" s="1"/>
  <c r="S13" i="23" s="1"/>
  <c r="W150" i="23"/>
  <c r="V14" i="23" s="1"/>
  <c r="W14" i="23" s="1"/>
  <c r="U151" i="23" s="1"/>
  <c r="I128" i="23"/>
  <c r="I129" i="23" s="1"/>
  <c r="I130" i="23" s="1"/>
  <c r="I131" i="23" s="1"/>
  <c r="I132" i="23" s="1"/>
  <c r="I133" i="23" s="1"/>
  <c r="I134" i="23" s="1"/>
  <c r="I135" i="23" s="1"/>
  <c r="I136" i="23" s="1"/>
  <c r="I137" i="23" s="1"/>
  <c r="I138" i="23" s="1"/>
  <c r="K138" i="23" s="1"/>
  <c r="J13" i="23" s="1"/>
  <c r="K13" i="23" s="1"/>
  <c r="I139" i="23" s="1"/>
  <c r="E138" i="23"/>
  <c r="D13" i="23" s="1"/>
  <c r="E13" i="23" s="1"/>
  <c r="C139" i="23" s="1"/>
  <c r="J126" i="23"/>
  <c r="L11" i="23" s="1"/>
  <c r="M11" i="23" s="1"/>
  <c r="O152" i="23"/>
  <c r="O153" i="23" s="1"/>
  <c r="O154" i="23" s="1"/>
  <c r="O155" i="23" s="1"/>
  <c r="O156" i="23" s="1"/>
  <c r="O157" i="23" s="1"/>
  <c r="O158" i="23" s="1"/>
  <c r="O159" i="23" s="1"/>
  <c r="O160" i="23" s="1"/>
  <c r="O161" i="23" s="1"/>
  <c r="O162" i="23" s="1"/>
  <c r="Q162" i="23" s="1"/>
  <c r="AB150" i="23"/>
  <c r="AD13" i="23" s="1"/>
  <c r="AE13" i="23" s="1"/>
  <c r="B30" i="17"/>
  <c r="G176" i="35" s="1"/>
  <c r="V150" i="23"/>
  <c r="X13" i="23" s="1"/>
  <c r="Y13" i="23" s="1"/>
  <c r="AA152" i="23"/>
  <c r="AA153" i="23" s="1"/>
  <c r="AA154" i="23" s="1"/>
  <c r="AA155" i="23" s="1"/>
  <c r="AA156" i="23" s="1"/>
  <c r="AA157" i="23" s="1"/>
  <c r="AA158" i="23" s="1"/>
  <c r="AA159" i="23" s="1"/>
  <c r="AA160" i="23" s="1"/>
  <c r="AA161" i="23" s="1"/>
  <c r="AA162" i="23" s="1"/>
  <c r="AC162" i="23" s="1"/>
  <c r="L171" i="35"/>
  <c r="AL355" i="35"/>
  <c r="AL365" i="35" s="1"/>
  <c r="J54" i="35"/>
  <c r="J157" i="35" s="1"/>
  <c r="J171" i="35" s="1"/>
  <c r="Q308" i="35"/>
  <c r="AE357" i="35" s="1"/>
  <c r="AE367" i="35" s="1"/>
  <c r="AH356" i="35"/>
  <c r="AH368" i="35"/>
  <c r="H187" i="35"/>
  <c r="G87" i="37"/>
  <c r="K87" i="37" s="1"/>
  <c r="G67" i="35"/>
  <c r="H171" i="35"/>
  <c r="K29" i="35"/>
  <c r="K40" i="35" s="1"/>
  <c r="Q314" i="35"/>
  <c r="K54" i="35"/>
  <c r="K157" i="35" s="1"/>
  <c r="K171" i="35" s="1"/>
  <c r="Q313" i="35"/>
  <c r="AE358" i="35" s="1"/>
  <c r="AE368" i="35" s="1"/>
  <c r="I54" i="35"/>
  <c r="I157" i="35" s="1"/>
  <c r="I172" i="35" s="1"/>
  <c r="Q303" i="35"/>
  <c r="AE356" i="35" s="1"/>
  <c r="AE366" i="35" s="1"/>
  <c r="AL359" i="35"/>
  <c r="AL369" i="35" s="1"/>
  <c r="N31" i="9"/>
  <c r="N43" i="9" s="1"/>
  <c r="J187" i="35"/>
  <c r="AE354" i="35"/>
  <c r="M54" i="35"/>
  <c r="M157" i="35" s="1"/>
  <c r="M172" i="35" s="1"/>
  <c r="Q323" i="35"/>
  <c r="AE360" i="35" s="1"/>
  <c r="M31" i="9"/>
  <c r="M43" i="9" s="1"/>
  <c r="I187" i="35"/>
  <c r="AD395" i="35"/>
  <c r="AD405" i="35" s="1"/>
  <c r="AZ403" i="35"/>
  <c r="AH365" i="35"/>
  <c r="AD358" i="35"/>
  <c r="AD368" i="35" s="1"/>
  <c r="B27" i="18"/>
  <c r="G279" i="35" s="1"/>
  <c r="I235" i="35" s="1"/>
  <c r="G268" i="35"/>
  <c r="G278" i="35" s="1"/>
  <c r="I29" i="35"/>
  <c r="Q304" i="35"/>
  <c r="H5" i="9"/>
  <c r="P5" i="9" s="1"/>
  <c r="G103" i="35"/>
  <c r="H10" i="9"/>
  <c r="P10" i="9" s="1"/>
  <c r="G108" i="35"/>
  <c r="H11" i="9"/>
  <c r="P11" i="9" s="1"/>
  <c r="G109" i="35"/>
  <c r="H8" i="9"/>
  <c r="P8" i="9" s="1"/>
  <c r="G106" i="35"/>
  <c r="H12" i="9"/>
  <c r="P12" i="9" s="1"/>
  <c r="G110" i="35"/>
  <c r="H6" i="9"/>
  <c r="P6" i="9" s="1"/>
  <c r="G104" i="35"/>
  <c r="H7" i="9"/>
  <c r="P7" i="9" s="1"/>
  <c r="G105" i="35"/>
  <c r="H3" i="9"/>
  <c r="P3" i="9" s="1"/>
  <c r="G101" i="35"/>
  <c r="H4" i="9"/>
  <c r="P4" i="9" s="1"/>
  <c r="G102" i="35"/>
  <c r="H9" i="9"/>
  <c r="P9" i="9" s="1"/>
  <c r="G107" i="35"/>
  <c r="K167" i="35"/>
  <c r="K168" i="35"/>
  <c r="O152" i="35"/>
  <c r="O155" i="35"/>
  <c r="M154" i="35"/>
  <c r="M168" i="35" s="1"/>
  <c r="M156" i="35"/>
  <c r="O156" i="35" s="1"/>
  <c r="O153" i="35"/>
  <c r="O52" i="35"/>
  <c r="O53" i="35"/>
  <c r="O49" i="35"/>
  <c r="O51" i="35"/>
  <c r="O50" i="35"/>
  <c r="L38" i="35"/>
  <c r="L169" i="35"/>
  <c r="J170" i="35"/>
  <c r="K170" i="35"/>
  <c r="I212" i="35"/>
  <c r="I239" i="35" s="1"/>
  <c r="AZ341" i="35" s="1"/>
  <c r="AZ379" i="35" s="1"/>
  <c r="I83" i="35"/>
  <c r="I150" i="35"/>
  <c r="L212" i="35"/>
  <c r="L239" i="35" s="1"/>
  <c r="AZ344" i="35" s="1"/>
  <c r="AZ382" i="35" s="1"/>
  <c r="L150" i="35"/>
  <c r="I168" i="35"/>
  <c r="G172" i="35"/>
  <c r="K164" i="35"/>
  <c r="K179" i="35"/>
  <c r="H185" i="35" s="1"/>
  <c r="H200" i="35" s="1"/>
  <c r="J167" i="35"/>
  <c r="J168" i="35"/>
  <c r="H150" i="35"/>
  <c r="H212" i="35"/>
  <c r="H239" i="35" s="1"/>
  <c r="AZ340" i="35" s="1"/>
  <c r="AZ378" i="35" s="1"/>
  <c r="H83" i="35"/>
  <c r="H168" i="35"/>
  <c r="H170" i="35"/>
  <c r="J212" i="35"/>
  <c r="J239" i="35" s="1"/>
  <c r="AZ342" i="35" s="1"/>
  <c r="AZ380" i="35" s="1"/>
  <c r="J150" i="35"/>
  <c r="J169" i="35"/>
  <c r="I169" i="35"/>
  <c r="M212" i="35"/>
  <c r="M239" i="35" s="1"/>
  <c r="M150" i="35"/>
  <c r="F49" i="11"/>
  <c r="F59" i="11" s="1"/>
  <c r="B47" i="11"/>
  <c r="B57" i="11" s="1"/>
  <c r="G47" i="11"/>
  <c r="G57" i="11" s="1"/>
  <c r="C49" i="11"/>
  <c r="C59" i="11" s="1"/>
  <c r="B49" i="11"/>
  <c r="F47" i="11"/>
  <c r="F57" i="11" s="1"/>
  <c r="G49" i="11"/>
  <c r="G59" i="11" s="1"/>
  <c r="E47" i="11"/>
  <c r="E57" i="11" s="1"/>
  <c r="D47" i="11"/>
  <c r="D57" i="11" s="1"/>
  <c r="C47" i="11"/>
  <c r="C57" i="11" s="1"/>
  <c r="D59" i="11"/>
  <c r="D153" i="28"/>
  <c r="D153" i="27"/>
  <c r="D153" i="25"/>
  <c r="D153" i="19"/>
  <c r="D153" i="24"/>
  <c r="C230" i="25"/>
  <c r="C226" i="27"/>
  <c r="C221" i="27"/>
  <c r="D149" i="28"/>
  <c r="D149" i="27"/>
  <c r="D149" i="25"/>
  <c r="D149" i="19"/>
  <c r="D149" i="24"/>
  <c r="C303" i="31"/>
  <c r="C224" i="25"/>
  <c r="E59" i="11"/>
  <c r="C230" i="27"/>
  <c r="C226" i="25"/>
  <c r="D224" i="27"/>
  <c r="D157" i="28"/>
  <c r="D157" i="27"/>
  <c r="D157" i="25"/>
  <c r="D157" i="19"/>
  <c r="D157" i="24"/>
  <c r="D228" i="27"/>
  <c r="C221" i="25"/>
  <c r="C228" i="25"/>
  <c r="D220" i="27"/>
  <c r="B247" i="24"/>
  <c r="G88" i="19"/>
  <c r="K88" i="19" s="1"/>
  <c r="G87" i="24"/>
  <c r="G87" i="39"/>
  <c r="K87" i="39" s="1"/>
  <c r="G71" i="35"/>
  <c r="G73" i="35"/>
  <c r="G74" i="35"/>
  <c r="G72" i="35"/>
  <c r="K43" i="9"/>
  <c r="G87" i="38"/>
  <c r="K87" i="38" s="1"/>
  <c r="H255" i="31"/>
  <c r="H262" i="24"/>
  <c r="Q334" i="35" l="1"/>
  <c r="AE399" i="35" s="1"/>
  <c r="AB162" i="23"/>
  <c r="AD14" i="23" s="1"/>
  <c r="AE14" i="23" s="1"/>
  <c r="J138" i="23"/>
  <c r="L12" i="23" s="1"/>
  <c r="M12" i="23" s="1"/>
  <c r="C140" i="23"/>
  <c r="C141" i="23" s="1"/>
  <c r="C142" i="23" s="1"/>
  <c r="C143" i="23" s="1"/>
  <c r="C144" i="23" s="1"/>
  <c r="C145" i="23" s="1"/>
  <c r="C146" i="23" s="1"/>
  <c r="C147" i="23" s="1"/>
  <c r="C148" i="23" s="1"/>
  <c r="C149" i="23" s="1"/>
  <c r="C150" i="23" s="1"/>
  <c r="E150" i="23" s="1"/>
  <c r="D14" i="23" s="1"/>
  <c r="E14" i="23" s="1"/>
  <c r="C151" i="23" s="1"/>
  <c r="I140" i="23"/>
  <c r="I141" i="23" s="1"/>
  <c r="I142" i="23" s="1"/>
  <c r="I143" i="23" s="1"/>
  <c r="I144" i="23" s="1"/>
  <c r="I145" i="23" s="1"/>
  <c r="I146" i="23" s="1"/>
  <c r="I147" i="23" s="1"/>
  <c r="I148" i="23" s="1"/>
  <c r="I149" i="23" s="1"/>
  <c r="I150" i="23" s="1"/>
  <c r="K150" i="23" s="1"/>
  <c r="J14" i="23" s="1"/>
  <c r="K14" i="23" s="1"/>
  <c r="I151" i="23" s="1"/>
  <c r="P162" i="23"/>
  <c r="R14" i="23" s="1"/>
  <c r="S14" i="23" s="1"/>
  <c r="U152" i="23"/>
  <c r="U153" i="23" s="1"/>
  <c r="U154" i="23" s="1"/>
  <c r="U155" i="23" s="1"/>
  <c r="U156" i="23" s="1"/>
  <c r="U157" i="23" s="1"/>
  <c r="U158" i="23" s="1"/>
  <c r="U159" i="23" s="1"/>
  <c r="U160" i="23" s="1"/>
  <c r="U161" i="23" s="1"/>
  <c r="U162" i="23" s="1"/>
  <c r="W162" i="23" s="1"/>
  <c r="C11" i="11"/>
  <c r="C48" i="11" s="1"/>
  <c r="G88" i="37"/>
  <c r="K88" i="37" s="1"/>
  <c r="K172" i="35"/>
  <c r="J172" i="35"/>
  <c r="B11" i="11"/>
  <c r="B48" i="11" s="1"/>
  <c r="AL357" i="35"/>
  <c r="AL367" i="35" s="1"/>
  <c r="O157" i="35"/>
  <c r="Q332" i="35"/>
  <c r="I171" i="35"/>
  <c r="O54" i="35"/>
  <c r="AE362" i="35"/>
  <c r="AE364" i="35"/>
  <c r="AL356" i="35"/>
  <c r="AL366" i="35" s="1"/>
  <c r="AH366" i="35"/>
  <c r="E11" i="11"/>
  <c r="E48" i="11" s="1"/>
  <c r="AL360" i="35"/>
  <c r="AL370" i="35" s="1"/>
  <c r="AE370" i="35"/>
  <c r="H68" i="35"/>
  <c r="AL358" i="35"/>
  <c r="AL368" i="35" s="1"/>
  <c r="G79" i="35"/>
  <c r="AD393" i="35"/>
  <c r="AD403" i="35" s="1"/>
  <c r="AZ401" i="35"/>
  <c r="AD394" i="35"/>
  <c r="AD404" i="35" s="1"/>
  <c r="AZ402" i="35"/>
  <c r="AD396" i="35"/>
  <c r="AD406" i="35" s="1"/>
  <c r="AZ404" i="35"/>
  <c r="AD392" i="35"/>
  <c r="AD402" i="35" s="1"/>
  <c r="AZ400" i="35"/>
  <c r="AD432" i="35"/>
  <c r="AD442" i="35" s="1"/>
  <c r="AZ438" i="35"/>
  <c r="AD357" i="35"/>
  <c r="AD367" i="35" s="1"/>
  <c r="AD355" i="35"/>
  <c r="AD365" i="35" s="1"/>
  <c r="AD356" i="35"/>
  <c r="AD366" i="35" s="1"/>
  <c r="AD359" i="35"/>
  <c r="AD369" i="35" s="1"/>
  <c r="I236" i="35"/>
  <c r="L235" i="35"/>
  <c r="L236" i="35" s="1"/>
  <c r="K251" i="35"/>
  <c r="K266" i="35" s="1"/>
  <c r="AZ345" i="35"/>
  <c r="AZ383" i="35" s="1"/>
  <c r="H11" i="11"/>
  <c r="R296" i="35" s="1"/>
  <c r="AI354" i="35" s="1"/>
  <c r="AH391" i="35" s="1"/>
  <c r="AL391" i="35" s="1"/>
  <c r="K11" i="11"/>
  <c r="V296" i="35" s="1"/>
  <c r="G11" i="11"/>
  <c r="Q296" i="35" s="1"/>
  <c r="I11" i="11"/>
  <c r="T296" i="35" s="1"/>
  <c r="D11" i="11"/>
  <c r="G26" i="35" s="1"/>
  <c r="J11" i="11"/>
  <c r="U296" i="35" s="1"/>
  <c r="F11" i="11"/>
  <c r="G28" i="35" s="1"/>
  <c r="K87" i="24"/>
  <c r="L87" i="24" s="1"/>
  <c r="M87" i="24" s="1"/>
  <c r="J218" i="35"/>
  <c r="J225" i="35" s="1"/>
  <c r="H218" i="35"/>
  <c r="H225" i="35" s="1"/>
  <c r="I218" i="35"/>
  <c r="I225" i="35" s="1"/>
  <c r="J251" i="35"/>
  <c r="J266" i="35" s="1"/>
  <c r="K218" i="35"/>
  <c r="K225" i="35" s="1"/>
  <c r="M169" i="35"/>
  <c r="M171" i="35"/>
  <c r="O154" i="35"/>
  <c r="M170" i="35"/>
  <c r="H206" i="35"/>
  <c r="G170" i="35"/>
  <c r="G169" i="35"/>
  <c r="M179" i="35"/>
  <c r="M164" i="35"/>
  <c r="G168" i="35"/>
  <c r="G167" i="35"/>
  <c r="J164" i="35"/>
  <c r="J179" i="35"/>
  <c r="G185" i="35" s="1"/>
  <c r="H164" i="35"/>
  <c r="H179" i="35"/>
  <c r="G171" i="35"/>
  <c r="L179" i="35"/>
  <c r="L164" i="35"/>
  <c r="I179" i="35"/>
  <c r="I164" i="35"/>
  <c r="K53" i="11"/>
  <c r="K4" i="11"/>
  <c r="D4" i="11"/>
  <c r="D6" i="11" s="1"/>
  <c r="D53" i="11"/>
  <c r="F4" i="11"/>
  <c r="F6" i="11" s="1"/>
  <c r="F53" i="11"/>
  <c r="H4" i="11"/>
  <c r="H53" i="11"/>
  <c r="B4" i="11"/>
  <c r="B6" i="11" s="1"/>
  <c r="B53" i="11"/>
  <c r="G53" i="11"/>
  <c r="G4" i="11"/>
  <c r="I53" i="11"/>
  <c r="I4" i="11"/>
  <c r="E4" i="11"/>
  <c r="E6" i="11" s="1"/>
  <c r="E53" i="11"/>
  <c r="J4" i="11"/>
  <c r="J53" i="11"/>
  <c r="C53" i="11"/>
  <c r="C4" i="11"/>
  <c r="C6" i="11" s="1"/>
  <c r="G89" i="37"/>
  <c r="K89" i="37" s="1"/>
  <c r="G88" i="24"/>
  <c r="K88" i="24" s="1"/>
  <c r="L88" i="24" s="1"/>
  <c r="M88" i="24" s="1"/>
  <c r="G87" i="19"/>
  <c r="K87" i="19" s="1"/>
  <c r="G28" i="17"/>
  <c r="L181" i="35" s="1"/>
  <c r="C28" i="17"/>
  <c r="H181" i="35" s="1"/>
  <c r="M181" i="35"/>
  <c r="K181" i="35"/>
  <c r="B28" i="17"/>
  <c r="G87" i="27"/>
  <c r="G87" i="25"/>
  <c r="H263" i="24"/>
  <c r="G25" i="35" l="1"/>
  <c r="V162" i="23"/>
  <c r="X14" i="23" s="1"/>
  <c r="Y14" i="23" s="1"/>
  <c r="I152" i="23"/>
  <c r="I153" i="23" s="1"/>
  <c r="I154" i="23" s="1"/>
  <c r="I155" i="23" s="1"/>
  <c r="I156" i="23" s="1"/>
  <c r="I157" i="23" s="1"/>
  <c r="I158" i="23" s="1"/>
  <c r="I159" i="23" s="1"/>
  <c r="I160" i="23" s="1"/>
  <c r="I161" i="23" s="1"/>
  <c r="I162" i="23" s="1"/>
  <c r="K162" i="23" s="1"/>
  <c r="J150" i="23"/>
  <c r="L13" i="23" s="1"/>
  <c r="M13" i="23" s="1"/>
  <c r="C152" i="23"/>
  <c r="C153" i="23" s="1"/>
  <c r="C154" i="23" s="1"/>
  <c r="C155" i="23" s="1"/>
  <c r="C156" i="23" s="1"/>
  <c r="C157" i="23" s="1"/>
  <c r="C158" i="23" s="1"/>
  <c r="C159" i="23" s="1"/>
  <c r="C160" i="23" s="1"/>
  <c r="C161" i="23" s="1"/>
  <c r="C162" i="23" s="1"/>
  <c r="E162" i="23" s="1"/>
  <c r="D150" i="23"/>
  <c r="F13" i="23" s="1"/>
  <c r="G13" i="23" s="1"/>
  <c r="G33" i="35"/>
  <c r="O33" i="35" s="1"/>
  <c r="G24" i="35"/>
  <c r="O24" i="35" s="1"/>
  <c r="J48" i="11"/>
  <c r="J58" i="11" s="1"/>
  <c r="G27" i="35"/>
  <c r="O27" i="35" s="1"/>
  <c r="H48" i="11"/>
  <c r="H58" i="11" s="1"/>
  <c r="G88" i="38"/>
  <c r="K88" i="38" s="1"/>
  <c r="G88" i="39"/>
  <c r="K88" i="39" s="1"/>
  <c r="L10" i="11"/>
  <c r="G181" i="35"/>
  <c r="O181" i="35" s="1"/>
  <c r="G29" i="35"/>
  <c r="O29" i="35" s="1"/>
  <c r="U333" i="35"/>
  <c r="AI465" i="35"/>
  <c r="AD431" i="35"/>
  <c r="AD441" i="35" s="1"/>
  <c r="AZ437" i="35"/>
  <c r="T333" i="35"/>
  <c r="AI428" i="35"/>
  <c r="AI391" i="35"/>
  <c r="AH465" i="35" s="1"/>
  <c r="AD397" i="35"/>
  <c r="AD407" i="35" s="1"/>
  <c r="AZ405" i="35"/>
  <c r="AD469" i="35"/>
  <c r="AD479" i="35" s="1"/>
  <c r="AZ492" i="35"/>
  <c r="AD433" i="35"/>
  <c r="AD443" i="35" s="1"/>
  <c r="AZ439" i="35"/>
  <c r="AD430" i="35"/>
  <c r="AD440" i="35" s="1"/>
  <c r="AZ436" i="35"/>
  <c r="V333" i="35"/>
  <c r="AI502" i="35"/>
  <c r="X513" i="35" s="1"/>
  <c r="X514" i="35" s="1"/>
  <c r="AD429" i="35"/>
  <c r="AD439" i="35" s="1"/>
  <c r="AZ435" i="35"/>
  <c r="K282" i="35"/>
  <c r="Q333" i="35"/>
  <c r="AH354" i="35"/>
  <c r="AD360" i="35"/>
  <c r="AD370" i="35" s="1"/>
  <c r="R333" i="35"/>
  <c r="G48" i="11"/>
  <c r="G58" i="11" s="1"/>
  <c r="G32" i="35"/>
  <c r="O32" i="35" s="1"/>
  <c r="G31" i="35"/>
  <c r="O31" i="35" s="1"/>
  <c r="K48" i="11"/>
  <c r="K58" i="11" s="1"/>
  <c r="B58" i="11"/>
  <c r="K87" i="27"/>
  <c r="L87" i="27" s="1"/>
  <c r="M87" i="27" s="1"/>
  <c r="K87" i="25"/>
  <c r="L87" i="25" s="1"/>
  <c r="M87" i="25" s="1"/>
  <c r="D48" i="11"/>
  <c r="D58" i="11" s="1"/>
  <c r="I48" i="11"/>
  <c r="I58" i="11" s="1"/>
  <c r="G30" i="35"/>
  <c r="O30" i="35" s="1"/>
  <c r="F48" i="11"/>
  <c r="F58" i="11" s="1"/>
  <c r="I6" i="11"/>
  <c r="T291" i="35" s="1"/>
  <c r="T289" i="35"/>
  <c r="J6" i="11"/>
  <c r="U291" i="35" s="1"/>
  <c r="U289" i="35"/>
  <c r="K6" i="11"/>
  <c r="V291" i="35" s="1"/>
  <c r="V289" i="35"/>
  <c r="E58" i="11"/>
  <c r="G6" i="11"/>
  <c r="Q291" i="35" s="1"/>
  <c r="Q289" i="35"/>
  <c r="H6" i="11"/>
  <c r="R291" i="35" s="1"/>
  <c r="R289" i="35"/>
  <c r="G251" i="35"/>
  <c r="I232" i="35"/>
  <c r="H232" i="35"/>
  <c r="I251" i="35"/>
  <c r="I282" i="35" s="1"/>
  <c r="K232" i="35"/>
  <c r="H251" i="35"/>
  <c r="H282" i="35" s="1"/>
  <c r="J232" i="35"/>
  <c r="J282" i="35"/>
  <c r="G200" i="35"/>
  <c r="G206" i="35" s="1"/>
  <c r="I185" i="35"/>
  <c r="J185" i="35"/>
  <c r="O28" i="35"/>
  <c r="O25" i="35"/>
  <c r="O26" i="35"/>
  <c r="C58" i="11"/>
  <c r="J13" i="17"/>
  <c r="H14" i="17"/>
  <c r="M182" i="35" s="1"/>
  <c r="J209" i="35" s="1"/>
  <c r="L38" i="11"/>
  <c r="W323" i="35" s="1"/>
  <c r="AF545" i="35" s="1"/>
  <c r="N47" i="9"/>
  <c r="C14" i="17"/>
  <c r="L14" i="11"/>
  <c r="W299" i="35" s="1"/>
  <c r="AF540" i="35" s="1"/>
  <c r="G90" i="19"/>
  <c r="K90" i="19" s="1"/>
  <c r="G89" i="19"/>
  <c r="K89" i="19" s="1"/>
  <c r="G14" i="17"/>
  <c r="L182" i="35" s="1"/>
  <c r="L33" i="11"/>
  <c r="W318" i="35" s="1"/>
  <c r="AF544" i="35" s="1"/>
  <c r="M47" i="9"/>
  <c r="M60" i="9" s="1"/>
  <c r="L28" i="11"/>
  <c r="W313" i="35" s="1"/>
  <c r="AF543" i="35" s="1"/>
  <c r="K182" i="35"/>
  <c r="L47" i="9"/>
  <c r="L60" i="9" s="1"/>
  <c r="G91" i="19"/>
  <c r="K91" i="19" s="1"/>
  <c r="G90" i="37"/>
  <c r="K90" i="37" s="1"/>
  <c r="G89" i="24"/>
  <c r="K89" i="24" s="1"/>
  <c r="L89" i="24" s="1"/>
  <c r="M89" i="24" s="1"/>
  <c r="G88" i="28"/>
  <c r="G87" i="28"/>
  <c r="B14" i="17"/>
  <c r="G89" i="28"/>
  <c r="G88" i="25"/>
  <c r="K88" i="25" s="1"/>
  <c r="L88" i="25" s="1"/>
  <c r="M88" i="25" s="1"/>
  <c r="G88" i="27"/>
  <c r="K88" i="27" s="1"/>
  <c r="L88" i="27" s="1"/>
  <c r="M88" i="27" s="1"/>
  <c r="H255" i="24"/>
  <c r="L52" i="11" l="1"/>
  <c r="D162" i="23"/>
  <c r="F14" i="23" s="1"/>
  <c r="G14" i="23" s="1"/>
  <c r="J162" i="23"/>
  <c r="L14" i="23" s="1"/>
  <c r="M14" i="23" s="1"/>
  <c r="G89" i="38"/>
  <c r="K89" i="38" s="1"/>
  <c r="AE582" i="35"/>
  <c r="AE555" i="35"/>
  <c r="G89" i="39"/>
  <c r="K89" i="39" s="1"/>
  <c r="AE581" i="35"/>
  <c r="AE554" i="35"/>
  <c r="AE550" i="35"/>
  <c r="AA545" i="35" s="1"/>
  <c r="AE577" i="35"/>
  <c r="M14" i="11"/>
  <c r="H182" i="35"/>
  <c r="W295" i="35"/>
  <c r="M10" i="11"/>
  <c r="G182" i="35"/>
  <c r="AE580" i="35"/>
  <c r="AE553" i="35"/>
  <c r="G60" i="35"/>
  <c r="AL465" i="35"/>
  <c r="AD467" i="35"/>
  <c r="AD477" i="35" s="1"/>
  <c r="AZ490" i="35"/>
  <c r="AH539" i="35"/>
  <c r="AL539" i="35" s="1"/>
  <c r="AM502" i="35"/>
  <c r="AD470" i="35"/>
  <c r="AD480" i="35" s="1"/>
  <c r="AZ493" i="35"/>
  <c r="AD434" i="35"/>
  <c r="AD444" i="35" s="1"/>
  <c r="AZ440" i="35"/>
  <c r="AD468" i="35"/>
  <c r="AD478" i="35" s="1"/>
  <c r="AZ491" i="35"/>
  <c r="AD466" i="35"/>
  <c r="AD476" i="35" s="1"/>
  <c r="AZ489" i="35"/>
  <c r="AD506" i="35"/>
  <c r="AD516" i="35" s="1"/>
  <c r="AZ529" i="35"/>
  <c r="AH438" i="35"/>
  <c r="AM428" i="35"/>
  <c r="AL438" i="35" s="1"/>
  <c r="AH475" i="35"/>
  <c r="AH502" i="35"/>
  <c r="AM465" i="35"/>
  <c r="AM391" i="35"/>
  <c r="AL401" i="35" s="1"/>
  <c r="AH401" i="35"/>
  <c r="I266" i="35"/>
  <c r="AM354" i="35"/>
  <c r="AH364" i="35"/>
  <c r="AL354" i="35"/>
  <c r="H266" i="35"/>
  <c r="G282" i="35"/>
  <c r="M251" i="35"/>
  <c r="G266" i="35"/>
  <c r="J200" i="35"/>
  <c r="J206" i="35" s="1"/>
  <c r="I200" i="35"/>
  <c r="I206" i="35" s="1"/>
  <c r="M60" i="35"/>
  <c r="L60" i="35"/>
  <c r="H60" i="35"/>
  <c r="G61" i="35"/>
  <c r="K60" i="35"/>
  <c r="L47" i="11"/>
  <c r="L57" i="11" s="1"/>
  <c r="N60" i="9"/>
  <c r="L39" i="11" s="1"/>
  <c r="N48" i="9"/>
  <c r="J14" i="17"/>
  <c r="M52" i="11" s="1"/>
  <c r="L29" i="11"/>
  <c r="I284" i="35"/>
  <c r="L34" i="11"/>
  <c r="E12" i="18"/>
  <c r="M28" i="11"/>
  <c r="X313" i="35" s="1"/>
  <c r="AF580" i="35" s="1"/>
  <c r="L48" i="9"/>
  <c r="L61" i="9" s="1"/>
  <c r="G92" i="19"/>
  <c r="K92" i="19" s="1"/>
  <c r="M33" i="11"/>
  <c r="M48" i="9"/>
  <c r="M61" i="9" s="1"/>
  <c r="M38" i="11"/>
  <c r="X323" i="35" s="1"/>
  <c r="AF582" i="35" s="1"/>
  <c r="G91" i="37"/>
  <c r="K91" i="37" s="1"/>
  <c r="G90" i="24"/>
  <c r="K90" i="24" s="1"/>
  <c r="L90" i="24" s="1"/>
  <c r="M90" i="24" s="1"/>
  <c r="G90" i="28"/>
  <c r="G89" i="25"/>
  <c r="G89" i="27"/>
  <c r="K89" i="27" s="1"/>
  <c r="L89" i="27" s="1"/>
  <c r="M89" i="27" s="1"/>
  <c r="H264" i="24"/>
  <c r="H256" i="24"/>
  <c r="H265" i="24"/>
  <c r="X318" i="35" l="1"/>
  <c r="AF581" i="35" s="1"/>
  <c r="AE591" i="35" s="1"/>
  <c r="X299" i="35"/>
  <c r="AF577" i="35" s="1"/>
  <c r="AE587" i="35" s="1"/>
  <c r="AA582" i="35" s="1"/>
  <c r="O182" i="35"/>
  <c r="AE592" i="35"/>
  <c r="G90" i="39"/>
  <c r="K90" i="39" s="1"/>
  <c r="AF539" i="35"/>
  <c r="W332" i="35"/>
  <c r="AE590" i="35"/>
  <c r="H61" i="35"/>
  <c r="AL475" i="35"/>
  <c r="G90" i="38"/>
  <c r="K90" i="38" s="1"/>
  <c r="X295" i="35"/>
  <c r="W314" i="35"/>
  <c r="W324" i="35"/>
  <c r="AL502" i="35"/>
  <c r="AL512" i="35" s="1"/>
  <c r="W513" i="35"/>
  <c r="W514" i="35" s="1"/>
  <c r="AD543" i="35"/>
  <c r="AD553" i="35" s="1"/>
  <c r="AZ565" i="35"/>
  <c r="AD580" i="35" s="1"/>
  <c r="AD590" i="35" s="1"/>
  <c r="AD507" i="35"/>
  <c r="AD517" i="35" s="1"/>
  <c r="AZ530" i="35"/>
  <c r="AD504" i="35"/>
  <c r="AD514" i="35" s="1"/>
  <c r="AZ527" i="35"/>
  <c r="AD505" i="35"/>
  <c r="AD515" i="35" s="1"/>
  <c r="AZ528" i="35"/>
  <c r="AH512" i="35"/>
  <c r="AP512" i="35" s="1"/>
  <c r="AD503" i="35"/>
  <c r="AD513" i="35" s="1"/>
  <c r="AZ526" i="35"/>
  <c r="AD471" i="35"/>
  <c r="AD481" i="35" s="1"/>
  <c r="AZ494" i="35"/>
  <c r="L35" i="11"/>
  <c r="J284" i="35"/>
  <c r="W319" i="35"/>
  <c r="AL364" i="35"/>
  <c r="K89" i="25"/>
  <c r="L89" i="25" s="1"/>
  <c r="M89" i="25" s="1"/>
  <c r="O60" i="35"/>
  <c r="M61" i="35"/>
  <c r="K61" i="35"/>
  <c r="K46" i="35"/>
  <c r="M46" i="35"/>
  <c r="L61" i="35"/>
  <c r="L46" i="35"/>
  <c r="M47" i="11"/>
  <c r="F12" i="18"/>
  <c r="N61" i="9"/>
  <c r="L30" i="11"/>
  <c r="W315" i="35" s="1"/>
  <c r="AI543" i="35" s="1"/>
  <c r="M29" i="11"/>
  <c r="I285" i="35"/>
  <c r="G93" i="19"/>
  <c r="K93" i="19" s="1"/>
  <c r="E13" i="18"/>
  <c r="M34" i="11"/>
  <c r="G92" i="37"/>
  <c r="K92" i="37" s="1"/>
  <c r="G91" i="24"/>
  <c r="G90" i="25"/>
  <c r="K90" i="25" s="1"/>
  <c r="L90" i="25" s="1"/>
  <c r="M90" i="25" s="1"/>
  <c r="G91" i="28"/>
  <c r="G90" i="27"/>
  <c r="H257" i="24"/>
  <c r="H266" i="24"/>
  <c r="W320" i="35" l="1"/>
  <c r="AI544" i="35" s="1"/>
  <c r="AH581" i="35" s="1"/>
  <c r="AF576" i="35"/>
  <c r="AF584" i="35" s="1"/>
  <c r="X332" i="35"/>
  <c r="G91" i="39"/>
  <c r="K91" i="39" s="1"/>
  <c r="AE576" i="35"/>
  <c r="AF547" i="35"/>
  <c r="AE549" i="35"/>
  <c r="AA544" i="35" s="1"/>
  <c r="G91" i="38"/>
  <c r="K91" i="38" s="1"/>
  <c r="AH553" i="35"/>
  <c r="AM543" i="35"/>
  <c r="AL553" i="35" s="1"/>
  <c r="AH580" i="35"/>
  <c r="AL580" i="35" s="1"/>
  <c r="L40" i="11"/>
  <c r="K284" i="35"/>
  <c r="X314" i="35"/>
  <c r="Y314" i="35" s="1"/>
  <c r="AA513" i="35"/>
  <c r="AI521" i="35"/>
  <c r="AD540" i="35"/>
  <c r="AD550" i="35" s="1"/>
  <c r="AZ562" i="35"/>
  <c r="AD577" i="35" s="1"/>
  <c r="AD587" i="35" s="1"/>
  <c r="AD541" i="35"/>
  <c r="AD551" i="35" s="1"/>
  <c r="AZ563" i="35"/>
  <c r="AD578" i="35" s="1"/>
  <c r="AD588" i="35" s="1"/>
  <c r="AD508" i="35"/>
  <c r="AD518" i="35" s="1"/>
  <c r="AZ531" i="35"/>
  <c r="AD542" i="35"/>
  <c r="AD552" i="35" s="1"/>
  <c r="AZ564" i="35"/>
  <c r="AD579" i="35" s="1"/>
  <c r="AD589" i="35" s="1"/>
  <c r="AD544" i="35"/>
  <c r="AD554" i="35" s="1"/>
  <c r="AZ566" i="35"/>
  <c r="AD581" i="35" s="1"/>
  <c r="AD591" i="35" s="1"/>
  <c r="X319" i="35"/>
  <c r="Y319" i="35" s="1"/>
  <c r="M35" i="11"/>
  <c r="J285" i="35"/>
  <c r="AM544" i="35"/>
  <c r="AL554" i="35" s="1"/>
  <c r="AH554" i="35"/>
  <c r="K90" i="27"/>
  <c r="L90" i="27" s="1"/>
  <c r="M90" i="27" s="1"/>
  <c r="K91" i="24"/>
  <c r="L91" i="24" s="1"/>
  <c r="M91" i="24" s="1"/>
  <c r="O61" i="35"/>
  <c r="L47" i="35"/>
  <c r="K47" i="35"/>
  <c r="M57" i="11"/>
  <c r="F13" i="18"/>
  <c r="M39" i="11"/>
  <c r="M30" i="11"/>
  <c r="G94" i="19"/>
  <c r="K94" i="19" s="1"/>
  <c r="G93" i="37"/>
  <c r="K93" i="37" s="1"/>
  <c r="G92" i="24"/>
  <c r="K92" i="24" s="1"/>
  <c r="L92" i="24" s="1"/>
  <c r="M92" i="24" s="1"/>
  <c r="G92" i="28"/>
  <c r="G91" i="25"/>
  <c r="G91" i="27"/>
  <c r="K91" i="27" s="1"/>
  <c r="L91" i="27" s="1"/>
  <c r="M91" i="27" s="1"/>
  <c r="H258" i="24"/>
  <c r="W325" i="35" l="1"/>
  <c r="AI545" i="35" s="1"/>
  <c r="G92" i="39"/>
  <c r="K92" i="39" s="1"/>
  <c r="G92" i="38"/>
  <c r="K92" i="38" s="1"/>
  <c r="AE586" i="35"/>
  <c r="AA581" i="35" s="1"/>
  <c r="AE584" i="35"/>
  <c r="X324" i="35"/>
  <c r="Y324" i="35" s="1"/>
  <c r="AH582" i="35"/>
  <c r="AL582" i="35" s="1"/>
  <c r="AM545" i="35"/>
  <c r="AL555" i="35" s="1"/>
  <c r="AH555" i="35"/>
  <c r="X315" i="35"/>
  <c r="AI580" i="35" s="1"/>
  <c r="M40" i="11"/>
  <c r="K285" i="35"/>
  <c r="AD545" i="35"/>
  <c r="AD555" i="35" s="1"/>
  <c r="AZ567" i="35"/>
  <c r="AD582" i="35" s="1"/>
  <c r="AD592" i="35" s="1"/>
  <c r="AL581" i="35"/>
  <c r="X320" i="35"/>
  <c r="AI581" i="35" s="1"/>
  <c r="AM581" i="35" s="1"/>
  <c r="K91" i="25"/>
  <c r="L91" i="25" s="1"/>
  <c r="M91" i="25" s="1"/>
  <c r="M47" i="35"/>
  <c r="G95" i="19"/>
  <c r="K95" i="19" s="1"/>
  <c r="G94" i="37"/>
  <c r="K94" i="37" s="1"/>
  <c r="G93" i="24"/>
  <c r="K93" i="24" s="1"/>
  <c r="L93" i="24" s="1"/>
  <c r="M93" i="24" s="1"/>
  <c r="G92" i="27"/>
  <c r="K92" i="27" s="1"/>
  <c r="L92" i="27" s="1"/>
  <c r="M92" i="27" s="1"/>
  <c r="G92" i="25"/>
  <c r="K92" i="25" s="1"/>
  <c r="L92" i="25" s="1"/>
  <c r="M92" i="25" s="1"/>
  <c r="G93" i="28"/>
  <c r="H259" i="24"/>
  <c r="G93" i="39" l="1"/>
  <c r="K93" i="39" s="1"/>
  <c r="G93" i="38"/>
  <c r="K93" i="38" s="1"/>
  <c r="AM580" i="35"/>
  <c r="AL590" i="35" s="1"/>
  <c r="AH590" i="35"/>
  <c r="X325" i="35"/>
  <c r="AI582" i="35" s="1"/>
  <c r="AL591" i="35"/>
  <c r="AH591" i="35"/>
  <c r="I208" i="35"/>
  <c r="L214" i="35" s="1"/>
  <c r="I209" i="35"/>
  <c r="L215" i="35" s="1"/>
  <c r="L242" i="35" s="1"/>
  <c r="L248" i="35" s="1"/>
  <c r="H208" i="35"/>
  <c r="H209" i="35"/>
  <c r="G96" i="19"/>
  <c r="K96" i="19" s="1"/>
  <c r="G95" i="37"/>
  <c r="K95" i="37" s="1"/>
  <c r="G94" i="24"/>
  <c r="K94" i="24" s="1"/>
  <c r="L94" i="24" s="1"/>
  <c r="M94" i="24" s="1"/>
  <c r="G94" i="28"/>
  <c r="G93" i="27"/>
  <c r="K93" i="27" s="1"/>
  <c r="L93" i="27" s="1"/>
  <c r="M93" i="27" s="1"/>
  <c r="G93" i="25"/>
  <c r="G94" i="39" l="1"/>
  <c r="K94" i="39" s="1"/>
  <c r="G94" i="38"/>
  <c r="K94" i="38" s="1"/>
  <c r="AM582" i="35"/>
  <c r="AL592" i="35" s="1"/>
  <c r="AH592" i="35"/>
  <c r="K93" i="25"/>
  <c r="L93" i="25" s="1"/>
  <c r="M93" i="25" s="1"/>
  <c r="L241" i="35"/>
  <c r="L247" i="35" s="1"/>
  <c r="L209" i="35"/>
  <c r="K214" i="35"/>
  <c r="K241" i="35" s="1"/>
  <c r="M215" i="35"/>
  <c r="M242" i="35" s="1"/>
  <c r="M248" i="35" s="1"/>
  <c r="J208" i="35"/>
  <c r="M214" i="35" s="1"/>
  <c r="M241" i="35" s="1"/>
  <c r="M247" i="35" s="1"/>
  <c r="K215" i="35"/>
  <c r="K242" i="35" s="1"/>
  <c r="G97" i="19"/>
  <c r="K97" i="19" s="1"/>
  <c r="G96" i="37"/>
  <c r="K96" i="37" s="1"/>
  <c r="G95" i="24"/>
  <c r="K95" i="24" s="1"/>
  <c r="L95" i="24" s="1"/>
  <c r="M95" i="24" s="1"/>
  <c r="G94" i="25"/>
  <c r="K94" i="25" s="1"/>
  <c r="L94" i="25" s="1"/>
  <c r="M94" i="25" s="1"/>
  <c r="G94" i="27"/>
  <c r="K94" i="27" s="1"/>
  <c r="L94" i="27" s="1"/>
  <c r="M94" i="27" s="1"/>
  <c r="G95" i="28"/>
  <c r="G95" i="39" l="1"/>
  <c r="K95" i="39" s="1"/>
  <c r="G95" i="38"/>
  <c r="K95" i="38" s="1"/>
  <c r="K248" i="35"/>
  <c r="K247" i="35"/>
  <c r="L208" i="35"/>
  <c r="G98" i="19"/>
  <c r="K98" i="19" s="1"/>
  <c r="K234" i="19" s="1"/>
  <c r="G97" i="37"/>
  <c r="K97" i="37" s="1"/>
  <c r="G96" i="24"/>
  <c r="K96" i="24" s="1"/>
  <c r="L96" i="24" s="1"/>
  <c r="M96" i="24" s="1"/>
  <c r="G95" i="27"/>
  <c r="K95" i="27" s="1"/>
  <c r="L95" i="27" s="1"/>
  <c r="M95" i="27" s="1"/>
  <c r="G95" i="25"/>
  <c r="G96" i="28"/>
  <c r="G96" i="38" l="1"/>
  <c r="K96" i="38" s="1"/>
  <c r="G96" i="39"/>
  <c r="K96" i="39" s="1"/>
  <c r="K95" i="25"/>
  <c r="L95" i="25" s="1"/>
  <c r="M95" i="25" s="1"/>
  <c r="G99" i="19"/>
  <c r="K99" i="19" s="1"/>
  <c r="G98" i="37"/>
  <c r="K98" i="37" s="1"/>
  <c r="K234" i="37" s="1"/>
  <c r="G97" i="24"/>
  <c r="K97" i="24" s="1"/>
  <c r="L97" i="24" s="1"/>
  <c r="M97" i="24" s="1"/>
  <c r="L234" i="19"/>
  <c r="M234" i="19" s="1"/>
  <c r="G97" i="28"/>
  <c r="G96" i="25"/>
  <c r="K96" i="25" s="1"/>
  <c r="L96" i="25" s="1"/>
  <c r="M96" i="25" s="1"/>
  <c r="G96" i="27"/>
  <c r="K96" i="27" s="1"/>
  <c r="L96" i="27" s="1"/>
  <c r="M96" i="27" s="1"/>
  <c r="G97" i="39" l="1"/>
  <c r="K97" i="39" s="1"/>
  <c r="N234" i="24"/>
  <c r="J101" i="35" s="1"/>
  <c r="L234" i="37"/>
  <c r="M234" i="37" s="1"/>
  <c r="G97" i="38"/>
  <c r="K97" i="38" s="1"/>
  <c r="G99" i="37"/>
  <c r="K99" i="37" s="1"/>
  <c r="G98" i="24"/>
  <c r="K98" i="24" s="1"/>
  <c r="G100" i="19"/>
  <c r="K100" i="19" s="1"/>
  <c r="G97" i="27"/>
  <c r="K97" i="27" s="1"/>
  <c r="L97" i="27" s="1"/>
  <c r="M97" i="27" s="1"/>
  <c r="G97" i="25"/>
  <c r="K97" i="25" s="1"/>
  <c r="L97" i="25" s="1"/>
  <c r="M97" i="25" s="1"/>
  <c r="G98" i="28"/>
  <c r="G98" i="38" l="1"/>
  <c r="K98" i="38" s="1"/>
  <c r="K234" i="38" s="1"/>
  <c r="G99" i="39"/>
  <c r="K99" i="39" s="1"/>
  <c r="G98" i="39"/>
  <c r="K98" i="39" s="1"/>
  <c r="K234" i="39" s="1"/>
  <c r="K234" i="24"/>
  <c r="L98" i="24"/>
  <c r="M98" i="24" s="1"/>
  <c r="G99" i="24"/>
  <c r="K99" i="24" s="1"/>
  <c r="L99" i="24" s="1"/>
  <c r="M99" i="24" s="1"/>
  <c r="G100" i="37"/>
  <c r="K100" i="37" s="1"/>
  <c r="G99" i="38"/>
  <c r="K99" i="38" s="1"/>
  <c r="G98" i="25"/>
  <c r="G98" i="27"/>
  <c r="N234" i="27" l="1"/>
  <c r="J135" i="35" s="1"/>
  <c r="L234" i="39"/>
  <c r="M234" i="39" s="1"/>
  <c r="N234" i="25"/>
  <c r="J118" i="35" s="1"/>
  <c r="L234" i="38"/>
  <c r="M234" i="38" s="1"/>
  <c r="L234" i="24"/>
  <c r="M234" i="24" s="1"/>
  <c r="H101" i="35"/>
  <c r="O234" i="24"/>
  <c r="K98" i="27"/>
  <c r="G102" i="19"/>
  <c r="K102" i="19" s="1"/>
  <c r="G101" i="19"/>
  <c r="K101" i="19" s="1"/>
  <c r="K98" i="25"/>
  <c r="G101" i="37"/>
  <c r="K101" i="37" s="1"/>
  <c r="G100" i="24"/>
  <c r="K100" i="24" s="1"/>
  <c r="L100" i="24" s="1"/>
  <c r="M100" i="24" s="1"/>
  <c r="G99" i="28"/>
  <c r="G99" i="25"/>
  <c r="K99" i="25" s="1"/>
  <c r="L99" i="25" s="1"/>
  <c r="M99" i="25" s="1"/>
  <c r="G99" i="27"/>
  <c r="K99" i="27" s="1"/>
  <c r="L99" i="27" s="1"/>
  <c r="M99" i="27" s="1"/>
  <c r="G100" i="38" l="1"/>
  <c r="K100" i="38" s="1"/>
  <c r="G100" i="39"/>
  <c r="K100" i="39" s="1"/>
  <c r="K234" i="27"/>
  <c r="L98" i="27"/>
  <c r="M98" i="27" s="1"/>
  <c r="K234" i="25"/>
  <c r="L98" i="25"/>
  <c r="M98" i="25" s="1"/>
  <c r="I101" i="35"/>
  <c r="K101" i="35"/>
  <c r="L234" i="25"/>
  <c r="M234" i="25" s="1"/>
  <c r="G103" i="19"/>
  <c r="K103" i="19" s="1"/>
  <c r="G102" i="37"/>
  <c r="K102" i="37" s="1"/>
  <c r="G101" i="24"/>
  <c r="K101" i="24" s="1"/>
  <c r="L101" i="24" s="1"/>
  <c r="M101" i="24" s="1"/>
  <c r="G100" i="28"/>
  <c r="G100" i="25"/>
  <c r="K100" i="25" s="1"/>
  <c r="L100" i="25" s="1"/>
  <c r="M100" i="25" s="1"/>
  <c r="G101" i="28"/>
  <c r="G100" i="27"/>
  <c r="K100" i="27" s="1"/>
  <c r="L100" i="27" s="1"/>
  <c r="M100" i="27" s="1"/>
  <c r="G101" i="39" l="1"/>
  <c r="K101" i="39" s="1"/>
  <c r="G101" i="38"/>
  <c r="K101" i="38" s="1"/>
  <c r="L234" i="27"/>
  <c r="M234" i="27" s="1"/>
  <c r="H135" i="35"/>
  <c r="O234" i="27"/>
  <c r="O234" i="25"/>
  <c r="H118" i="35"/>
  <c r="L101" i="35"/>
  <c r="G35" i="35"/>
  <c r="G104" i="19"/>
  <c r="K104" i="19" s="1"/>
  <c r="G103" i="37"/>
  <c r="K103" i="37" s="1"/>
  <c r="G102" i="24"/>
  <c r="K102" i="24" s="1"/>
  <c r="L102" i="24" s="1"/>
  <c r="M102" i="24" s="1"/>
  <c r="G102" i="28"/>
  <c r="G101" i="25"/>
  <c r="K101" i="25" s="1"/>
  <c r="L101" i="25" s="1"/>
  <c r="M101" i="25" s="1"/>
  <c r="G101" i="27"/>
  <c r="K101" i="27" s="1"/>
  <c r="L101" i="27" s="1"/>
  <c r="M101" i="27" s="1"/>
  <c r="G102" i="39" l="1"/>
  <c r="K102" i="39" s="1"/>
  <c r="G102" i="38"/>
  <c r="K102" i="38" s="1"/>
  <c r="I135" i="35"/>
  <c r="K135" i="35"/>
  <c r="K118" i="35"/>
  <c r="I118" i="35"/>
  <c r="G105" i="19"/>
  <c r="K105" i="19" s="1"/>
  <c r="G104" i="37"/>
  <c r="K104" i="37" s="1"/>
  <c r="G103" i="24"/>
  <c r="K103" i="24" s="1"/>
  <c r="L103" i="24" s="1"/>
  <c r="M103" i="24" s="1"/>
  <c r="G102" i="25"/>
  <c r="K102" i="25" s="1"/>
  <c r="L102" i="25" s="1"/>
  <c r="M102" i="25" s="1"/>
  <c r="G102" i="27"/>
  <c r="K102" i="27" s="1"/>
  <c r="L102" i="27" s="1"/>
  <c r="M102" i="27" s="1"/>
  <c r="G103" i="28"/>
  <c r="G103" i="39" l="1"/>
  <c r="K103" i="39" s="1"/>
  <c r="G103" i="38"/>
  <c r="K103" i="38" s="1"/>
  <c r="L135" i="35"/>
  <c r="M254" i="35"/>
  <c r="I35" i="35"/>
  <c r="L118" i="35"/>
  <c r="H35" i="35"/>
  <c r="G106" i="19"/>
  <c r="K106" i="19" s="1"/>
  <c r="G105" i="37"/>
  <c r="K105" i="37" s="1"/>
  <c r="G104" i="24"/>
  <c r="K104" i="24" s="1"/>
  <c r="L104" i="24" s="1"/>
  <c r="M104" i="24" s="1"/>
  <c r="G104" i="28"/>
  <c r="G103" i="25"/>
  <c r="K103" i="25" s="1"/>
  <c r="L103" i="25" s="1"/>
  <c r="M103" i="25" s="1"/>
  <c r="G103" i="27"/>
  <c r="K103" i="27" s="1"/>
  <c r="L103" i="27" s="1"/>
  <c r="M103" i="27" s="1"/>
  <c r="G104" i="39" l="1"/>
  <c r="K104" i="39" s="1"/>
  <c r="G104" i="38"/>
  <c r="K104" i="38" s="1"/>
  <c r="O35" i="35"/>
  <c r="G107" i="19"/>
  <c r="K107" i="19" s="1"/>
  <c r="G106" i="37"/>
  <c r="K106" i="37" s="1"/>
  <c r="G105" i="24"/>
  <c r="K105" i="24" s="1"/>
  <c r="L105" i="24" s="1"/>
  <c r="M105" i="24" s="1"/>
  <c r="G104" i="27"/>
  <c r="K104" i="27" s="1"/>
  <c r="L104" i="27" s="1"/>
  <c r="M104" i="27" s="1"/>
  <c r="G105" i="28"/>
  <c r="G104" i="25"/>
  <c r="K104" i="25" s="1"/>
  <c r="L104" i="25" s="1"/>
  <c r="M104" i="25" s="1"/>
  <c r="G105" i="39" l="1"/>
  <c r="K105" i="39" s="1"/>
  <c r="G105" i="38"/>
  <c r="K105" i="38" s="1"/>
  <c r="G108" i="19"/>
  <c r="K108" i="19" s="1"/>
  <c r="G107" i="37"/>
  <c r="K107" i="37" s="1"/>
  <c r="G106" i="24"/>
  <c r="K106" i="24" s="1"/>
  <c r="L106" i="24" s="1"/>
  <c r="M106" i="24" s="1"/>
  <c r="G105" i="25"/>
  <c r="K105" i="25" s="1"/>
  <c r="L105" i="25" s="1"/>
  <c r="M105" i="25" s="1"/>
  <c r="G105" i="27"/>
  <c r="K105" i="27" s="1"/>
  <c r="L105" i="27" s="1"/>
  <c r="M105" i="27" s="1"/>
  <c r="G106" i="28"/>
  <c r="G106" i="39" l="1"/>
  <c r="K106" i="39" s="1"/>
  <c r="G106" i="38"/>
  <c r="K106" i="38" s="1"/>
  <c r="G109" i="19"/>
  <c r="K109" i="19" s="1"/>
  <c r="G108" i="37"/>
  <c r="K108" i="37" s="1"/>
  <c r="G107" i="24"/>
  <c r="K107" i="24" s="1"/>
  <c r="L107" i="24" s="1"/>
  <c r="M107" i="24" s="1"/>
  <c r="G107" i="28"/>
  <c r="G106" i="27"/>
  <c r="K106" i="27" s="1"/>
  <c r="L106" i="27" s="1"/>
  <c r="M106" i="27" s="1"/>
  <c r="G106" i="25"/>
  <c r="K106" i="25" s="1"/>
  <c r="L106" i="25" s="1"/>
  <c r="M106" i="25" s="1"/>
  <c r="G107" i="39" l="1"/>
  <c r="K107" i="39" s="1"/>
  <c r="G107" i="38"/>
  <c r="K107" i="38" s="1"/>
  <c r="G110" i="19"/>
  <c r="K110" i="19" s="1"/>
  <c r="K235" i="19" s="1"/>
  <c r="G109" i="37"/>
  <c r="K109" i="37" s="1"/>
  <c r="G108" i="24"/>
  <c r="K108" i="24" s="1"/>
  <c r="L108" i="24" s="1"/>
  <c r="M108" i="24" s="1"/>
  <c r="G107" i="25"/>
  <c r="K107" i="25" s="1"/>
  <c r="L107" i="25" s="1"/>
  <c r="M107" i="25" s="1"/>
  <c r="G107" i="27"/>
  <c r="K107" i="27" s="1"/>
  <c r="L107" i="27" s="1"/>
  <c r="M107" i="27" s="1"/>
  <c r="G108" i="28"/>
  <c r="G108" i="39" l="1"/>
  <c r="K108" i="39" s="1"/>
  <c r="G108" i="38"/>
  <c r="K108" i="38" s="1"/>
  <c r="G111" i="19"/>
  <c r="K111" i="19" s="1"/>
  <c r="G110" i="37"/>
  <c r="K110" i="37" s="1"/>
  <c r="K235" i="37" s="1"/>
  <c r="G109" i="24"/>
  <c r="K109" i="24" s="1"/>
  <c r="L109" i="24" s="1"/>
  <c r="M109" i="24" s="1"/>
  <c r="L235" i="19"/>
  <c r="M235" i="19" s="1"/>
  <c r="G109" i="28"/>
  <c r="G108" i="25"/>
  <c r="K108" i="25" s="1"/>
  <c r="L108" i="25" s="1"/>
  <c r="M108" i="25" s="1"/>
  <c r="G108" i="27"/>
  <c r="K108" i="27" s="1"/>
  <c r="L108" i="27" s="1"/>
  <c r="M108" i="27" s="1"/>
  <c r="G109" i="39" l="1"/>
  <c r="K109" i="39" s="1"/>
  <c r="L235" i="37"/>
  <c r="M235" i="37" s="1"/>
  <c r="N235" i="24"/>
  <c r="J102" i="35" s="1"/>
  <c r="G109" i="38"/>
  <c r="K109" i="38" s="1"/>
  <c r="G110" i="24"/>
  <c r="K110" i="24" s="1"/>
  <c r="G111" i="37"/>
  <c r="K111" i="37" s="1"/>
  <c r="G112" i="19"/>
  <c r="K112" i="19" s="1"/>
  <c r="G109" i="25"/>
  <c r="K109" i="25" s="1"/>
  <c r="L109" i="25" s="1"/>
  <c r="M109" i="25" s="1"/>
  <c r="G110" i="28"/>
  <c r="G109" i="27"/>
  <c r="K109" i="27" s="1"/>
  <c r="L109" i="27" s="1"/>
  <c r="M109" i="27" s="1"/>
  <c r="G110" i="38" l="1"/>
  <c r="K110" i="38" s="1"/>
  <c r="K235" i="38" s="1"/>
  <c r="G110" i="39"/>
  <c r="K110" i="39" s="1"/>
  <c r="K235" i="39" s="1"/>
  <c r="G111" i="39"/>
  <c r="K111" i="39" s="1"/>
  <c r="K235" i="24"/>
  <c r="L110" i="24"/>
  <c r="M110" i="24" s="1"/>
  <c r="G111" i="24"/>
  <c r="K111" i="24" s="1"/>
  <c r="L111" i="24" s="1"/>
  <c r="M111" i="24" s="1"/>
  <c r="G112" i="37"/>
  <c r="K112" i="37" s="1"/>
  <c r="L235" i="24"/>
  <c r="M235" i="24" s="1"/>
  <c r="G110" i="25"/>
  <c r="G111" i="38"/>
  <c r="K111" i="38" s="1"/>
  <c r="G110" i="27"/>
  <c r="L235" i="38" l="1"/>
  <c r="M235" i="38" s="1"/>
  <c r="N235" i="25"/>
  <c r="J119" i="35" s="1"/>
  <c r="N235" i="27"/>
  <c r="J136" i="35" s="1"/>
  <c r="L235" i="39"/>
  <c r="M235" i="39" s="1"/>
  <c r="O235" i="24"/>
  <c r="H102" i="35"/>
  <c r="K110" i="27"/>
  <c r="G114" i="19"/>
  <c r="K114" i="19" s="1"/>
  <c r="G113" i="19"/>
  <c r="K113" i="19" s="1"/>
  <c r="K110" i="25"/>
  <c r="G113" i="37"/>
  <c r="K113" i="37" s="1"/>
  <c r="G112" i="24"/>
  <c r="K112" i="24" s="1"/>
  <c r="L112" i="24" s="1"/>
  <c r="M112" i="24" s="1"/>
  <c r="G111" i="28"/>
  <c r="G112" i="39"/>
  <c r="K112" i="39" s="1"/>
  <c r="G112" i="38"/>
  <c r="K112" i="38" s="1"/>
  <c r="G111" i="27"/>
  <c r="K111" i="27" s="1"/>
  <c r="L111" i="27" s="1"/>
  <c r="M111" i="27" s="1"/>
  <c r="G111" i="25"/>
  <c r="K111" i="25" s="1"/>
  <c r="L111" i="25" s="1"/>
  <c r="M111" i="25" s="1"/>
  <c r="K235" i="27" l="1"/>
  <c r="L110" i="27"/>
  <c r="M110" i="27" s="1"/>
  <c r="K235" i="25"/>
  <c r="L110" i="25"/>
  <c r="M110" i="25" s="1"/>
  <c r="K102" i="35"/>
  <c r="I102" i="35"/>
  <c r="G113" i="38"/>
  <c r="K113" i="38" s="1"/>
  <c r="G112" i="25"/>
  <c r="K112" i="25" s="1"/>
  <c r="L112" i="25" s="1"/>
  <c r="M112" i="25" s="1"/>
  <c r="G113" i="39"/>
  <c r="K113" i="39" s="1"/>
  <c r="G112" i="27"/>
  <c r="K112" i="27" s="1"/>
  <c r="L112" i="27" s="1"/>
  <c r="M112" i="27" s="1"/>
  <c r="L235" i="25"/>
  <c r="M235" i="25" s="1"/>
  <c r="G115" i="19"/>
  <c r="K115" i="19" s="1"/>
  <c r="G114" i="37"/>
  <c r="K114" i="37" s="1"/>
  <c r="G113" i="24"/>
  <c r="K113" i="24" s="1"/>
  <c r="L113" i="24" s="1"/>
  <c r="M113" i="24" s="1"/>
  <c r="G112" i="28"/>
  <c r="G113" i="28"/>
  <c r="L235" i="27" l="1"/>
  <c r="M235" i="27" s="1"/>
  <c r="O235" i="27"/>
  <c r="H136" i="35"/>
  <c r="H119" i="35"/>
  <c r="O235" i="25"/>
  <c r="L102" i="35"/>
  <c r="G36" i="35"/>
  <c r="G116" i="19"/>
  <c r="K116" i="19" s="1"/>
  <c r="G114" i="39"/>
  <c r="K114" i="39" s="1"/>
  <c r="G113" i="27"/>
  <c r="K113" i="27" s="1"/>
  <c r="L113" i="27" s="1"/>
  <c r="M113" i="27" s="1"/>
  <c r="G114" i="38"/>
  <c r="K114" i="38" s="1"/>
  <c r="G113" i="25"/>
  <c r="K113" i="25" s="1"/>
  <c r="L113" i="25" s="1"/>
  <c r="M113" i="25" s="1"/>
  <c r="G115" i="37"/>
  <c r="K115" i="37" s="1"/>
  <c r="G114" i="24"/>
  <c r="K114" i="24" s="1"/>
  <c r="L114" i="24" s="1"/>
  <c r="M114" i="24" s="1"/>
  <c r="G114" i="28"/>
  <c r="K136" i="35" l="1"/>
  <c r="I136" i="35"/>
  <c r="I119" i="35"/>
  <c r="K119" i="35"/>
  <c r="G117" i="19"/>
  <c r="K117" i="19" s="1"/>
  <c r="G115" i="38"/>
  <c r="K115" i="38" s="1"/>
  <c r="G114" i="25"/>
  <c r="K114" i="25" s="1"/>
  <c r="L114" i="25" s="1"/>
  <c r="M114" i="25" s="1"/>
  <c r="G115" i="39"/>
  <c r="K115" i="39" s="1"/>
  <c r="G114" i="27"/>
  <c r="K114" i="27" s="1"/>
  <c r="L114" i="27" s="1"/>
  <c r="M114" i="27" s="1"/>
  <c r="G116" i="37"/>
  <c r="K116" i="37" s="1"/>
  <c r="G115" i="24"/>
  <c r="K115" i="24" s="1"/>
  <c r="L115" i="24" s="1"/>
  <c r="M115" i="24" s="1"/>
  <c r="G115" i="28"/>
  <c r="L136" i="35" l="1"/>
  <c r="M255" i="35"/>
  <c r="I36" i="35"/>
  <c r="L119" i="35"/>
  <c r="H36" i="35"/>
  <c r="G118" i="19"/>
  <c r="K118" i="19" s="1"/>
  <c r="G116" i="38"/>
  <c r="K116" i="38" s="1"/>
  <c r="G115" i="25"/>
  <c r="K115" i="25" s="1"/>
  <c r="L115" i="25" s="1"/>
  <c r="M115" i="25" s="1"/>
  <c r="G116" i="39"/>
  <c r="K116" i="39" s="1"/>
  <c r="G115" i="27"/>
  <c r="K115" i="27" s="1"/>
  <c r="L115" i="27" s="1"/>
  <c r="M115" i="27" s="1"/>
  <c r="G117" i="37"/>
  <c r="K117" i="37" s="1"/>
  <c r="G116" i="24"/>
  <c r="K116" i="24" s="1"/>
  <c r="L116" i="24" s="1"/>
  <c r="M116" i="24" s="1"/>
  <c r="G116" i="28"/>
  <c r="O36" i="35" l="1"/>
  <c r="G119" i="19"/>
  <c r="K119" i="19" s="1"/>
  <c r="G117" i="39"/>
  <c r="K117" i="39" s="1"/>
  <c r="G116" i="27"/>
  <c r="K116" i="27" s="1"/>
  <c r="L116" i="27" s="1"/>
  <c r="M116" i="27" s="1"/>
  <c r="G117" i="38"/>
  <c r="K117" i="38" s="1"/>
  <c r="G116" i="25"/>
  <c r="K116" i="25" s="1"/>
  <c r="L116" i="25" s="1"/>
  <c r="M116" i="25" s="1"/>
  <c r="G118" i="37"/>
  <c r="K118" i="37" s="1"/>
  <c r="G117" i="24"/>
  <c r="K117" i="24" s="1"/>
  <c r="L117" i="24" s="1"/>
  <c r="M117" i="24" s="1"/>
  <c r="G117" i="28"/>
  <c r="G120" i="19" l="1"/>
  <c r="K120" i="19" s="1"/>
  <c r="G118" i="38"/>
  <c r="K118" i="38" s="1"/>
  <c r="G117" i="25"/>
  <c r="K117" i="25" s="1"/>
  <c r="L117" i="25" s="1"/>
  <c r="M117" i="25" s="1"/>
  <c r="G118" i="39"/>
  <c r="K118" i="39" s="1"/>
  <c r="G117" i="27"/>
  <c r="K117" i="27" s="1"/>
  <c r="L117" i="27" s="1"/>
  <c r="M117" i="27" s="1"/>
  <c r="G119" i="37"/>
  <c r="K119" i="37" s="1"/>
  <c r="G118" i="24"/>
  <c r="K118" i="24" s="1"/>
  <c r="L118" i="24" s="1"/>
  <c r="M118" i="24" s="1"/>
  <c r="G118" i="28"/>
  <c r="G121" i="19" l="1"/>
  <c r="K121" i="19" s="1"/>
  <c r="G119" i="39"/>
  <c r="K119" i="39" s="1"/>
  <c r="G118" i="27"/>
  <c r="K118" i="27" s="1"/>
  <c r="L118" i="27" s="1"/>
  <c r="M118" i="27" s="1"/>
  <c r="G119" i="38"/>
  <c r="K119" i="38" s="1"/>
  <c r="G118" i="25"/>
  <c r="K118" i="25" s="1"/>
  <c r="L118" i="25" s="1"/>
  <c r="M118" i="25" s="1"/>
  <c r="G120" i="37"/>
  <c r="K120" i="37" s="1"/>
  <c r="G119" i="24"/>
  <c r="K119" i="24" s="1"/>
  <c r="L119" i="24" s="1"/>
  <c r="M119" i="24" s="1"/>
  <c r="G119" i="28"/>
  <c r="G122" i="19" l="1"/>
  <c r="K122" i="19" s="1"/>
  <c r="K236" i="19" s="1"/>
  <c r="G120" i="38"/>
  <c r="K120" i="38" s="1"/>
  <c r="G119" i="25"/>
  <c r="K119" i="25" s="1"/>
  <c r="L119" i="25" s="1"/>
  <c r="M119" i="25" s="1"/>
  <c r="G120" i="39"/>
  <c r="K120" i="39" s="1"/>
  <c r="G119" i="27"/>
  <c r="K119" i="27" s="1"/>
  <c r="L119" i="27" s="1"/>
  <c r="M119" i="27" s="1"/>
  <c r="G121" i="37"/>
  <c r="K121" i="37" s="1"/>
  <c r="G120" i="24"/>
  <c r="K120" i="24" s="1"/>
  <c r="L120" i="24" s="1"/>
  <c r="M120" i="24" s="1"/>
  <c r="G120" i="28"/>
  <c r="G123" i="19" l="1"/>
  <c r="K123" i="19" s="1"/>
  <c r="G121" i="38"/>
  <c r="K121" i="38" s="1"/>
  <c r="G120" i="25"/>
  <c r="K120" i="25" s="1"/>
  <c r="L120" i="25" s="1"/>
  <c r="M120" i="25" s="1"/>
  <c r="G121" i="39"/>
  <c r="K121" i="39" s="1"/>
  <c r="G120" i="27"/>
  <c r="K120" i="27" s="1"/>
  <c r="L120" i="27" s="1"/>
  <c r="M120" i="27" s="1"/>
  <c r="G122" i="37"/>
  <c r="K122" i="37" s="1"/>
  <c r="K236" i="37" s="1"/>
  <c r="G121" i="24"/>
  <c r="K121" i="24" s="1"/>
  <c r="L121" i="24" s="1"/>
  <c r="M121" i="24" s="1"/>
  <c r="L236" i="19"/>
  <c r="M236" i="19" s="1"/>
  <c r="G121" i="28"/>
  <c r="N236" i="24" l="1"/>
  <c r="J103" i="35" s="1"/>
  <c r="L236" i="37"/>
  <c r="M236" i="37" s="1"/>
  <c r="G121" i="27"/>
  <c r="K121" i="27" s="1"/>
  <c r="L121" i="27" s="1"/>
  <c r="M121" i="27" s="1"/>
  <c r="G121" i="25"/>
  <c r="K121" i="25" s="1"/>
  <c r="L121" i="25" s="1"/>
  <c r="M121" i="25" s="1"/>
  <c r="G122" i="24"/>
  <c r="K122" i="24" s="1"/>
  <c r="G123" i="37"/>
  <c r="K123" i="37" s="1"/>
  <c r="G122" i="28"/>
  <c r="G122" i="39" l="1"/>
  <c r="K122" i="39" s="1"/>
  <c r="K236" i="39" s="1"/>
  <c r="G122" i="38"/>
  <c r="K122" i="38" s="1"/>
  <c r="K236" i="38" s="1"/>
  <c r="K236" i="24"/>
  <c r="L236" i="24" s="1"/>
  <c r="M236" i="24" s="1"/>
  <c r="L122" i="24"/>
  <c r="M122" i="24" s="1"/>
  <c r="G125" i="19"/>
  <c r="K125" i="19" s="1"/>
  <c r="G124" i="19"/>
  <c r="K124" i="19" s="1"/>
  <c r="G122" i="27"/>
  <c r="K122" i="27" s="1"/>
  <c r="G122" i="25"/>
  <c r="K122" i="25" s="1"/>
  <c r="G123" i="24"/>
  <c r="K123" i="24" s="1"/>
  <c r="L123" i="24" s="1"/>
  <c r="M123" i="24" s="1"/>
  <c r="G124" i="37"/>
  <c r="K124" i="37" s="1"/>
  <c r="G123" i="25" l="1"/>
  <c r="K123" i="25" s="1"/>
  <c r="L123" i="25" s="1"/>
  <c r="M123" i="25" s="1"/>
  <c r="G123" i="38"/>
  <c r="K123" i="38" s="1"/>
  <c r="L236" i="38"/>
  <c r="M236" i="38" s="1"/>
  <c r="N236" i="25"/>
  <c r="J120" i="35" s="1"/>
  <c r="G123" i="27"/>
  <c r="K123" i="27" s="1"/>
  <c r="L123" i="27" s="1"/>
  <c r="M123" i="27" s="1"/>
  <c r="G123" i="39"/>
  <c r="K123" i="39" s="1"/>
  <c r="N236" i="27"/>
  <c r="J137" i="35" s="1"/>
  <c r="L236" i="39"/>
  <c r="M236" i="39" s="1"/>
  <c r="K236" i="27"/>
  <c r="L236" i="27" s="1"/>
  <c r="M236" i="27" s="1"/>
  <c r="L122" i="27"/>
  <c r="M122" i="27" s="1"/>
  <c r="K236" i="25"/>
  <c r="L236" i="25" s="1"/>
  <c r="M236" i="25" s="1"/>
  <c r="L122" i="25"/>
  <c r="M122" i="25" s="1"/>
  <c r="H103" i="35"/>
  <c r="O236" i="24"/>
  <c r="G126" i="19"/>
  <c r="K126" i="19" s="1"/>
  <c r="G125" i="37"/>
  <c r="K125" i="37" s="1"/>
  <c r="G124" i="24"/>
  <c r="K124" i="24" s="1"/>
  <c r="L124" i="24" s="1"/>
  <c r="M124" i="24" s="1"/>
  <c r="G123" i="28"/>
  <c r="G124" i="39"/>
  <c r="K124" i="39" s="1"/>
  <c r="G124" i="38"/>
  <c r="K124" i="38" s="1"/>
  <c r="H137" i="35" l="1"/>
  <c r="O236" i="27"/>
  <c r="H120" i="35"/>
  <c r="O236" i="25"/>
  <c r="K103" i="35"/>
  <c r="I103" i="35"/>
  <c r="G127" i="19"/>
  <c r="K127" i="19" s="1"/>
  <c r="G125" i="38"/>
  <c r="K125" i="38" s="1"/>
  <c r="G124" i="25"/>
  <c r="K124" i="25" s="1"/>
  <c r="L124" i="25" s="1"/>
  <c r="M124" i="25" s="1"/>
  <c r="G125" i="39"/>
  <c r="K125" i="39" s="1"/>
  <c r="G124" i="27"/>
  <c r="K124" i="27" s="1"/>
  <c r="L124" i="27" s="1"/>
  <c r="M124" i="27" s="1"/>
  <c r="G126" i="37"/>
  <c r="K126" i="37" s="1"/>
  <c r="G125" i="24"/>
  <c r="K125" i="24" s="1"/>
  <c r="L125" i="24" s="1"/>
  <c r="M125" i="24" s="1"/>
  <c r="G124" i="28"/>
  <c r="G125" i="28"/>
  <c r="I137" i="35" l="1"/>
  <c r="K137" i="35"/>
  <c r="K120" i="35"/>
  <c r="I120" i="35"/>
  <c r="L103" i="35"/>
  <c r="G37" i="35"/>
  <c r="G128" i="19"/>
  <c r="K128" i="19" s="1"/>
  <c r="G126" i="38"/>
  <c r="K126" i="38" s="1"/>
  <c r="G125" i="25"/>
  <c r="K125" i="25" s="1"/>
  <c r="L125" i="25" s="1"/>
  <c r="M125" i="25" s="1"/>
  <c r="G126" i="39"/>
  <c r="K126" i="39" s="1"/>
  <c r="G125" i="27"/>
  <c r="K125" i="27" s="1"/>
  <c r="L125" i="27" s="1"/>
  <c r="M125" i="27" s="1"/>
  <c r="G127" i="37"/>
  <c r="K127" i="37" s="1"/>
  <c r="G126" i="24"/>
  <c r="K126" i="24" s="1"/>
  <c r="L126" i="24" s="1"/>
  <c r="M126" i="24" s="1"/>
  <c r="G126" i="28"/>
  <c r="L137" i="35" l="1"/>
  <c r="M256" i="35"/>
  <c r="I37" i="35"/>
  <c r="L120" i="35"/>
  <c r="H37" i="35"/>
  <c r="G129" i="19"/>
  <c r="K129" i="19" s="1"/>
  <c r="G127" i="39"/>
  <c r="K127" i="39" s="1"/>
  <c r="G126" i="27"/>
  <c r="K126" i="27" s="1"/>
  <c r="L126" i="27" s="1"/>
  <c r="M126" i="27" s="1"/>
  <c r="G127" i="38"/>
  <c r="K127" i="38" s="1"/>
  <c r="G126" i="25"/>
  <c r="K126" i="25" s="1"/>
  <c r="L126" i="25" s="1"/>
  <c r="M126" i="25" s="1"/>
  <c r="G128" i="37"/>
  <c r="K128" i="37" s="1"/>
  <c r="G127" i="24"/>
  <c r="K127" i="24" s="1"/>
  <c r="L127" i="24" s="1"/>
  <c r="M127" i="24" s="1"/>
  <c r="G127" i="28"/>
  <c r="O37" i="35" l="1"/>
  <c r="G130" i="19"/>
  <c r="K130" i="19" s="1"/>
  <c r="G128" i="38"/>
  <c r="K128" i="38" s="1"/>
  <c r="G127" i="25"/>
  <c r="K127" i="25" s="1"/>
  <c r="L127" i="25" s="1"/>
  <c r="M127" i="25" s="1"/>
  <c r="G128" i="39"/>
  <c r="K128" i="39" s="1"/>
  <c r="G127" i="27"/>
  <c r="K127" i="27" s="1"/>
  <c r="L127" i="27" s="1"/>
  <c r="M127" i="27" s="1"/>
  <c r="G129" i="37"/>
  <c r="K129" i="37" s="1"/>
  <c r="G128" i="24"/>
  <c r="K128" i="24" s="1"/>
  <c r="L128" i="24" s="1"/>
  <c r="M128" i="24" s="1"/>
  <c r="G128" i="28"/>
  <c r="G131" i="19" l="1"/>
  <c r="K131" i="19" s="1"/>
  <c r="G129" i="38"/>
  <c r="K129" i="38" s="1"/>
  <c r="G128" i="25"/>
  <c r="K128" i="25" s="1"/>
  <c r="L128" i="25" s="1"/>
  <c r="M128" i="25" s="1"/>
  <c r="G129" i="39"/>
  <c r="K129" i="39" s="1"/>
  <c r="G128" i="27"/>
  <c r="K128" i="27" s="1"/>
  <c r="L128" i="27" s="1"/>
  <c r="M128" i="27" s="1"/>
  <c r="G130" i="37"/>
  <c r="K130" i="37" s="1"/>
  <c r="G129" i="24"/>
  <c r="K129" i="24" s="1"/>
  <c r="L129" i="24" s="1"/>
  <c r="M129" i="24" s="1"/>
  <c r="G129" i="28"/>
  <c r="G132" i="19" l="1"/>
  <c r="K132" i="19" s="1"/>
  <c r="G130" i="39"/>
  <c r="K130" i="39" s="1"/>
  <c r="G129" i="27"/>
  <c r="K129" i="27" s="1"/>
  <c r="L129" i="27" s="1"/>
  <c r="M129" i="27" s="1"/>
  <c r="G130" i="38"/>
  <c r="K130" i="38" s="1"/>
  <c r="G129" i="25"/>
  <c r="K129" i="25" s="1"/>
  <c r="L129" i="25" s="1"/>
  <c r="M129" i="25" s="1"/>
  <c r="G131" i="37"/>
  <c r="K131" i="37" s="1"/>
  <c r="G130" i="24"/>
  <c r="K130" i="24" s="1"/>
  <c r="L130" i="24" s="1"/>
  <c r="M130" i="24" s="1"/>
  <c r="G130" i="28"/>
  <c r="G133" i="19" l="1"/>
  <c r="K133" i="19" s="1"/>
  <c r="G131" i="39"/>
  <c r="K131" i="39" s="1"/>
  <c r="G130" i="27"/>
  <c r="K130" i="27" s="1"/>
  <c r="L130" i="27" s="1"/>
  <c r="M130" i="27" s="1"/>
  <c r="G131" i="38"/>
  <c r="K131" i="38" s="1"/>
  <c r="G130" i="25"/>
  <c r="K130" i="25" s="1"/>
  <c r="L130" i="25" s="1"/>
  <c r="M130" i="25" s="1"/>
  <c r="G132" i="37"/>
  <c r="K132" i="37" s="1"/>
  <c r="G131" i="24"/>
  <c r="K131" i="24" s="1"/>
  <c r="L131" i="24" s="1"/>
  <c r="M131" i="24" s="1"/>
  <c r="G131" i="28"/>
  <c r="G134" i="19" l="1"/>
  <c r="K134" i="19" s="1"/>
  <c r="K237" i="19" s="1"/>
  <c r="G132" i="39"/>
  <c r="K132" i="39" s="1"/>
  <c r="G131" i="27"/>
  <c r="K131" i="27" s="1"/>
  <c r="L131" i="27" s="1"/>
  <c r="M131" i="27" s="1"/>
  <c r="G132" i="38"/>
  <c r="K132" i="38" s="1"/>
  <c r="G131" i="25"/>
  <c r="K131" i="25" s="1"/>
  <c r="L131" i="25" s="1"/>
  <c r="M131" i="25" s="1"/>
  <c r="G133" i="37"/>
  <c r="K133" i="37" s="1"/>
  <c r="G132" i="24"/>
  <c r="K132" i="24" s="1"/>
  <c r="L132" i="24" s="1"/>
  <c r="M132" i="24" s="1"/>
  <c r="G132" i="28"/>
  <c r="G135" i="19" l="1"/>
  <c r="K135" i="19" s="1"/>
  <c r="G133" i="39"/>
  <c r="K133" i="39" s="1"/>
  <c r="G132" i="27"/>
  <c r="K132" i="27" s="1"/>
  <c r="L132" i="27" s="1"/>
  <c r="M132" i="27" s="1"/>
  <c r="G133" i="38"/>
  <c r="K133" i="38" s="1"/>
  <c r="G132" i="25"/>
  <c r="K132" i="25" s="1"/>
  <c r="L132" i="25" s="1"/>
  <c r="M132" i="25" s="1"/>
  <c r="G134" i="37"/>
  <c r="K134" i="37" s="1"/>
  <c r="K237" i="37" s="1"/>
  <c r="G133" i="24"/>
  <c r="K133" i="24" s="1"/>
  <c r="L133" i="24" s="1"/>
  <c r="M133" i="24" s="1"/>
  <c r="L237" i="19"/>
  <c r="M237" i="19" s="1"/>
  <c r="G133" i="28"/>
  <c r="L237" i="37" l="1"/>
  <c r="M237" i="37" s="1"/>
  <c r="N237" i="24"/>
  <c r="J104" i="35" s="1"/>
  <c r="G134" i="39"/>
  <c r="K134" i="39" s="1"/>
  <c r="K237" i="39" s="1"/>
  <c r="G133" i="27"/>
  <c r="K133" i="27" s="1"/>
  <c r="L133" i="27" s="1"/>
  <c r="M133" i="27" s="1"/>
  <c r="G134" i="38"/>
  <c r="K134" i="38" s="1"/>
  <c r="K237" i="38" s="1"/>
  <c r="G133" i="25"/>
  <c r="K133" i="25" s="1"/>
  <c r="L133" i="25" s="1"/>
  <c r="M133" i="25" s="1"/>
  <c r="G134" i="24"/>
  <c r="K134" i="24" s="1"/>
  <c r="G135" i="37"/>
  <c r="K135" i="37" s="1"/>
  <c r="G136" i="19"/>
  <c r="K136" i="19" s="1"/>
  <c r="G134" i="28"/>
  <c r="L237" i="38" l="1"/>
  <c r="M237" i="38" s="1"/>
  <c r="N237" i="25"/>
  <c r="J121" i="35" s="1"/>
  <c r="N237" i="27"/>
  <c r="J138" i="35" s="1"/>
  <c r="L237" i="39"/>
  <c r="M237" i="39" s="1"/>
  <c r="K237" i="24"/>
  <c r="L134" i="24"/>
  <c r="M134" i="24" s="1"/>
  <c r="G134" i="27"/>
  <c r="K134" i="27" s="1"/>
  <c r="G134" i="25"/>
  <c r="K134" i="25" s="1"/>
  <c r="G135" i="24"/>
  <c r="K135" i="24" s="1"/>
  <c r="L135" i="24" s="1"/>
  <c r="M135" i="24" s="1"/>
  <c r="G136" i="37"/>
  <c r="K136" i="37" s="1"/>
  <c r="G135" i="27" l="1"/>
  <c r="K135" i="27" s="1"/>
  <c r="L135" i="27" s="1"/>
  <c r="M135" i="27" s="1"/>
  <c r="G135" i="39"/>
  <c r="K135" i="39" s="1"/>
  <c r="G135" i="25"/>
  <c r="K135" i="25" s="1"/>
  <c r="L135" i="25" s="1"/>
  <c r="M135" i="25" s="1"/>
  <c r="G135" i="38"/>
  <c r="K135" i="38" s="1"/>
  <c r="K237" i="27"/>
  <c r="L237" i="27" s="1"/>
  <c r="M237" i="27" s="1"/>
  <c r="L134" i="27"/>
  <c r="M134" i="27" s="1"/>
  <c r="K237" i="25"/>
  <c r="L134" i="25"/>
  <c r="M134" i="25" s="1"/>
  <c r="H104" i="35"/>
  <c r="O237" i="24"/>
  <c r="L237" i="24"/>
  <c r="M237" i="24" s="1"/>
  <c r="G138" i="19"/>
  <c r="K138" i="19" s="1"/>
  <c r="G137" i="19"/>
  <c r="K137" i="19" s="1"/>
  <c r="G137" i="37"/>
  <c r="K137" i="37" s="1"/>
  <c r="G136" i="24"/>
  <c r="K136" i="24" s="1"/>
  <c r="L136" i="24" s="1"/>
  <c r="M136" i="24" s="1"/>
  <c r="G135" i="28"/>
  <c r="G136" i="39"/>
  <c r="K136" i="39" s="1"/>
  <c r="G136" i="38"/>
  <c r="K136" i="38" s="1"/>
  <c r="H138" i="35" l="1"/>
  <c r="O237" i="27"/>
  <c r="O237" i="25"/>
  <c r="H121" i="35"/>
  <c r="L237" i="25"/>
  <c r="M237" i="25" s="1"/>
  <c r="K104" i="35"/>
  <c r="I104" i="35"/>
  <c r="G137" i="38"/>
  <c r="K137" i="38" s="1"/>
  <c r="G136" i="25"/>
  <c r="K136" i="25" s="1"/>
  <c r="L136" i="25" s="1"/>
  <c r="M136" i="25" s="1"/>
  <c r="G137" i="39"/>
  <c r="K137" i="39" s="1"/>
  <c r="G136" i="27"/>
  <c r="K136" i="27" s="1"/>
  <c r="L136" i="27" s="1"/>
  <c r="M136" i="27" s="1"/>
  <c r="G139" i="19"/>
  <c r="K139" i="19" s="1"/>
  <c r="G138" i="37"/>
  <c r="K138" i="37" s="1"/>
  <c r="G137" i="24"/>
  <c r="K137" i="24" s="1"/>
  <c r="L137" i="24" s="1"/>
  <c r="M137" i="24" s="1"/>
  <c r="G136" i="28"/>
  <c r="G137" i="28"/>
  <c r="K138" i="35" l="1"/>
  <c r="I138" i="35"/>
  <c r="K121" i="35"/>
  <c r="I121" i="35"/>
  <c r="L104" i="35"/>
  <c r="G38" i="35"/>
  <c r="G138" i="38"/>
  <c r="K138" i="38" s="1"/>
  <c r="G137" i="25"/>
  <c r="K137" i="25" s="1"/>
  <c r="L137" i="25" s="1"/>
  <c r="M137" i="25" s="1"/>
  <c r="G140" i="19"/>
  <c r="K140" i="19" s="1"/>
  <c r="G138" i="39"/>
  <c r="K138" i="39" s="1"/>
  <c r="G137" i="27"/>
  <c r="K137" i="27" s="1"/>
  <c r="L137" i="27" s="1"/>
  <c r="M137" i="27" s="1"/>
  <c r="G139" i="37"/>
  <c r="K139" i="37" s="1"/>
  <c r="G138" i="24"/>
  <c r="K138" i="24" s="1"/>
  <c r="L138" i="24" s="1"/>
  <c r="M138" i="24" s="1"/>
  <c r="G138" i="28"/>
  <c r="L138" i="35" l="1"/>
  <c r="M257" i="35"/>
  <c r="I38" i="35"/>
  <c r="L121" i="35"/>
  <c r="H38" i="35"/>
  <c r="G141" i="19"/>
  <c r="K141" i="19" s="1"/>
  <c r="G139" i="39"/>
  <c r="K139" i="39" s="1"/>
  <c r="G138" i="27"/>
  <c r="K138" i="27" s="1"/>
  <c r="L138" i="27" s="1"/>
  <c r="M138" i="27" s="1"/>
  <c r="G139" i="38"/>
  <c r="K139" i="38" s="1"/>
  <c r="G138" i="25"/>
  <c r="K138" i="25" s="1"/>
  <c r="L138" i="25" s="1"/>
  <c r="M138" i="25" s="1"/>
  <c r="G140" i="37"/>
  <c r="K140" i="37" s="1"/>
  <c r="G139" i="24"/>
  <c r="K139" i="24" s="1"/>
  <c r="L139" i="24" s="1"/>
  <c r="M139" i="24" s="1"/>
  <c r="G139" i="28"/>
  <c r="O38" i="35" l="1"/>
  <c r="G142" i="19"/>
  <c r="K142" i="19" s="1"/>
  <c r="G140" i="38"/>
  <c r="K140" i="38" s="1"/>
  <c r="G139" i="25"/>
  <c r="K139" i="25" s="1"/>
  <c r="L139" i="25" s="1"/>
  <c r="M139" i="25" s="1"/>
  <c r="G140" i="39"/>
  <c r="K140" i="39" s="1"/>
  <c r="G139" i="27"/>
  <c r="K139" i="27" s="1"/>
  <c r="L139" i="27" s="1"/>
  <c r="M139" i="27" s="1"/>
  <c r="G141" i="37"/>
  <c r="K141" i="37" s="1"/>
  <c r="G140" i="24"/>
  <c r="K140" i="24" s="1"/>
  <c r="L140" i="24" s="1"/>
  <c r="M140" i="24" s="1"/>
  <c r="G140" i="28"/>
  <c r="G143" i="19" l="1"/>
  <c r="K143" i="19" s="1"/>
  <c r="G141" i="39"/>
  <c r="K141" i="39" s="1"/>
  <c r="G140" i="27"/>
  <c r="K140" i="27" s="1"/>
  <c r="L140" i="27" s="1"/>
  <c r="M140" i="27" s="1"/>
  <c r="G141" i="38"/>
  <c r="K141" i="38" s="1"/>
  <c r="G140" i="25"/>
  <c r="K140" i="25" s="1"/>
  <c r="L140" i="25" s="1"/>
  <c r="M140" i="25" s="1"/>
  <c r="G142" i="37"/>
  <c r="K142" i="37" s="1"/>
  <c r="G141" i="24"/>
  <c r="K141" i="24" s="1"/>
  <c r="L141" i="24" s="1"/>
  <c r="M141" i="24" s="1"/>
  <c r="G141" i="28"/>
  <c r="G144" i="19" l="1"/>
  <c r="K144" i="19" s="1"/>
  <c r="G142" i="39"/>
  <c r="K142" i="39" s="1"/>
  <c r="G141" i="27"/>
  <c r="K141" i="27" s="1"/>
  <c r="L141" i="27" s="1"/>
  <c r="M141" i="27" s="1"/>
  <c r="G142" i="38"/>
  <c r="K142" i="38" s="1"/>
  <c r="G141" i="25"/>
  <c r="K141" i="25" s="1"/>
  <c r="L141" i="25" s="1"/>
  <c r="M141" i="25" s="1"/>
  <c r="G143" i="37"/>
  <c r="K143" i="37" s="1"/>
  <c r="G142" i="24"/>
  <c r="K142" i="24" s="1"/>
  <c r="L142" i="24" s="1"/>
  <c r="M142" i="24" s="1"/>
  <c r="G142" i="28"/>
  <c r="G145" i="19" l="1"/>
  <c r="K145" i="19" s="1"/>
  <c r="G143" i="39"/>
  <c r="K143" i="39" s="1"/>
  <c r="G142" i="27"/>
  <c r="K142" i="27" s="1"/>
  <c r="L142" i="27" s="1"/>
  <c r="M142" i="27" s="1"/>
  <c r="G143" i="38"/>
  <c r="K143" i="38" s="1"/>
  <c r="G142" i="25"/>
  <c r="K142" i="25" s="1"/>
  <c r="L142" i="25" s="1"/>
  <c r="M142" i="25" s="1"/>
  <c r="G144" i="37"/>
  <c r="K144" i="37" s="1"/>
  <c r="G143" i="24"/>
  <c r="K143" i="24" s="1"/>
  <c r="L143" i="24" s="1"/>
  <c r="M143" i="24" s="1"/>
  <c r="G143" i="28"/>
  <c r="G146" i="19" l="1"/>
  <c r="K146" i="19" s="1"/>
  <c r="K238" i="19" s="1"/>
  <c r="G144" i="39"/>
  <c r="K144" i="39" s="1"/>
  <c r="G143" i="27"/>
  <c r="K143" i="27" s="1"/>
  <c r="L143" i="27" s="1"/>
  <c r="M143" i="27" s="1"/>
  <c r="G144" i="38"/>
  <c r="K144" i="38" s="1"/>
  <c r="G143" i="25"/>
  <c r="K143" i="25" s="1"/>
  <c r="L143" i="25" s="1"/>
  <c r="M143" i="25" s="1"/>
  <c r="G145" i="37"/>
  <c r="K145" i="37" s="1"/>
  <c r="G144" i="24"/>
  <c r="K144" i="24" s="1"/>
  <c r="L144" i="24" s="1"/>
  <c r="M144" i="24" s="1"/>
  <c r="G144" i="28"/>
  <c r="G147" i="19" l="1"/>
  <c r="K147" i="19" s="1"/>
  <c r="G145" i="39"/>
  <c r="K145" i="39" s="1"/>
  <c r="G144" i="27"/>
  <c r="K144" i="27" s="1"/>
  <c r="L144" i="27" s="1"/>
  <c r="M144" i="27" s="1"/>
  <c r="G145" i="38"/>
  <c r="K145" i="38" s="1"/>
  <c r="G144" i="25"/>
  <c r="K144" i="25" s="1"/>
  <c r="L144" i="25" s="1"/>
  <c r="M144" i="25" s="1"/>
  <c r="G146" i="37"/>
  <c r="K146" i="37" s="1"/>
  <c r="K238" i="37" s="1"/>
  <c r="G145" i="24"/>
  <c r="K145" i="24" s="1"/>
  <c r="L145" i="24" s="1"/>
  <c r="M145" i="24" s="1"/>
  <c r="L238" i="19"/>
  <c r="M238" i="19" s="1"/>
  <c r="G145" i="28"/>
  <c r="L238" i="37" l="1"/>
  <c r="M238" i="37" s="1"/>
  <c r="N238" i="24"/>
  <c r="J105" i="35" s="1"/>
  <c r="G146" i="38"/>
  <c r="K146" i="38" s="1"/>
  <c r="K238" i="38" s="1"/>
  <c r="G145" i="25"/>
  <c r="K145" i="25" s="1"/>
  <c r="L145" i="25" s="1"/>
  <c r="M145" i="25" s="1"/>
  <c r="G146" i="39"/>
  <c r="K146" i="39" s="1"/>
  <c r="K238" i="39" s="1"/>
  <c r="G145" i="27"/>
  <c r="K145" i="27" s="1"/>
  <c r="L145" i="27" s="1"/>
  <c r="M145" i="27" s="1"/>
  <c r="G146" i="24"/>
  <c r="K146" i="24" s="1"/>
  <c r="G147" i="37"/>
  <c r="K147" i="37" s="1"/>
  <c r="G148" i="19"/>
  <c r="K148" i="19" s="1"/>
  <c r="G146" i="28"/>
  <c r="L238" i="38" l="1"/>
  <c r="M238" i="38" s="1"/>
  <c r="N238" i="25"/>
  <c r="J122" i="35" s="1"/>
  <c r="L238" i="39"/>
  <c r="M238" i="39" s="1"/>
  <c r="N238" i="27"/>
  <c r="J139" i="35" s="1"/>
  <c r="K238" i="24"/>
  <c r="L146" i="24"/>
  <c r="M146" i="24" s="1"/>
  <c r="G146" i="25"/>
  <c r="K146" i="25" s="1"/>
  <c r="G146" i="27"/>
  <c r="K146" i="27" s="1"/>
  <c r="L146" i="27" s="1"/>
  <c r="M146" i="27" s="1"/>
  <c r="G147" i="24"/>
  <c r="K147" i="24" s="1"/>
  <c r="L147" i="24" s="1"/>
  <c r="M147" i="24" s="1"/>
  <c r="G148" i="37"/>
  <c r="K148" i="37" s="1"/>
  <c r="G147" i="27" l="1"/>
  <c r="K147" i="27" s="1"/>
  <c r="L147" i="27" s="1"/>
  <c r="M147" i="27" s="1"/>
  <c r="G147" i="39"/>
  <c r="K147" i="39" s="1"/>
  <c r="G147" i="25"/>
  <c r="K147" i="25" s="1"/>
  <c r="L147" i="25" s="1"/>
  <c r="M147" i="25" s="1"/>
  <c r="G147" i="38"/>
  <c r="K147" i="38" s="1"/>
  <c r="K238" i="27"/>
  <c r="O238" i="27" s="1"/>
  <c r="K238" i="25"/>
  <c r="L146" i="25"/>
  <c r="M146" i="25" s="1"/>
  <c r="H105" i="35"/>
  <c r="O238" i="24"/>
  <c r="L238" i="24"/>
  <c r="M238" i="24" s="1"/>
  <c r="G150" i="19"/>
  <c r="K150" i="19" s="1"/>
  <c r="G149" i="19"/>
  <c r="K149" i="19" s="1"/>
  <c r="G149" i="37"/>
  <c r="K149" i="37" s="1"/>
  <c r="G148" i="24"/>
  <c r="K148" i="24" s="1"/>
  <c r="L148" i="24" s="1"/>
  <c r="M148" i="24" s="1"/>
  <c r="G147" i="28"/>
  <c r="G148" i="39"/>
  <c r="K148" i="39" s="1"/>
  <c r="G148" i="38"/>
  <c r="K148" i="38" s="1"/>
  <c r="H139" i="35" l="1"/>
  <c r="I139" i="35" s="1"/>
  <c r="L238" i="27"/>
  <c r="M238" i="27" s="1"/>
  <c r="H122" i="35"/>
  <c r="O238" i="25"/>
  <c r="L238" i="25"/>
  <c r="M238" i="25" s="1"/>
  <c r="K105" i="35"/>
  <c r="I105" i="35"/>
  <c r="G149" i="38"/>
  <c r="K149" i="38" s="1"/>
  <c r="G148" i="25"/>
  <c r="K148" i="25" s="1"/>
  <c r="L148" i="25" s="1"/>
  <c r="M148" i="25" s="1"/>
  <c r="G149" i="39"/>
  <c r="K149" i="39" s="1"/>
  <c r="G148" i="27"/>
  <c r="K148" i="27" s="1"/>
  <c r="L148" i="27" s="1"/>
  <c r="M148" i="27" s="1"/>
  <c r="G151" i="19"/>
  <c r="K151" i="19" s="1"/>
  <c r="G150" i="37"/>
  <c r="K150" i="37" s="1"/>
  <c r="G149" i="24"/>
  <c r="K149" i="24" s="1"/>
  <c r="L149" i="24" s="1"/>
  <c r="M149" i="24" s="1"/>
  <c r="G148" i="28"/>
  <c r="G149" i="28"/>
  <c r="K139" i="35" l="1"/>
  <c r="L139" i="35" s="1"/>
  <c r="K122" i="35"/>
  <c r="I122" i="35"/>
  <c r="L105" i="35"/>
  <c r="G39" i="35"/>
  <c r="G150" i="38"/>
  <c r="K150" i="38" s="1"/>
  <c r="G149" i="25"/>
  <c r="K149" i="25" s="1"/>
  <c r="L149" i="25" s="1"/>
  <c r="M149" i="25" s="1"/>
  <c r="G152" i="19"/>
  <c r="K152" i="19" s="1"/>
  <c r="G150" i="39"/>
  <c r="K150" i="39" s="1"/>
  <c r="G149" i="27"/>
  <c r="K149" i="27" s="1"/>
  <c r="L149" i="27" s="1"/>
  <c r="M149" i="27" s="1"/>
  <c r="G151" i="37"/>
  <c r="K151" i="37" s="1"/>
  <c r="G150" i="24"/>
  <c r="K150" i="24" s="1"/>
  <c r="L150" i="24" s="1"/>
  <c r="M150" i="24" s="1"/>
  <c r="G150" i="28"/>
  <c r="I39" i="35" l="1"/>
  <c r="M258" i="35"/>
  <c r="L122" i="35"/>
  <c r="H39" i="35"/>
  <c r="G153" i="19"/>
  <c r="K153" i="19" s="1"/>
  <c r="G151" i="38"/>
  <c r="K151" i="38" s="1"/>
  <c r="G150" i="25"/>
  <c r="K150" i="25" s="1"/>
  <c r="L150" i="25" s="1"/>
  <c r="M150" i="25" s="1"/>
  <c r="G151" i="39"/>
  <c r="K151" i="39" s="1"/>
  <c r="G150" i="27"/>
  <c r="K150" i="27" s="1"/>
  <c r="L150" i="27" s="1"/>
  <c r="M150" i="27" s="1"/>
  <c r="G152" i="37"/>
  <c r="K152" i="37" s="1"/>
  <c r="G151" i="24"/>
  <c r="K151" i="24" s="1"/>
  <c r="L151" i="24" s="1"/>
  <c r="M151" i="24" s="1"/>
  <c r="G151" i="28"/>
  <c r="O39" i="35" l="1"/>
  <c r="G154" i="19"/>
  <c r="K154" i="19" s="1"/>
  <c r="G152" i="38"/>
  <c r="K152" i="38" s="1"/>
  <c r="G151" i="25"/>
  <c r="K151" i="25" s="1"/>
  <c r="L151" i="25" s="1"/>
  <c r="M151" i="25" s="1"/>
  <c r="G152" i="39"/>
  <c r="K152" i="39" s="1"/>
  <c r="G151" i="27"/>
  <c r="K151" i="27" s="1"/>
  <c r="L151" i="27" s="1"/>
  <c r="M151" i="27" s="1"/>
  <c r="G153" i="37"/>
  <c r="K153" i="37" s="1"/>
  <c r="G152" i="24"/>
  <c r="K152" i="24" s="1"/>
  <c r="L152" i="24" s="1"/>
  <c r="M152" i="24" s="1"/>
  <c r="G152" i="28"/>
  <c r="G155" i="19" l="1"/>
  <c r="K155" i="19" s="1"/>
  <c r="G153" i="38"/>
  <c r="K153" i="38" s="1"/>
  <c r="G152" i="25"/>
  <c r="K152" i="25" s="1"/>
  <c r="L152" i="25" s="1"/>
  <c r="M152" i="25" s="1"/>
  <c r="G153" i="39"/>
  <c r="K153" i="39" s="1"/>
  <c r="G152" i="27"/>
  <c r="K152" i="27" s="1"/>
  <c r="L152" i="27" s="1"/>
  <c r="M152" i="27" s="1"/>
  <c r="G154" i="37"/>
  <c r="K154" i="37" s="1"/>
  <c r="G153" i="24"/>
  <c r="K153" i="24" s="1"/>
  <c r="L153" i="24" s="1"/>
  <c r="M153" i="24" s="1"/>
  <c r="G153" i="28"/>
  <c r="G156" i="19" l="1"/>
  <c r="K156" i="19" s="1"/>
  <c r="G154" i="38"/>
  <c r="K154" i="38" s="1"/>
  <c r="G153" i="25"/>
  <c r="K153" i="25" s="1"/>
  <c r="L153" i="25" s="1"/>
  <c r="M153" i="25" s="1"/>
  <c r="G154" i="39"/>
  <c r="K154" i="39" s="1"/>
  <c r="G153" i="27"/>
  <c r="K153" i="27" s="1"/>
  <c r="L153" i="27" s="1"/>
  <c r="M153" i="27" s="1"/>
  <c r="G155" i="37"/>
  <c r="K155" i="37" s="1"/>
  <c r="G154" i="24"/>
  <c r="K154" i="24" s="1"/>
  <c r="L154" i="24" s="1"/>
  <c r="M154" i="24" s="1"/>
  <c r="G154" i="28"/>
  <c r="G157" i="19" l="1"/>
  <c r="K157" i="19" s="1"/>
  <c r="G155" i="38"/>
  <c r="K155" i="38" s="1"/>
  <c r="G154" i="25"/>
  <c r="K154" i="25" s="1"/>
  <c r="L154" i="25" s="1"/>
  <c r="M154" i="25" s="1"/>
  <c r="G155" i="39"/>
  <c r="K155" i="39" s="1"/>
  <c r="G154" i="27"/>
  <c r="K154" i="27" s="1"/>
  <c r="L154" i="27" s="1"/>
  <c r="M154" i="27" s="1"/>
  <c r="G156" i="37"/>
  <c r="K156" i="37" s="1"/>
  <c r="G155" i="24"/>
  <c r="K155" i="24" s="1"/>
  <c r="L155" i="24" s="1"/>
  <c r="M155" i="24" s="1"/>
  <c r="G155" i="28"/>
  <c r="G158" i="19" l="1"/>
  <c r="K158" i="19" s="1"/>
  <c r="K239" i="19" s="1"/>
  <c r="G156" i="38"/>
  <c r="K156" i="38" s="1"/>
  <c r="G155" i="25"/>
  <c r="K155" i="25" s="1"/>
  <c r="L155" i="25" s="1"/>
  <c r="M155" i="25" s="1"/>
  <c r="G156" i="39"/>
  <c r="K156" i="39" s="1"/>
  <c r="G155" i="27"/>
  <c r="K155" i="27" s="1"/>
  <c r="L155" i="27" s="1"/>
  <c r="M155" i="27" s="1"/>
  <c r="G157" i="37"/>
  <c r="K157" i="37" s="1"/>
  <c r="G156" i="24"/>
  <c r="K156" i="24" s="1"/>
  <c r="L156" i="24" s="1"/>
  <c r="M156" i="24" s="1"/>
  <c r="G156" i="28"/>
  <c r="G157" i="38" l="1"/>
  <c r="K157" i="38" s="1"/>
  <c r="G156" i="25"/>
  <c r="K156" i="25" s="1"/>
  <c r="L156" i="25" s="1"/>
  <c r="M156" i="25" s="1"/>
  <c r="G157" i="39"/>
  <c r="K157" i="39" s="1"/>
  <c r="G156" i="27"/>
  <c r="K156" i="27" s="1"/>
  <c r="L156" i="27" s="1"/>
  <c r="M156" i="27" s="1"/>
  <c r="G158" i="37"/>
  <c r="K158" i="37" s="1"/>
  <c r="K239" i="37" s="1"/>
  <c r="G157" i="24"/>
  <c r="K157" i="24" s="1"/>
  <c r="L157" i="24" s="1"/>
  <c r="M157" i="24" s="1"/>
  <c r="L239" i="19"/>
  <c r="M239" i="19" s="1"/>
  <c r="G157" i="28"/>
  <c r="L239" i="37" l="1"/>
  <c r="M239" i="37" s="1"/>
  <c r="N239" i="24"/>
  <c r="J106" i="35" s="1"/>
  <c r="G158" i="38"/>
  <c r="K158" i="38" s="1"/>
  <c r="K239" i="38" s="1"/>
  <c r="G157" i="25"/>
  <c r="K157" i="25" s="1"/>
  <c r="L157" i="25" s="1"/>
  <c r="M157" i="25" s="1"/>
  <c r="G158" i="39"/>
  <c r="K158" i="39" s="1"/>
  <c r="K239" i="39" s="1"/>
  <c r="G157" i="27"/>
  <c r="K157" i="27" s="1"/>
  <c r="L157" i="27" s="1"/>
  <c r="M157" i="27" s="1"/>
  <c r="G158" i="24"/>
  <c r="K158" i="24" s="1"/>
  <c r="G159" i="37"/>
  <c r="K159" i="37" s="1"/>
  <c r="G158" i="28"/>
  <c r="L239" i="38" l="1"/>
  <c r="M239" i="38" s="1"/>
  <c r="N239" i="25"/>
  <c r="J123" i="35" s="1"/>
  <c r="N239" i="27"/>
  <c r="J140" i="35" s="1"/>
  <c r="L239" i="39"/>
  <c r="M239" i="39" s="1"/>
  <c r="K239" i="24"/>
  <c r="L158" i="24"/>
  <c r="M158" i="24" s="1"/>
  <c r="G158" i="25"/>
  <c r="K158" i="25" s="1"/>
  <c r="G158" i="27"/>
  <c r="K158" i="27" s="1"/>
  <c r="G159" i="24"/>
  <c r="K159" i="24" s="1"/>
  <c r="L159" i="24" s="1"/>
  <c r="M159" i="24" s="1"/>
  <c r="G160" i="37"/>
  <c r="K160" i="37" s="1"/>
  <c r="G159" i="25" l="1"/>
  <c r="K159" i="25" s="1"/>
  <c r="L159" i="25" s="1"/>
  <c r="M159" i="25" s="1"/>
  <c r="G159" i="38"/>
  <c r="K159" i="38" s="1"/>
  <c r="G159" i="27"/>
  <c r="K159" i="27" s="1"/>
  <c r="L159" i="27" s="1"/>
  <c r="M159" i="27" s="1"/>
  <c r="G159" i="39"/>
  <c r="K159" i="39" s="1"/>
  <c r="K239" i="27"/>
  <c r="L158" i="27"/>
  <c r="M158" i="27" s="1"/>
  <c r="K239" i="25"/>
  <c r="L158" i="25"/>
  <c r="M158" i="25" s="1"/>
  <c r="L239" i="24"/>
  <c r="M239" i="24" s="1"/>
  <c r="H106" i="35"/>
  <c r="O239" i="24"/>
  <c r="G161" i="37"/>
  <c r="K161" i="37" s="1"/>
  <c r="G160" i="24"/>
  <c r="K160" i="24" s="1"/>
  <c r="L160" i="24" s="1"/>
  <c r="M160" i="24" s="1"/>
  <c r="G159" i="28"/>
  <c r="G160" i="39"/>
  <c r="K160" i="39" s="1"/>
  <c r="G160" i="38"/>
  <c r="K160" i="38" s="1"/>
  <c r="L239" i="27" l="1"/>
  <c r="M239" i="27" s="1"/>
  <c r="O239" i="27"/>
  <c r="H140" i="35"/>
  <c r="H123" i="35"/>
  <c r="O239" i="25"/>
  <c r="L239" i="25"/>
  <c r="M239" i="25" s="1"/>
  <c r="I106" i="35"/>
  <c r="K106" i="35"/>
  <c r="AJ350" i="35" s="1"/>
  <c r="AJ354" i="35" s="1"/>
  <c r="AN354" i="35" s="1"/>
  <c r="G161" i="38"/>
  <c r="K161" i="38" s="1"/>
  <c r="G160" i="25"/>
  <c r="K160" i="25" s="1"/>
  <c r="L160" i="25" s="1"/>
  <c r="M160" i="25" s="1"/>
  <c r="G161" i="39"/>
  <c r="K161" i="39" s="1"/>
  <c r="G160" i="27"/>
  <c r="K160" i="27" s="1"/>
  <c r="L160" i="27" s="1"/>
  <c r="M160" i="27" s="1"/>
  <c r="G162" i="37"/>
  <c r="K162" i="37" s="1"/>
  <c r="G161" i="24"/>
  <c r="K161" i="24" s="1"/>
  <c r="L161" i="24" s="1"/>
  <c r="M161" i="24" s="1"/>
  <c r="G160" i="28"/>
  <c r="G161" i="28"/>
  <c r="K140" i="35" l="1"/>
  <c r="AJ352" i="35" s="1"/>
  <c r="I140" i="35"/>
  <c r="K123" i="35"/>
  <c r="AJ351" i="35" s="1"/>
  <c r="I123" i="35"/>
  <c r="L106" i="35"/>
  <c r="G40" i="35"/>
  <c r="G162" i="38"/>
  <c r="K162" i="38" s="1"/>
  <c r="G161" i="25"/>
  <c r="K161" i="25" s="1"/>
  <c r="L161" i="25" s="1"/>
  <c r="M161" i="25" s="1"/>
  <c r="G162" i="39"/>
  <c r="K162" i="39" s="1"/>
  <c r="G161" i="27"/>
  <c r="K161" i="27" s="1"/>
  <c r="L161" i="27" s="1"/>
  <c r="M161" i="27" s="1"/>
  <c r="G163" i="37"/>
  <c r="K163" i="37" s="1"/>
  <c r="G162" i="24"/>
  <c r="K162" i="24" s="1"/>
  <c r="L162" i="24" s="1"/>
  <c r="M162" i="24" s="1"/>
  <c r="G162" i="28"/>
  <c r="AJ355" i="35" l="1"/>
  <c r="AN355" i="35" s="1"/>
  <c r="AJ356" i="35"/>
  <c r="AN356" i="35" s="1"/>
  <c r="L140" i="35"/>
  <c r="M259" i="35"/>
  <c r="I40" i="35"/>
  <c r="L123" i="35"/>
  <c r="H40" i="35"/>
  <c r="G163" i="38"/>
  <c r="K163" i="38" s="1"/>
  <c r="G162" i="25"/>
  <c r="K162" i="25" s="1"/>
  <c r="L162" i="25" s="1"/>
  <c r="M162" i="25" s="1"/>
  <c r="G163" i="39"/>
  <c r="K163" i="39" s="1"/>
  <c r="G162" i="27"/>
  <c r="K162" i="27" s="1"/>
  <c r="L162" i="27" s="1"/>
  <c r="M162" i="27" s="1"/>
  <c r="G164" i="37"/>
  <c r="K164" i="37" s="1"/>
  <c r="G163" i="24"/>
  <c r="K163" i="24" s="1"/>
  <c r="L163" i="24" s="1"/>
  <c r="M163" i="24" s="1"/>
  <c r="G163" i="28"/>
  <c r="O40" i="35" l="1"/>
  <c r="G164" i="39"/>
  <c r="K164" i="39" s="1"/>
  <c r="G163" i="27"/>
  <c r="K163" i="27" s="1"/>
  <c r="L163" i="27" s="1"/>
  <c r="M163" i="27" s="1"/>
  <c r="G164" i="38"/>
  <c r="K164" i="38" s="1"/>
  <c r="G163" i="25"/>
  <c r="K163" i="25" s="1"/>
  <c r="L163" i="25" s="1"/>
  <c r="M163" i="25" s="1"/>
  <c r="G165" i="37"/>
  <c r="K165" i="37" s="1"/>
  <c r="G164" i="24"/>
  <c r="K164" i="24" s="1"/>
  <c r="L164" i="24" s="1"/>
  <c r="M164" i="24" s="1"/>
  <c r="G164" i="28"/>
  <c r="G165" i="39" l="1"/>
  <c r="K165" i="39" s="1"/>
  <c r="G164" i="27"/>
  <c r="K164" i="27" s="1"/>
  <c r="L164" i="27" s="1"/>
  <c r="M164" i="27" s="1"/>
  <c r="G165" i="38"/>
  <c r="K165" i="38" s="1"/>
  <c r="G164" i="25"/>
  <c r="K164" i="25" s="1"/>
  <c r="L164" i="25" s="1"/>
  <c r="M164" i="25" s="1"/>
  <c r="G166" i="37"/>
  <c r="K166" i="37" s="1"/>
  <c r="G165" i="24"/>
  <c r="K165" i="24" s="1"/>
  <c r="L165" i="24" s="1"/>
  <c r="M165" i="24" s="1"/>
  <c r="G165" i="28"/>
  <c r="G166" i="39" l="1"/>
  <c r="K166" i="39" s="1"/>
  <c r="G165" i="27"/>
  <c r="K165" i="27" s="1"/>
  <c r="L165" i="27" s="1"/>
  <c r="M165" i="27" s="1"/>
  <c r="G166" i="38"/>
  <c r="K166" i="38" s="1"/>
  <c r="G165" i="25"/>
  <c r="K165" i="25" s="1"/>
  <c r="L165" i="25" s="1"/>
  <c r="M165" i="25" s="1"/>
  <c r="G167" i="37"/>
  <c r="K167" i="37" s="1"/>
  <c r="G166" i="24"/>
  <c r="K166" i="24" s="1"/>
  <c r="L166" i="24" s="1"/>
  <c r="M166" i="24" s="1"/>
  <c r="G166" i="28"/>
  <c r="G167" i="39" l="1"/>
  <c r="K167" i="39" s="1"/>
  <c r="G166" i="27"/>
  <c r="K166" i="27" s="1"/>
  <c r="L166" i="27" s="1"/>
  <c r="M166" i="27" s="1"/>
  <c r="G167" i="38"/>
  <c r="K167" i="38" s="1"/>
  <c r="G166" i="25"/>
  <c r="K166" i="25" s="1"/>
  <c r="L166" i="25" s="1"/>
  <c r="M166" i="25" s="1"/>
  <c r="G168" i="37"/>
  <c r="K168" i="37" s="1"/>
  <c r="G167" i="24"/>
  <c r="K167" i="24" s="1"/>
  <c r="L167" i="24" s="1"/>
  <c r="M167" i="24" s="1"/>
  <c r="G167" i="28"/>
  <c r="G168" i="39" l="1"/>
  <c r="K168" i="39" s="1"/>
  <c r="G167" i="27"/>
  <c r="K167" i="27" s="1"/>
  <c r="L167" i="27" s="1"/>
  <c r="M167" i="27" s="1"/>
  <c r="G168" i="38"/>
  <c r="K168" i="38" s="1"/>
  <c r="G167" i="25"/>
  <c r="K167" i="25" s="1"/>
  <c r="L167" i="25" s="1"/>
  <c r="M167" i="25" s="1"/>
  <c r="G169" i="37"/>
  <c r="K169" i="37" s="1"/>
  <c r="G168" i="24"/>
  <c r="K168" i="24" s="1"/>
  <c r="L168" i="24" s="1"/>
  <c r="M168" i="24" s="1"/>
  <c r="G168" i="28"/>
  <c r="G169" i="39" l="1"/>
  <c r="K169" i="39" s="1"/>
  <c r="G168" i="27"/>
  <c r="K168" i="27" s="1"/>
  <c r="L168" i="27" s="1"/>
  <c r="M168" i="27" s="1"/>
  <c r="G169" i="38"/>
  <c r="K169" i="38" s="1"/>
  <c r="G168" i="25"/>
  <c r="K168" i="25" s="1"/>
  <c r="L168" i="25" s="1"/>
  <c r="M168" i="25" s="1"/>
  <c r="G170" i="37"/>
  <c r="K170" i="37" s="1"/>
  <c r="K240" i="37" s="1"/>
  <c r="G169" i="24"/>
  <c r="K169" i="24" s="1"/>
  <c r="L169" i="24" s="1"/>
  <c r="M169" i="24" s="1"/>
  <c r="G169" i="28"/>
  <c r="N240" i="24" l="1"/>
  <c r="J107" i="35" s="1"/>
  <c r="L240" i="37"/>
  <c r="M240" i="37" s="1"/>
  <c r="G170" i="39"/>
  <c r="K170" i="39" s="1"/>
  <c r="K240" i="39" s="1"/>
  <c r="G169" i="27"/>
  <c r="K169" i="27" s="1"/>
  <c r="L169" i="27" s="1"/>
  <c r="M169" i="27" s="1"/>
  <c r="G170" i="38"/>
  <c r="K170" i="38" s="1"/>
  <c r="K240" i="38" s="1"/>
  <c r="G169" i="25"/>
  <c r="K169" i="25" s="1"/>
  <c r="L169" i="25" s="1"/>
  <c r="M169" i="25" s="1"/>
  <c r="G170" i="24"/>
  <c r="K170" i="24" s="1"/>
  <c r="G171" i="37"/>
  <c r="K171" i="37" s="1"/>
  <c r="G170" i="28"/>
  <c r="L240" i="39" l="1"/>
  <c r="M240" i="39" s="1"/>
  <c r="N240" i="27"/>
  <c r="J141" i="35" s="1"/>
  <c r="L240" i="38"/>
  <c r="M240" i="38" s="1"/>
  <c r="N240" i="25"/>
  <c r="J124" i="35" s="1"/>
  <c r="K240" i="24"/>
  <c r="L170" i="24"/>
  <c r="M170" i="24" s="1"/>
  <c r="G170" i="27"/>
  <c r="K170" i="27" s="1"/>
  <c r="G170" i="25"/>
  <c r="K170" i="25" s="1"/>
  <c r="G171" i="24"/>
  <c r="K171" i="24" s="1"/>
  <c r="L171" i="24" s="1"/>
  <c r="M171" i="24" s="1"/>
  <c r="G172" i="37"/>
  <c r="K172" i="37" s="1"/>
  <c r="G171" i="27" l="1"/>
  <c r="K171" i="27" s="1"/>
  <c r="L171" i="27" s="1"/>
  <c r="M171" i="27" s="1"/>
  <c r="G171" i="39"/>
  <c r="K171" i="39" s="1"/>
  <c r="G171" i="25"/>
  <c r="K171" i="25" s="1"/>
  <c r="L171" i="25" s="1"/>
  <c r="M171" i="25" s="1"/>
  <c r="G171" i="38"/>
  <c r="K171" i="38" s="1"/>
  <c r="K240" i="27"/>
  <c r="L170" i="27"/>
  <c r="M170" i="27" s="1"/>
  <c r="K240" i="25"/>
  <c r="L170" i="25"/>
  <c r="M170" i="25" s="1"/>
  <c r="L240" i="24"/>
  <c r="M240" i="24" s="1"/>
  <c r="H107" i="35"/>
  <c r="O240" i="24"/>
  <c r="G173" i="37"/>
  <c r="K173" i="37" s="1"/>
  <c r="G172" i="24"/>
  <c r="K172" i="24" s="1"/>
  <c r="L172" i="24" s="1"/>
  <c r="M172" i="24" s="1"/>
  <c r="G171" i="28"/>
  <c r="G172" i="39"/>
  <c r="K172" i="39" s="1"/>
  <c r="G172" i="38"/>
  <c r="K172" i="38" s="1"/>
  <c r="L240" i="27" l="1"/>
  <c r="M240" i="27" s="1"/>
  <c r="O240" i="27"/>
  <c r="H141" i="35"/>
  <c r="L240" i="25"/>
  <c r="M240" i="25" s="1"/>
  <c r="H124" i="35"/>
  <c r="O240" i="25"/>
  <c r="I107" i="35"/>
  <c r="K107" i="35"/>
  <c r="G173" i="38"/>
  <c r="K173" i="38" s="1"/>
  <c r="G172" i="25"/>
  <c r="K172" i="25" s="1"/>
  <c r="L172" i="25" s="1"/>
  <c r="M172" i="25" s="1"/>
  <c r="G173" i="39"/>
  <c r="K173" i="39" s="1"/>
  <c r="G172" i="27"/>
  <c r="K172" i="27" s="1"/>
  <c r="L172" i="27" s="1"/>
  <c r="M172" i="27" s="1"/>
  <c r="G172" i="28"/>
  <c r="G174" i="37"/>
  <c r="K174" i="37" s="1"/>
  <c r="G173" i="24"/>
  <c r="K173" i="24" s="1"/>
  <c r="L173" i="24" s="1"/>
  <c r="M173" i="24" s="1"/>
  <c r="G173" i="28"/>
  <c r="AK350" i="35" l="1"/>
  <c r="K141" i="35"/>
  <c r="I141" i="35"/>
  <c r="I124" i="35"/>
  <c r="K124" i="35"/>
  <c r="L107" i="35"/>
  <c r="G41" i="35"/>
  <c r="G174" i="38"/>
  <c r="K174" i="38" s="1"/>
  <c r="G173" i="25"/>
  <c r="K173" i="25" s="1"/>
  <c r="L173" i="25" s="1"/>
  <c r="M173" i="25" s="1"/>
  <c r="G174" i="39"/>
  <c r="K174" i="39" s="1"/>
  <c r="G173" i="27"/>
  <c r="K173" i="27" s="1"/>
  <c r="L173" i="27" s="1"/>
  <c r="M173" i="27" s="1"/>
  <c r="G175" i="37"/>
  <c r="K175" i="37" s="1"/>
  <c r="G174" i="24"/>
  <c r="K174" i="24" s="1"/>
  <c r="L174" i="24" s="1"/>
  <c r="M174" i="24" s="1"/>
  <c r="G174" i="28"/>
  <c r="AJ387" i="35" l="1"/>
  <c r="AJ391" i="35" s="1"/>
  <c r="AN391" i="35" s="1"/>
  <c r="AK354" i="35"/>
  <c r="AO354" i="35" s="1"/>
  <c r="AN364" i="35" s="1"/>
  <c r="AK351" i="35"/>
  <c r="AK352" i="35"/>
  <c r="L141" i="35"/>
  <c r="M260" i="35"/>
  <c r="I41" i="35"/>
  <c r="L124" i="35"/>
  <c r="H41" i="35"/>
  <c r="G175" i="38"/>
  <c r="K175" i="38" s="1"/>
  <c r="G174" i="25"/>
  <c r="K174" i="25" s="1"/>
  <c r="L174" i="25" s="1"/>
  <c r="M174" i="25" s="1"/>
  <c r="G175" i="39"/>
  <c r="K175" i="39" s="1"/>
  <c r="G174" i="27"/>
  <c r="K174" i="27" s="1"/>
  <c r="L174" i="27" s="1"/>
  <c r="M174" i="27" s="1"/>
  <c r="G176" i="37"/>
  <c r="K176" i="37" s="1"/>
  <c r="G175" i="24"/>
  <c r="K175" i="24" s="1"/>
  <c r="L175" i="24" s="1"/>
  <c r="M175" i="24" s="1"/>
  <c r="G175" i="28"/>
  <c r="AJ364" i="35" l="1"/>
  <c r="AQ364" i="35" s="1"/>
  <c r="AJ388" i="35"/>
  <c r="AJ392" i="35" s="1"/>
  <c r="AN392" i="35" s="1"/>
  <c r="AK355" i="35"/>
  <c r="AO355" i="35" s="1"/>
  <c r="AN365" i="35" s="1"/>
  <c r="AK356" i="35"/>
  <c r="AO356" i="35" s="1"/>
  <c r="AN366" i="35" s="1"/>
  <c r="AJ389" i="35"/>
  <c r="AJ393" i="35" s="1"/>
  <c r="AN393" i="35" s="1"/>
  <c r="O41" i="35"/>
  <c r="G176" i="38"/>
  <c r="K176" i="38" s="1"/>
  <c r="G175" i="25"/>
  <c r="K175" i="25" s="1"/>
  <c r="L175" i="25" s="1"/>
  <c r="M175" i="25" s="1"/>
  <c r="G176" i="39"/>
  <c r="K176" i="39" s="1"/>
  <c r="G175" i="27"/>
  <c r="K175" i="27" s="1"/>
  <c r="L175" i="27" s="1"/>
  <c r="M175" i="27" s="1"/>
  <c r="G177" i="37"/>
  <c r="K177" i="37" s="1"/>
  <c r="G176" i="24"/>
  <c r="K176" i="24" s="1"/>
  <c r="L176" i="24" s="1"/>
  <c r="M176" i="24" s="1"/>
  <c r="G176" i="28"/>
  <c r="AJ366" i="35" l="1"/>
  <c r="AJ365" i="35"/>
  <c r="AQ365" i="35" s="1"/>
  <c r="G177" i="38"/>
  <c r="K177" i="38" s="1"/>
  <c r="G176" i="25"/>
  <c r="K176" i="25" s="1"/>
  <c r="L176" i="25" s="1"/>
  <c r="M176" i="25" s="1"/>
  <c r="G177" i="39"/>
  <c r="K177" i="39" s="1"/>
  <c r="G176" i="27"/>
  <c r="K176" i="27" s="1"/>
  <c r="L176" i="27" s="1"/>
  <c r="M176" i="27" s="1"/>
  <c r="G178" i="37"/>
  <c r="K178" i="37" s="1"/>
  <c r="G177" i="24"/>
  <c r="K177" i="24" s="1"/>
  <c r="L177" i="24" s="1"/>
  <c r="M177" i="24" s="1"/>
  <c r="G177" i="28"/>
  <c r="G178" i="38" l="1"/>
  <c r="K178" i="38" s="1"/>
  <c r="G177" i="25"/>
  <c r="K177" i="25" s="1"/>
  <c r="L177" i="25" s="1"/>
  <c r="M177" i="25" s="1"/>
  <c r="G178" i="39"/>
  <c r="K178" i="39" s="1"/>
  <c r="G177" i="27"/>
  <c r="K177" i="27" s="1"/>
  <c r="L177" i="27" s="1"/>
  <c r="M177" i="27" s="1"/>
  <c r="G179" i="37"/>
  <c r="K179" i="37" s="1"/>
  <c r="G178" i="24"/>
  <c r="K178" i="24" s="1"/>
  <c r="L178" i="24" s="1"/>
  <c r="M178" i="24" s="1"/>
  <c r="G178" i="28"/>
  <c r="G179" i="38" l="1"/>
  <c r="K179" i="38" s="1"/>
  <c r="G178" i="25"/>
  <c r="K178" i="25" s="1"/>
  <c r="L178" i="25" s="1"/>
  <c r="M178" i="25" s="1"/>
  <c r="G179" i="39"/>
  <c r="K179" i="39" s="1"/>
  <c r="G178" i="27"/>
  <c r="K178" i="27" s="1"/>
  <c r="L178" i="27" s="1"/>
  <c r="M178" i="27" s="1"/>
  <c r="G180" i="37"/>
  <c r="K180" i="37" s="1"/>
  <c r="G179" i="24"/>
  <c r="K179" i="24" s="1"/>
  <c r="L179" i="24" s="1"/>
  <c r="M179" i="24" s="1"/>
  <c r="G179" i="28"/>
  <c r="G180" i="38" l="1"/>
  <c r="K180" i="38" s="1"/>
  <c r="G179" i="25"/>
  <c r="K179" i="25" s="1"/>
  <c r="L179" i="25" s="1"/>
  <c r="M179" i="25" s="1"/>
  <c r="G180" i="39"/>
  <c r="K180" i="39" s="1"/>
  <c r="G179" i="27"/>
  <c r="K179" i="27" s="1"/>
  <c r="L179" i="27" s="1"/>
  <c r="M179" i="27" s="1"/>
  <c r="G181" i="37"/>
  <c r="K181" i="37" s="1"/>
  <c r="G180" i="24"/>
  <c r="K180" i="24" s="1"/>
  <c r="L180" i="24" s="1"/>
  <c r="M180" i="24" s="1"/>
  <c r="G180" i="28"/>
  <c r="G181" i="38" l="1"/>
  <c r="K181" i="38" s="1"/>
  <c r="G180" i="25"/>
  <c r="K180" i="25" s="1"/>
  <c r="L180" i="25" s="1"/>
  <c r="M180" i="25" s="1"/>
  <c r="G181" i="39"/>
  <c r="K181" i="39" s="1"/>
  <c r="G180" i="27"/>
  <c r="K180" i="27" s="1"/>
  <c r="L180" i="27" s="1"/>
  <c r="M180" i="27" s="1"/>
  <c r="G182" i="37"/>
  <c r="K182" i="37" s="1"/>
  <c r="K241" i="37" s="1"/>
  <c r="G181" i="24"/>
  <c r="K181" i="24" s="1"/>
  <c r="L181" i="24" s="1"/>
  <c r="M181" i="24" s="1"/>
  <c r="G181" i="28"/>
  <c r="L241" i="37" l="1"/>
  <c r="M241" i="37" s="1"/>
  <c r="N241" i="24"/>
  <c r="J108" i="35" s="1"/>
  <c r="G182" i="39"/>
  <c r="K182" i="39" s="1"/>
  <c r="K241" i="39" s="1"/>
  <c r="G181" i="27"/>
  <c r="K181" i="27" s="1"/>
  <c r="L181" i="27" s="1"/>
  <c r="M181" i="27" s="1"/>
  <c r="G182" i="38"/>
  <c r="K182" i="38" s="1"/>
  <c r="K241" i="38" s="1"/>
  <c r="G181" i="25"/>
  <c r="K181" i="25" s="1"/>
  <c r="L181" i="25" s="1"/>
  <c r="M181" i="25" s="1"/>
  <c r="G182" i="24"/>
  <c r="K182" i="24" s="1"/>
  <c r="G183" i="37"/>
  <c r="K183" i="37" s="1"/>
  <c r="G182" i="28"/>
  <c r="G183" i="28"/>
  <c r="N241" i="27" l="1"/>
  <c r="J142" i="35" s="1"/>
  <c r="L241" i="39"/>
  <c r="M241" i="39" s="1"/>
  <c r="L241" i="38"/>
  <c r="M241" i="38" s="1"/>
  <c r="N241" i="25"/>
  <c r="J125" i="35" s="1"/>
  <c r="K241" i="24"/>
  <c r="L182" i="24"/>
  <c r="M182" i="24" s="1"/>
  <c r="G182" i="27"/>
  <c r="K182" i="27" s="1"/>
  <c r="L182" i="27" s="1"/>
  <c r="M182" i="27" s="1"/>
  <c r="G183" i="39"/>
  <c r="K183" i="39" s="1"/>
  <c r="G182" i="25"/>
  <c r="K182" i="25" s="1"/>
  <c r="G183" i="38"/>
  <c r="K183" i="38" s="1"/>
  <c r="G183" i="24"/>
  <c r="K183" i="24" s="1"/>
  <c r="L183" i="24" s="1"/>
  <c r="M183" i="24" s="1"/>
  <c r="G184" i="37"/>
  <c r="K184" i="37" s="1"/>
  <c r="K241" i="25" l="1"/>
  <c r="L182" i="25"/>
  <c r="M182" i="25" s="1"/>
  <c r="L241" i="24"/>
  <c r="M241" i="24" s="1"/>
  <c r="H108" i="35"/>
  <c r="O241" i="24"/>
  <c r="G184" i="28"/>
  <c r="G183" i="25"/>
  <c r="K183" i="25" s="1"/>
  <c r="L183" i="25" s="1"/>
  <c r="M183" i="25" s="1"/>
  <c r="G184" i="38"/>
  <c r="K184" i="38" s="1"/>
  <c r="G183" i="27"/>
  <c r="K183" i="27" s="1"/>
  <c r="L183" i="27" s="1"/>
  <c r="M183" i="27" s="1"/>
  <c r="G184" i="39"/>
  <c r="K184" i="39" s="1"/>
  <c r="G185" i="37"/>
  <c r="K185" i="37" s="1"/>
  <c r="G184" i="24"/>
  <c r="K184" i="24" s="1"/>
  <c r="L184" i="24" s="1"/>
  <c r="M184" i="24" s="1"/>
  <c r="K241" i="27"/>
  <c r="O241" i="27" l="1"/>
  <c r="H142" i="35"/>
  <c r="L241" i="25"/>
  <c r="M241" i="25" s="1"/>
  <c r="O241" i="25"/>
  <c r="H125" i="35"/>
  <c r="K108" i="35"/>
  <c r="I108" i="35"/>
  <c r="G185" i="38"/>
  <c r="K185" i="38" s="1"/>
  <c r="G184" i="25"/>
  <c r="K184" i="25" s="1"/>
  <c r="L184" i="25" s="1"/>
  <c r="M184" i="25" s="1"/>
  <c r="G185" i="39"/>
  <c r="K185" i="39" s="1"/>
  <c r="G184" i="27"/>
  <c r="K184" i="27" s="1"/>
  <c r="L184" i="27" s="1"/>
  <c r="M184" i="27" s="1"/>
  <c r="G185" i="28"/>
  <c r="L241" i="27"/>
  <c r="M241" i="27" s="1"/>
  <c r="G186" i="37"/>
  <c r="K186" i="37" s="1"/>
  <c r="G185" i="24"/>
  <c r="K185" i="24" s="1"/>
  <c r="L185" i="24" s="1"/>
  <c r="M185" i="24" s="1"/>
  <c r="AK424" i="35" l="1"/>
  <c r="AK387" i="35"/>
  <c r="AK391" i="35" s="1"/>
  <c r="I142" i="35"/>
  <c r="K142" i="35"/>
  <c r="I125" i="35"/>
  <c r="K125" i="35"/>
  <c r="L108" i="35"/>
  <c r="G42" i="35"/>
  <c r="G186" i="38"/>
  <c r="K186" i="38" s="1"/>
  <c r="G185" i="25"/>
  <c r="K185" i="25" s="1"/>
  <c r="L185" i="25" s="1"/>
  <c r="M185" i="25" s="1"/>
  <c r="G186" i="28"/>
  <c r="G186" i="39"/>
  <c r="K186" i="39" s="1"/>
  <c r="G185" i="27"/>
  <c r="K185" i="27" s="1"/>
  <c r="L185" i="27" s="1"/>
  <c r="M185" i="27" s="1"/>
  <c r="G187" i="37"/>
  <c r="K187" i="37" s="1"/>
  <c r="G186" i="24"/>
  <c r="K186" i="24" s="1"/>
  <c r="L186" i="24" s="1"/>
  <c r="M186" i="24" s="1"/>
  <c r="AK388" i="35" l="1"/>
  <c r="AK392" i="35" s="1"/>
  <c r="AK425" i="35"/>
  <c r="AO391" i="35"/>
  <c r="AN401" i="35" s="1"/>
  <c r="AJ401" i="35"/>
  <c r="AQ401" i="35" s="1"/>
  <c r="AJ461" i="35"/>
  <c r="AJ465" i="35" s="1"/>
  <c r="AN465" i="35" s="1"/>
  <c r="AK428" i="35"/>
  <c r="AK389" i="35"/>
  <c r="AK393" i="35" s="1"/>
  <c r="AK426" i="35"/>
  <c r="M261" i="35"/>
  <c r="L142" i="35"/>
  <c r="I42" i="35"/>
  <c r="L125" i="35"/>
  <c r="H42" i="35"/>
  <c r="G187" i="38"/>
  <c r="K187" i="38" s="1"/>
  <c r="G186" i="25"/>
  <c r="K186" i="25" s="1"/>
  <c r="L186" i="25" s="1"/>
  <c r="M186" i="25" s="1"/>
  <c r="G187" i="28"/>
  <c r="G187" i="39"/>
  <c r="K187" i="39" s="1"/>
  <c r="G186" i="27"/>
  <c r="K186" i="27" s="1"/>
  <c r="L186" i="27" s="1"/>
  <c r="M186" i="27" s="1"/>
  <c r="G188" i="37"/>
  <c r="K188" i="37" s="1"/>
  <c r="G187" i="24"/>
  <c r="K187" i="24" s="1"/>
  <c r="L187" i="24" s="1"/>
  <c r="M187" i="24" s="1"/>
  <c r="AO393" i="35" l="1"/>
  <c r="AN403" i="35" s="1"/>
  <c r="AJ403" i="35"/>
  <c r="AJ438" i="35"/>
  <c r="AQ438" i="35" s="1"/>
  <c r="AO428" i="35"/>
  <c r="AN438" i="35" s="1"/>
  <c r="AK429" i="35"/>
  <c r="AJ462" i="35"/>
  <c r="AJ466" i="35" s="1"/>
  <c r="AN466" i="35" s="1"/>
  <c r="AK430" i="35"/>
  <c r="AJ463" i="35"/>
  <c r="AJ467" i="35" s="1"/>
  <c r="AN467" i="35" s="1"/>
  <c r="AO392" i="35"/>
  <c r="AN402" i="35" s="1"/>
  <c r="AJ402" i="35"/>
  <c r="AQ402" i="35" s="1"/>
  <c r="O42" i="35"/>
  <c r="G188" i="38"/>
  <c r="K188" i="38" s="1"/>
  <c r="G187" i="25"/>
  <c r="K187" i="25" s="1"/>
  <c r="L187" i="25" s="1"/>
  <c r="M187" i="25" s="1"/>
  <c r="G188" i="28"/>
  <c r="G188" i="39"/>
  <c r="K188" i="39" s="1"/>
  <c r="G187" i="27"/>
  <c r="K187" i="27" s="1"/>
  <c r="L187" i="27" s="1"/>
  <c r="M187" i="27" s="1"/>
  <c r="G189" i="37"/>
  <c r="K189" i="37" s="1"/>
  <c r="G188" i="24"/>
  <c r="K188" i="24" s="1"/>
  <c r="L188" i="24" s="1"/>
  <c r="M188" i="24" s="1"/>
  <c r="AO430" i="35" l="1"/>
  <c r="AN440" i="35" s="1"/>
  <c r="AJ440" i="35"/>
  <c r="AJ439" i="35"/>
  <c r="AQ439" i="35" s="1"/>
  <c r="AO429" i="35"/>
  <c r="AN439" i="35" s="1"/>
  <c r="G189" i="39"/>
  <c r="K189" i="39" s="1"/>
  <c r="G188" i="27"/>
  <c r="K188" i="27" s="1"/>
  <c r="L188" i="27" s="1"/>
  <c r="M188" i="27" s="1"/>
  <c r="G189" i="28"/>
  <c r="G189" i="38"/>
  <c r="K189" i="38" s="1"/>
  <c r="G188" i="25"/>
  <c r="K188" i="25" s="1"/>
  <c r="L188" i="25" s="1"/>
  <c r="M188" i="25" s="1"/>
  <c r="G190" i="37"/>
  <c r="K190" i="37" s="1"/>
  <c r="G189" i="24"/>
  <c r="K189" i="24" s="1"/>
  <c r="L189" i="24" s="1"/>
  <c r="M189" i="24" s="1"/>
  <c r="G190" i="38" l="1"/>
  <c r="K190" i="38" s="1"/>
  <c r="G189" i="25"/>
  <c r="K189" i="25" s="1"/>
  <c r="L189" i="25" s="1"/>
  <c r="M189" i="25" s="1"/>
  <c r="G190" i="28"/>
  <c r="G190" i="39"/>
  <c r="K190" i="39" s="1"/>
  <c r="G189" i="27"/>
  <c r="K189" i="27" s="1"/>
  <c r="L189" i="27" s="1"/>
  <c r="M189" i="27" s="1"/>
  <c r="G191" i="37"/>
  <c r="K191" i="37" s="1"/>
  <c r="G190" i="24"/>
  <c r="K190" i="24" s="1"/>
  <c r="L190" i="24" s="1"/>
  <c r="M190" i="24" s="1"/>
  <c r="G191" i="38" l="1"/>
  <c r="K191" i="38" s="1"/>
  <c r="G190" i="25"/>
  <c r="K190" i="25" s="1"/>
  <c r="L190" i="25" s="1"/>
  <c r="M190" i="25" s="1"/>
  <c r="G191" i="39"/>
  <c r="K191" i="39" s="1"/>
  <c r="G190" i="27"/>
  <c r="K190" i="27" s="1"/>
  <c r="L190" i="27" s="1"/>
  <c r="M190" i="27" s="1"/>
  <c r="G191" i="28"/>
  <c r="G192" i="37"/>
  <c r="K192" i="37" s="1"/>
  <c r="G191" i="24"/>
  <c r="K191" i="24" s="1"/>
  <c r="L191" i="24" s="1"/>
  <c r="M191" i="24" s="1"/>
  <c r="G192" i="39" l="1"/>
  <c r="K192" i="39" s="1"/>
  <c r="G191" i="27"/>
  <c r="K191" i="27" s="1"/>
  <c r="L191" i="27" s="1"/>
  <c r="M191" i="27" s="1"/>
  <c r="G192" i="28"/>
  <c r="G192" i="38"/>
  <c r="K192" i="38" s="1"/>
  <c r="G191" i="25"/>
  <c r="K191" i="25" s="1"/>
  <c r="L191" i="25" s="1"/>
  <c r="M191" i="25" s="1"/>
  <c r="G193" i="37"/>
  <c r="K193" i="37" s="1"/>
  <c r="G192" i="24"/>
  <c r="K192" i="24" s="1"/>
  <c r="L192" i="24" s="1"/>
  <c r="M192" i="24" s="1"/>
  <c r="G193" i="28" l="1"/>
  <c r="G193" i="38"/>
  <c r="K193" i="38" s="1"/>
  <c r="G192" i="25"/>
  <c r="K192" i="25" s="1"/>
  <c r="L192" i="25" s="1"/>
  <c r="M192" i="25" s="1"/>
  <c r="G193" i="39"/>
  <c r="K193" i="39" s="1"/>
  <c r="G192" i="27"/>
  <c r="K192" i="27" s="1"/>
  <c r="L192" i="27" s="1"/>
  <c r="M192" i="27" s="1"/>
  <c r="G194" i="37"/>
  <c r="K194" i="37" s="1"/>
  <c r="K242" i="37" s="1"/>
  <c r="G193" i="24"/>
  <c r="K193" i="24" s="1"/>
  <c r="L193" i="24" s="1"/>
  <c r="M193" i="24" s="1"/>
  <c r="G159" i="19"/>
  <c r="K159" i="19" s="1"/>
  <c r="N242" i="24" l="1"/>
  <c r="J109" i="35" s="1"/>
  <c r="L242" i="37"/>
  <c r="M242" i="37" s="1"/>
  <c r="G194" i="39"/>
  <c r="K194" i="39" s="1"/>
  <c r="K242" i="39" s="1"/>
  <c r="G193" i="27"/>
  <c r="K193" i="27" s="1"/>
  <c r="L193" i="27" s="1"/>
  <c r="M193" i="27" s="1"/>
  <c r="G194" i="28"/>
  <c r="G194" i="38"/>
  <c r="K194" i="38" s="1"/>
  <c r="K242" i="38" s="1"/>
  <c r="G193" i="25"/>
  <c r="K193" i="25" s="1"/>
  <c r="L193" i="25" s="1"/>
  <c r="M193" i="25" s="1"/>
  <c r="G194" i="24"/>
  <c r="K194" i="24" s="1"/>
  <c r="G160" i="19"/>
  <c r="K160" i="19" s="1"/>
  <c r="N242" i="27" l="1"/>
  <c r="J143" i="35" s="1"/>
  <c r="L242" i="39"/>
  <c r="M242" i="39" s="1"/>
  <c r="L242" i="38"/>
  <c r="M242" i="38" s="1"/>
  <c r="N242" i="25"/>
  <c r="J126" i="35" s="1"/>
  <c r="K242" i="24"/>
  <c r="L194" i="24"/>
  <c r="M194" i="24" s="1"/>
  <c r="G195" i="28"/>
  <c r="G194" i="25"/>
  <c r="K194" i="25" s="1"/>
  <c r="G195" i="38"/>
  <c r="K195" i="38" s="1"/>
  <c r="G194" i="27"/>
  <c r="K194" i="27" s="1"/>
  <c r="G195" i="39"/>
  <c r="K195" i="39" s="1"/>
  <c r="K242" i="27" l="1"/>
  <c r="L194" i="27"/>
  <c r="M194" i="27" s="1"/>
  <c r="K242" i="25"/>
  <c r="L194" i="25"/>
  <c r="M194" i="25" s="1"/>
  <c r="L242" i="24"/>
  <c r="M242" i="24" s="1"/>
  <c r="H109" i="35"/>
  <c r="O242" i="24"/>
  <c r="G196" i="28"/>
  <c r="G195" i="25"/>
  <c r="K195" i="25" s="1"/>
  <c r="L195" i="25" s="1"/>
  <c r="M195" i="25" s="1"/>
  <c r="G196" i="38"/>
  <c r="K196" i="38" s="1"/>
  <c r="G195" i="27"/>
  <c r="K195" i="27" s="1"/>
  <c r="L195" i="27" s="1"/>
  <c r="M195" i="27" s="1"/>
  <c r="G196" i="39"/>
  <c r="K196" i="39" s="1"/>
  <c r="G162" i="19"/>
  <c r="K162" i="19" s="1"/>
  <c r="G161" i="19"/>
  <c r="K161" i="19" s="1"/>
  <c r="H143" i="35" l="1"/>
  <c r="O242" i="27"/>
  <c r="L242" i="27"/>
  <c r="M242" i="27" s="1"/>
  <c r="L242" i="25"/>
  <c r="M242" i="25" s="1"/>
  <c r="H126" i="35"/>
  <c r="O242" i="25"/>
  <c r="I109" i="35"/>
  <c r="K109" i="35"/>
  <c r="AK461" i="35" s="1"/>
  <c r="G163" i="19"/>
  <c r="K163" i="19" s="1"/>
  <c r="G197" i="28"/>
  <c r="G197" i="38"/>
  <c r="K197" i="38" s="1"/>
  <c r="G196" i="25"/>
  <c r="K196" i="25" s="1"/>
  <c r="L196" i="25" s="1"/>
  <c r="M196" i="25" s="1"/>
  <c r="G197" i="39"/>
  <c r="K197" i="39" s="1"/>
  <c r="G196" i="27"/>
  <c r="K196" i="27" s="1"/>
  <c r="L196" i="27" s="1"/>
  <c r="M196" i="27" s="1"/>
  <c r="AJ498" i="35" l="1"/>
  <c r="AJ502" i="35" s="1"/>
  <c r="AN502" i="35" s="1"/>
  <c r="AK465" i="35"/>
  <c r="K143" i="35"/>
  <c r="AK463" i="35" s="1"/>
  <c r="I143" i="35"/>
  <c r="I126" i="35"/>
  <c r="K126" i="35"/>
  <c r="AK462" i="35" s="1"/>
  <c r="L109" i="35"/>
  <c r="G44" i="35"/>
  <c r="G164" i="19"/>
  <c r="K164" i="19" s="1"/>
  <c r="G198" i="38"/>
  <c r="K198" i="38" s="1"/>
  <c r="G197" i="25"/>
  <c r="K197" i="25" s="1"/>
  <c r="L197" i="25" s="1"/>
  <c r="M197" i="25" s="1"/>
  <c r="G198" i="39"/>
  <c r="K198" i="39" s="1"/>
  <c r="G197" i="27"/>
  <c r="K197" i="27" s="1"/>
  <c r="L197" i="27" s="1"/>
  <c r="M197" i="27" s="1"/>
  <c r="G198" i="28"/>
  <c r="AJ499" i="35" l="1"/>
  <c r="AJ503" i="35" s="1"/>
  <c r="AN503" i="35" s="1"/>
  <c r="AK466" i="35"/>
  <c r="AJ475" i="35"/>
  <c r="AQ475" i="35" s="1"/>
  <c r="AO465" i="35"/>
  <c r="AN475" i="35" s="1"/>
  <c r="AJ500" i="35"/>
  <c r="AJ504" i="35" s="1"/>
  <c r="AN504" i="35" s="1"/>
  <c r="AK467" i="35"/>
  <c r="L143" i="35"/>
  <c r="M262" i="35"/>
  <c r="I44" i="35"/>
  <c r="L126" i="35"/>
  <c r="H44" i="35"/>
  <c r="G165" i="19"/>
  <c r="K165" i="19" s="1"/>
  <c r="G199" i="38"/>
  <c r="K199" i="38" s="1"/>
  <c r="G198" i="25"/>
  <c r="K198" i="25" s="1"/>
  <c r="L198" i="25" s="1"/>
  <c r="M198" i="25" s="1"/>
  <c r="G199" i="39"/>
  <c r="K199" i="39" s="1"/>
  <c r="G198" i="27"/>
  <c r="K198" i="27" s="1"/>
  <c r="L198" i="27" s="1"/>
  <c r="M198" i="27" s="1"/>
  <c r="G199" i="28"/>
  <c r="AO467" i="35" l="1"/>
  <c r="AN477" i="35" s="1"/>
  <c r="AJ477" i="35"/>
  <c r="AO466" i="35"/>
  <c r="AN476" i="35" s="1"/>
  <c r="AJ476" i="35"/>
  <c r="AQ476" i="35" s="1"/>
  <c r="O44" i="35"/>
  <c r="G166" i="19"/>
  <c r="K166" i="19" s="1"/>
  <c r="G200" i="39"/>
  <c r="K200" i="39" s="1"/>
  <c r="G199" i="27"/>
  <c r="K199" i="27" s="1"/>
  <c r="L199" i="27" s="1"/>
  <c r="M199" i="27" s="1"/>
  <c r="G200" i="28"/>
  <c r="G200" i="38"/>
  <c r="K200" i="38" s="1"/>
  <c r="G199" i="25"/>
  <c r="K199" i="25" s="1"/>
  <c r="L199" i="25" s="1"/>
  <c r="M199" i="25" s="1"/>
  <c r="G167" i="19" l="1"/>
  <c r="K167" i="19" s="1"/>
  <c r="G201" i="39"/>
  <c r="K201" i="39" s="1"/>
  <c r="G200" i="27"/>
  <c r="K200" i="27" s="1"/>
  <c r="L200" i="27" s="1"/>
  <c r="M200" i="27" s="1"/>
  <c r="G201" i="28"/>
  <c r="G201" i="38"/>
  <c r="K201" i="38" s="1"/>
  <c r="G200" i="25"/>
  <c r="K200" i="25" s="1"/>
  <c r="L200" i="25" s="1"/>
  <c r="M200" i="25" s="1"/>
  <c r="G168" i="19" l="1"/>
  <c r="K168" i="19" s="1"/>
  <c r="G202" i="39"/>
  <c r="K202" i="39" s="1"/>
  <c r="G201" i="27"/>
  <c r="K201" i="27" s="1"/>
  <c r="L201" i="27" s="1"/>
  <c r="M201" i="27" s="1"/>
  <c r="G202" i="38"/>
  <c r="K202" i="38" s="1"/>
  <c r="G201" i="25"/>
  <c r="K201" i="25" s="1"/>
  <c r="L201" i="25" s="1"/>
  <c r="M201" i="25" s="1"/>
  <c r="G202" i="28"/>
  <c r="G169" i="19" l="1"/>
  <c r="K169" i="19" s="1"/>
  <c r="G203" i="28"/>
  <c r="G203" i="39"/>
  <c r="K203" i="39" s="1"/>
  <c r="G202" i="27"/>
  <c r="K202" i="27" s="1"/>
  <c r="L202" i="27" s="1"/>
  <c r="M202" i="27" s="1"/>
  <c r="G203" i="38"/>
  <c r="K203" i="38" s="1"/>
  <c r="G202" i="25"/>
  <c r="K202" i="25" s="1"/>
  <c r="L202" i="25" s="1"/>
  <c r="M202" i="25" s="1"/>
  <c r="G170" i="19" l="1"/>
  <c r="K170" i="19" s="1"/>
  <c r="K240" i="19" s="1"/>
  <c r="L240" i="19" s="1"/>
  <c r="M240" i="19" s="1"/>
  <c r="G204" i="38"/>
  <c r="K204" i="38" s="1"/>
  <c r="G203" i="25"/>
  <c r="K203" i="25" s="1"/>
  <c r="L203" i="25" s="1"/>
  <c r="M203" i="25" s="1"/>
  <c r="G204" i="28"/>
  <c r="G204" i="39"/>
  <c r="K204" i="39" s="1"/>
  <c r="G203" i="27"/>
  <c r="K203" i="27" s="1"/>
  <c r="L203" i="27" s="1"/>
  <c r="M203" i="27" s="1"/>
  <c r="G171" i="19" l="1"/>
  <c r="K171" i="19" s="1"/>
  <c r="G205" i="39"/>
  <c r="K205" i="39" s="1"/>
  <c r="G204" i="27"/>
  <c r="K204" i="27" s="1"/>
  <c r="L204" i="27" s="1"/>
  <c r="M204" i="27" s="1"/>
  <c r="G205" i="38"/>
  <c r="K205" i="38" s="1"/>
  <c r="G204" i="25"/>
  <c r="K204" i="25" s="1"/>
  <c r="L204" i="25" s="1"/>
  <c r="M204" i="25" s="1"/>
  <c r="G205" i="28"/>
  <c r="G172" i="19" l="1"/>
  <c r="K172" i="19" s="1"/>
  <c r="G206" i="28"/>
  <c r="G206" i="38"/>
  <c r="K206" i="38" s="1"/>
  <c r="K243" i="38" s="1"/>
  <c r="G205" i="25"/>
  <c r="K205" i="25" s="1"/>
  <c r="L205" i="25" s="1"/>
  <c r="M205" i="25" s="1"/>
  <c r="G206" i="39"/>
  <c r="K206" i="39" s="1"/>
  <c r="K243" i="39" s="1"/>
  <c r="G205" i="27"/>
  <c r="K205" i="27" s="1"/>
  <c r="L205" i="27" s="1"/>
  <c r="M205" i="27" s="1"/>
  <c r="G173" i="19"/>
  <c r="K173" i="19" s="1"/>
  <c r="N243" i="27" l="1"/>
  <c r="J144" i="35" s="1"/>
  <c r="L243" i="39"/>
  <c r="M243" i="39" s="1"/>
  <c r="K247" i="39"/>
  <c r="L247" i="39" s="1"/>
  <c r="L243" i="38"/>
  <c r="M243" i="38" s="1"/>
  <c r="N243" i="25"/>
  <c r="J127" i="35" s="1"/>
  <c r="K247" i="38"/>
  <c r="L247" i="38" s="1"/>
  <c r="G207" i="28"/>
  <c r="G206" i="27"/>
  <c r="K206" i="27" s="1"/>
  <c r="G207" i="39"/>
  <c r="K207" i="39" s="1"/>
  <c r="G206" i="25"/>
  <c r="K206" i="25" s="1"/>
  <c r="G207" i="38"/>
  <c r="K207" i="38" s="1"/>
  <c r="G174" i="19"/>
  <c r="K174" i="19" s="1"/>
  <c r="K243" i="27" l="1"/>
  <c r="L243" i="27" s="1"/>
  <c r="M243" i="27" s="1"/>
  <c r="L206" i="27"/>
  <c r="M206" i="27" s="1"/>
  <c r="M207" i="27" s="1"/>
  <c r="I87" i="35" s="1"/>
  <c r="K243" i="25"/>
  <c r="L243" i="25" s="1"/>
  <c r="M243" i="25" s="1"/>
  <c r="L206" i="25"/>
  <c r="M206" i="25" s="1"/>
  <c r="M207" i="25" s="1"/>
  <c r="H87" i="35" s="1"/>
  <c r="G207" i="27"/>
  <c r="K207" i="27" s="1"/>
  <c r="G208" i="39"/>
  <c r="K208" i="39" s="1"/>
  <c r="G207" i="25"/>
  <c r="K207" i="25" s="1"/>
  <c r="G208" i="38"/>
  <c r="K208" i="38" s="1"/>
  <c r="G208" i="28"/>
  <c r="G175" i="19"/>
  <c r="K175" i="19" s="1"/>
  <c r="K247" i="27" l="1"/>
  <c r="L247" i="27" s="1"/>
  <c r="H144" i="35"/>
  <c r="O243" i="27"/>
  <c r="K247" i="25"/>
  <c r="L247" i="25" s="1"/>
  <c r="H127" i="35"/>
  <c r="O243" i="25"/>
  <c r="G209" i="28"/>
  <c r="G209" i="38"/>
  <c r="K209" i="38" s="1"/>
  <c r="G208" i="25"/>
  <c r="K208" i="25" s="1"/>
  <c r="G209" i="39"/>
  <c r="K209" i="39" s="1"/>
  <c r="G208" i="27"/>
  <c r="K208" i="27" s="1"/>
  <c r="G176" i="19"/>
  <c r="K176" i="19" s="1"/>
  <c r="K144" i="35" l="1"/>
  <c r="AK500" i="35" s="1"/>
  <c r="I144" i="35"/>
  <c r="K127" i="35"/>
  <c r="AK499" i="35" s="1"/>
  <c r="I127" i="35"/>
  <c r="G210" i="39"/>
  <c r="K210" i="39" s="1"/>
  <c r="G209" i="27"/>
  <c r="K209" i="27" s="1"/>
  <c r="G210" i="28"/>
  <c r="G210" i="38"/>
  <c r="K210" i="38" s="1"/>
  <c r="G209" i="25"/>
  <c r="K209" i="25" s="1"/>
  <c r="G177" i="19"/>
  <c r="K177" i="19" s="1"/>
  <c r="AJ536" i="35" l="1"/>
  <c r="AJ540" i="35" s="1"/>
  <c r="AN540" i="35" s="1"/>
  <c r="AK503" i="35"/>
  <c r="AK504" i="35"/>
  <c r="AJ537" i="35"/>
  <c r="AJ541" i="35" s="1"/>
  <c r="AN541" i="35" s="1"/>
  <c r="L144" i="35"/>
  <c r="M263" i="35"/>
  <c r="I45" i="35"/>
  <c r="L127" i="35"/>
  <c r="H45" i="35"/>
  <c r="G211" i="38"/>
  <c r="K211" i="38" s="1"/>
  <c r="G210" i="25"/>
  <c r="K210" i="25" s="1"/>
  <c r="G211" i="39"/>
  <c r="K211" i="39" s="1"/>
  <c r="G210" i="27"/>
  <c r="K210" i="27" s="1"/>
  <c r="G211" i="28"/>
  <c r="G178" i="19"/>
  <c r="K178" i="19" s="1"/>
  <c r="AO504" i="35" l="1"/>
  <c r="AN514" i="35" s="1"/>
  <c r="AJ514" i="35"/>
  <c r="AJ513" i="35"/>
  <c r="AQ513" i="35" s="1"/>
  <c r="AO503" i="35"/>
  <c r="AN513" i="35" s="1"/>
  <c r="G212" i="39"/>
  <c r="K212" i="39" s="1"/>
  <c r="G211" i="27"/>
  <c r="K211" i="27" s="1"/>
  <c r="G212" i="28"/>
  <c r="G212" i="38"/>
  <c r="K212" i="38" s="1"/>
  <c r="G211" i="25"/>
  <c r="K211" i="25" s="1"/>
  <c r="G179" i="19"/>
  <c r="K179" i="19" s="1"/>
  <c r="G213" i="39" l="1"/>
  <c r="K213" i="39" s="1"/>
  <c r="G212" i="27"/>
  <c r="K212" i="27" s="1"/>
  <c r="G213" i="38"/>
  <c r="K213" i="38" s="1"/>
  <c r="G212" i="25"/>
  <c r="K212" i="25" s="1"/>
  <c r="G213" i="28"/>
  <c r="G180" i="19"/>
  <c r="K180" i="19" s="1"/>
  <c r="G214" i="39" l="1"/>
  <c r="K214" i="39" s="1"/>
  <c r="G213" i="27"/>
  <c r="K213" i="27" s="1"/>
  <c r="G214" i="38"/>
  <c r="K214" i="38" s="1"/>
  <c r="G213" i="25"/>
  <c r="K213" i="25" s="1"/>
  <c r="G214" i="28"/>
  <c r="G181" i="19"/>
  <c r="K181" i="19" s="1"/>
  <c r="G215" i="39" l="1"/>
  <c r="K215" i="39" s="1"/>
  <c r="G214" i="27"/>
  <c r="K214" i="27" s="1"/>
  <c r="G215" i="38"/>
  <c r="K215" i="38" s="1"/>
  <c r="G214" i="25"/>
  <c r="K214" i="25" s="1"/>
  <c r="G215" i="28"/>
  <c r="G182" i="19"/>
  <c r="K182" i="19" s="1"/>
  <c r="K241" i="19" s="1"/>
  <c r="L241" i="19" s="1"/>
  <c r="M241" i="19" s="1"/>
  <c r="G216" i="38" l="1"/>
  <c r="K216" i="38" s="1"/>
  <c r="G215" i="25"/>
  <c r="K215" i="25" s="1"/>
  <c r="G216" i="28"/>
  <c r="G216" i="39"/>
  <c r="K216" i="39" s="1"/>
  <c r="G215" i="27"/>
  <c r="K215" i="27" s="1"/>
  <c r="G183" i="19" l="1"/>
  <c r="K183" i="19" s="1"/>
  <c r="G217" i="28"/>
  <c r="G217" i="39"/>
  <c r="K217" i="39" s="1"/>
  <c r="G216" i="27"/>
  <c r="K216" i="27" s="1"/>
  <c r="G217" i="38"/>
  <c r="K217" i="38" s="1"/>
  <c r="G216" i="25"/>
  <c r="K216" i="25" s="1"/>
  <c r="K231" i="19"/>
  <c r="G218" i="39" l="1"/>
  <c r="K218" i="39" s="1"/>
  <c r="K244" i="39" s="1"/>
  <c r="N244" i="27" s="1"/>
  <c r="J145" i="35" s="1"/>
  <c r="G217" i="27"/>
  <c r="K217" i="27" s="1"/>
  <c r="G184" i="19"/>
  <c r="K184" i="19" s="1"/>
  <c r="G218" i="38"/>
  <c r="K218" i="38" s="1"/>
  <c r="K244" i="38" s="1"/>
  <c r="N244" i="25" s="1"/>
  <c r="J128" i="35" s="1"/>
  <c r="G217" i="25"/>
  <c r="K217" i="25" s="1"/>
  <c r="G218" i="28"/>
  <c r="K250" i="19"/>
  <c r="L250" i="19" s="1"/>
  <c r="G185" i="19" l="1"/>
  <c r="K185" i="19" s="1"/>
  <c r="G218" i="25"/>
  <c r="K218" i="25" s="1"/>
  <c r="K244" i="25" s="1"/>
  <c r="G219" i="38"/>
  <c r="G218" i="27"/>
  <c r="K218" i="27" s="1"/>
  <c r="K244" i="27" s="1"/>
  <c r="G219" i="39"/>
  <c r="G219" i="28"/>
  <c r="G255" i="38" l="1"/>
  <c r="K255" i="38" s="1"/>
  <c r="K219" i="38"/>
  <c r="G255" i="39"/>
  <c r="K255" i="39" s="1"/>
  <c r="K219" i="39"/>
  <c r="G195" i="24"/>
  <c r="K195" i="24" s="1"/>
  <c r="L195" i="24" s="1"/>
  <c r="M195" i="24" s="1"/>
  <c r="G195" i="37"/>
  <c r="K195" i="37" s="1"/>
  <c r="J47" i="9"/>
  <c r="J60" i="9" s="1"/>
  <c r="L19" i="11" s="1"/>
  <c r="H145" i="35"/>
  <c r="I47" i="9"/>
  <c r="I60" i="9" s="1"/>
  <c r="L15" i="11" s="1"/>
  <c r="H128" i="35"/>
  <c r="G219" i="27"/>
  <c r="G220" i="39"/>
  <c r="G220" i="28"/>
  <c r="G186" i="19"/>
  <c r="K186" i="19" s="1"/>
  <c r="G219" i="25"/>
  <c r="G220" i="38"/>
  <c r="G196" i="37"/>
  <c r="K196" i="37" s="1"/>
  <c r="G256" i="39" l="1"/>
  <c r="K256" i="39" s="1"/>
  <c r="K220" i="39"/>
  <c r="W304" i="35"/>
  <c r="W300" i="35"/>
  <c r="AI540" i="35" s="1"/>
  <c r="G256" i="38"/>
  <c r="K256" i="38" s="1"/>
  <c r="K220" i="38"/>
  <c r="B12" i="18"/>
  <c r="I214" i="35"/>
  <c r="I241" i="35" s="1"/>
  <c r="I247" i="35" s="1"/>
  <c r="K145" i="35"/>
  <c r="AK537" i="35" s="1"/>
  <c r="AJ574" i="35" s="1"/>
  <c r="H214" i="35"/>
  <c r="H241" i="35" s="1"/>
  <c r="H247" i="35" s="1"/>
  <c r="K128" i="35"/>
  <c r="AK536" i="35" s="1"/>
  <c r="AJ573" i="35" s="1"/>
  <c r="H46" i="35"/>
  <c r="I46" i="35"/>
  <c r="G221" i="38"/>
  <c r="G220" i="25"/>
  <c r="G187" i="19"/>
  <c r="K187" i="19" s="1"/>
  <c r="G255" i="25"/>
  <c r="K255" i="25" s="1"/>
  <c r="K219" i="25"/>
  <c r="G221" i="28"/>
  <c r="G221" i="39"/>
  <c r="G220" i="27"/>
  <c r="G255" i="27"/>
  <c r="K255" i="27" s="1"/>
  <c r="K219" i="27"/>
  <c r="G197" i="37"/>
  <c r="K197" i="37" s="1"/>
  <c r="G196" i="24"/>
  <c r="K196" i="24" s="1"/>
  <c r="L196" i="24" s="1"/>
  <c r="M196" i="24" s="1"/>
  <c r="G257" i="39" l="1"/>
  <c r="K257" i="39" s="1"/>
  <c r="K221" i="39"/>
  <c r="G257" i="38"/>
  <c r="K257" i="38" s="1"/>
  <c r="K221" i="38"/>
  <c r="AH550" i="35"/>
  <c r="AA551" i="35" s="1"/>
  <c r="AK540" i="35"/>
  <c r="AH577" i="35"/>
  <c r="AL577" i="35" s="1"/>
  <c r="AM540" i="35"/>
  <c r="AL550" i="35" s="1"/>
  <c r="G12" i="18"/>
  <c r="L54" i="11" s="1"/>
  <c r="G284" i="35"/>
  <c r="L284" i="35" s="1"/>
  <c r="L20" i="11"/>
  <c r="G256" i="27"/>
  <c r="K256" i="27" s="1"/>
  <c r="K220" i="27"/>
  <c r="G222" i="28"/>
  <c r="G222" i="39"/>
  <c r="G221" i="27"/>
  <c r="G188" i="19"/>
  <c r="K188" i="19" s="1"/>
  <c r="G256" i="25"/>
  <c r="K256" i="25" s="1"/>
  <c r="K220" i="25"/>
  <c r="G222" i="38"/>
  <c r="G221" i="25"/>
  <c r="G198" i="37"/>
  <c r="K198" i="37" s="1"/>
  <c r="G197" i="24"/>
  <c r="K197" i="24" s="1"/>
  <c r="L197" i="24" s="1"/>
  <c r="M197" i="24" s="1"/>
  <c r="W305" i="35" l="1"/>
  <c r="W334" i="35" s="1"/>
  <c r="L49" i="11"/>
  <c r="L59" i="11" s="1"/>
  <c r="G258" i="38"/>
  <c r="K258" i="38" s="1"/>
  <c r="K222" i="38"/>
  <c r="AJ577" i="35"/>
  <c r="AN577" i="35" s="1"/>
  <c r="G258" i="39"/>
  <c r="K258" i="39" s="1"/>
  <c r="K222" i="39"/>
  <c r="AJ550" i="35"/>
  <c r="AQ550" i="35" s="1"/>
  <c r="AO540" i="35"/>
  <c r="AN550" i="35" s="1"/>
  <c r="G223" i="28"/>
  <c r="G257" i="25"/>
  <c r="K257" i="25" s="1"/>
  <c r="K221" i="25"/>
  <c r="G257" i="27"/>
  <c r="K257" i="27" s="1"/>
  <c r="K221" i="27"/>
  <c r="G223" i="38"/>
  <c r="G222" i="25"/>
  <c r="G223" i="39"/>
  <c r="G222" i="27"/>
  <c r="G189" i="19"/>
  <c r="K189" i="19" s="1"/>
  <c r="G199" i="37"/>
  <c r="K199" i="37" s="1"/>
  <c r="G198" i="24"/>
  <c r="K198" i="24" s="1"/>
  <c r="L198" i="24" s="1"/>
  <c r="M198" i="24" s="1"/>
  <c r="AI541" i="35" l="1"/>
  <c r="AH578" i="35" s="1"/>
  <c r="G259" i="39"/>
  <c r="K259" i="39" s="1"/>
  <c r="K223" i="39"/>
  <c r="G259" i="38"/>
  <c r="K259" i="38" s="1"/>
  <c r="K223" i="38"/>
  <c r="AM541" i="35"/>
  <c r="AL551" i="35" s="1"/>
  <c r="G224" i="28"/>
  <c r="G190" i="19"/>
  <c r="K190" i="19" s="1"/>
  <c r="G258" i="25"/>
  <c r="K258" i="25" s="1"/>
  <c r="K222" i="25"/>
  <c r="G258" i="27"/>
  <c r="K258" i="27" s="1"/>
  <c r="K222" i="27"/>
  <c r="G224" i="38"/>
  <c r="G223" i="25"/>
  <c r="G224" i="39"/>
  <c r="G223" i="27"/>
  <c r="G200" i="37"/>
  <c r="K200" i="37" s="1"/>
  <c r="G199" i="24"/>
  <c r="K199" i="24" s="1"/>
  <c r="L199" i="24" s="1"/>
  <c r="M199" i="24" s="1"/>
  <c r="AH551" i="35" l="1"/>
  <c r="AA552" i="35" s="1"/>
  <c r="AK541" i="35"/>
  <c r="G260" i="38"/>
  <c r="K260" i="38" s="1"/>
  <c r="K224" i="38"/>
  <c r="AL578" i="35"/>
  <c r="AJ578" i="35"/>
  <c r="AN578" i="35" s="1"/>
  <c r="AO541" i="35"/>
  <c r="AN551" i="35" s="1"/>
  <c r="AJ551" i="35"/>
  <c r="G260" i="39"/>
  <c r="K260" i="39" s="1"/>
  <c r="K224" i="39"/>
  <c r="G225" i="39"/>
  <c r="G224" i="27"/>
  <c r="G225" i="28"/>
  <c r="G191" i="19"/>
  <c r="K191" i="19" s="1"/>
  <c r="G259" i="25"/>
  <c r="K259" i="25" s="1"/>
  <c r="K223" i="25"/>
  <c r="G259" i="27"/>
  <c r="K259" i="27" s="1"/>
  <c r="K223" i="27"/>
  <c r="G225" i="38"/>
  <c r="G224" i="25"/>
  <c r="G201" i="37"/>
  <c r="K201" i="37" s="1"/>
  <c r="G200" i="24"/>
  <c r="K200" i="24" s="1"/>
  <c r="L200" i="24" s="1"/>
  <c r="M200" i="24" s="1"/>
  <c r="G261" i="38" l="1"/>
  <c r="K261" i="38" s="1"/>
  <c r="K225" i="38"/>
  <c r="G261" i="39"/>
  <c r="K261" i="39" s="1"/>
  <c r="K225" i="39"/>
  <c r="G226" i="28"/>
  <c r="G260" i="25"/>
  <c r="K260" i="25" s="1"/>
  <c r="K224" i="25"/>
  <c r="G260" i="27"/>
  <c r="K260" i="27" s="1"/>
  <c r="K224" i="27"/>
  <c r="G226" i="38"/>
  <c r="G225" i="25"/>
  <c r="G192" i="19"/>
  <c r="K192" i="19" s="1"/>
  <c r="G226" i="39"/>
  <c r="G225" i="27"/>
  <c r="G202" i="37"/>
  <c r="K202" i="37" s="1"/>
  <c r="G201" i="24"/>
  <c r="K201" i="24" s="1"/>
  <c r="L201" i="24" s="1"/>
  <c r="M201" i="24" s="1"/>
  <c r="G262" i="39" l="1"/>
  <c r="K262" i="39" s="1"/>
  <c r="K226" i="39"/>
  <c r="G262" i="38"/>
  <c r="K262" i="38" s="1"/>
  <c r="K226" i="38"/>
  <c r="G227" i="39"/>
  <c r="G226" i="27"/>
  <c r="G261" i="25"/>
  <c r="K261" i="25" s="1"/>
  <c r="K225" i="25"/>
  <c r="G227" i="38"/>
  <c r="G226" i="25"/>
  <c r="G261" i="27"/>
  <c r="K261" i="27" s="1"/>
  <c r="K225" i="27"/>
  <c r="G193" i="19"/>
  <c r="K193" i="19" s="1"/>
  <c r="G227" i="28"/>
  <c r="G203" i="37"/>
  <c r="K203" i="37" s="1"/>
  <c r="G202" i="24"/>
  <c r="K202" i="24" s="1"/>
  <c r="L202" i="24" s="1"/>
  <c r="M202" i="24" s="1"/>
  <c r="G263" i="38" l="1"/>
  <c r="K263" i="38" s="1"/>
  <c r="K227" i="38"/>
  <c r="G263" i="39"/>
  <c r="K263" i="39" s="1"/>
  <c r="K227" i="39"/>
  <c r="G194" i="19"/>
  <c r="K194" i="19" s="1"/>
  <c r="K242" i="19" s="1"/>
  <c r="L242" i="19" s="1"/>
  <c r="M242" i="19" s="1"/>
  <c r="G262" i="25"/>
  <c r="K262" i="25" s="1"/>
  <c r="K226" i="25"/>
  <c r="G228" i="38"/>
  <c r="G227" i="25"/>
  <c r="G262" i="27"/>
  <c r="K262" i="27" s="1"/>
  <c r="K226" i="27"/>
  <c r="G228" i="28"/>
  <c r="G228" i="39"/>
  <c r="G227" i="27"/>
  <c r="G204" i="37"/>
  <c r="K204" i="37" s="1"/>
  <c r="G203" i="24"/>
  <c r="K203" i="24" s="1"/>
  <c r="L203" i="24" s="1"/>
  <c r="M203" i="24" s="1"/>
  <c r="G264" i="39" l="1"/>
  <c r="K264" i="39" s="1"/>
  <c r="K228" i="39"/>
  <c r="G264" i="38"/>
  <c r="K264" i="38" s="1"/>
  <c r="K228" i="38"/>
  <c r="G229" i="39"/>
  <c r="G228" i="27"/>
  <c r="G263" i="25"/>
  <c r="K263" i="25" s="1"/>
  <c r="K227" i="25"/>
  <c r="G229" i="28"/>
  <c r="G229" i="38"/>
  <c r="G228" i="25"/>
  <c r="G195" i="19"/>
  <c r="K195" i="19" s="1"/>
  <c r="G263" i="27"/>
  <c r="K263" i="27" s="1"/>
  <c r="K227" i="27"/>
  <c r="G205" i="37"/>
  <c r="K205" i="37" s="1"/>
  <c r="G204" i="24"/>
  <c r="K204" i="24" s="1"/>
  <c r="L204" i="24" s="1"/>
  <c r="M204" i="24" s="1"/>
  <c r="G265" i="38" l="1"/>
  <c r="K265" i="38" s="1"/>
  <c r="K229" i="38"/>
  <c r="G265" i="39"/>
  <c r="K265" i="39" s="1"/>
  <c r="K229" i="39"/>
  <c r="G264" i="25"/>
  <c r="K264" i="25" s="1"/>
  <c r="K228" i="25"/>
  <c r="G230" i="38"/>
  <c r="G229" i="25"/>
  <c r="G264" i="27"/>
  <c r="K264" i="27" s="1"/>
  <c r="K228" i="27"/>
  <c r="G196" i="19"/>
  <c r="K196" i="19" s="1"/>
  <c r="G230" i="28"/>
  <c r="G230" i="39"/>
  <c r="G229" i="27"/>
  <c r="G206" i="37"/>
  <c r="K206" i="37" s="1"/>
  <c r="K243" i="37" s="1"/>
  <c r="G205" i="24"/>
  <c r="K205" i="24" s="1"/>
  <c r="L205" i="24" s="1"/>
  <c r="M205" i="24" s="1"/>
  <c r="K230" i="39" l="1"/>
  <c r="G266" i="39"/>
  <c r="K266" i="39" s="1"/>
  <c r="L266" i="39" s="1"/>
  <c r="G266" i="38"/>
  <c r="K266" i="38" s="1"/>
  <c r="L266" i="38" s="1"/>
  <c r="K230" i="38"/>
  <c r="L243" i="37"/>
  <c r="M243" i="37" s="1"/>
  <c r="N243" i="24"/>
  <c r="J110" i="35" s="1"/>
  <c r="K247" i="37"/>
  <c r="L247" i="37" s="1"/>
  <c r="G197" i="19"/>
  <c r="K197" i="19" s="1"/>
  <c r="G265" i="25"/>
  <c r="K265" i="25" s="1"/>
  <c r="K229" i="25"/>
  <c r="G230" i="25"/>
  <c r="G232" i="25" s="1"/>
  <c r="G265" i="27"/>
  <c r="K265" i="27" s="1"/>
  <c r="K229" i="27"/>
  <c r="G230" i="27"/>
  <c r="G232" i="27" s="1"/>
  <c r="G206" i="24"/>
  <c r="K206" i="24" s="1"/>
  <c r="G207" i="37"/>
  <c r="K207" i="37" s="1"/>
  <c r="K232" i="39" l="1"/>
  <c r="K245" i="39"/>
  <c r="K232" i="38"/>
  <c r="K245" i="38"/>
  <c r="K243" i="24"/>
  <c r="L206" i="24"/>
  <c r="M206" i="24" s="1"/>
  <c r="M207" i="24" s="1"/>
  <c r="G87" i="35" s="1"/>
  <c r="G266" i="25"/>
  <c r="K266" i="25" s="1"/>
  <c r="L266" i="25" s="1"/>
  <c r="H130" i="35" s="1"/>
  <c r="K230" i="25"/>
  <c r="G198" i="19"/>
  <c r="K198" i="19" s="1"/>
  <c r="G266" i="27"/>
  <c r="K266" i="27" s="1"/>
  <c r="L266" i="27" s="1"/>
  <c r="H147" i="35" s="1"/>
  <c r="K230" i="27"/>
  <c r="G207" i="24"/>
  <c r="K207" i="24" s="1"/>
  <c r="G208" i="37"/>
  <c r="K208" i="37" s="1"/>
  <c r="N245" i="25" l="1"/>
  <c r="J129" i="35" s="1"/>
  <c r="K249" i="38"/>
  <c r="L249" i="38" s="1"/>
  <c r="N245" i="27"/>
  <c r="J146" i="35" s="1"/>
  <c r="K249" i="39"/>
  <c r="L249" i="39" s="1"/>
  <c r="H110" i="35"/>
  <c r="O243" i="24"/>
  <c r="K247" i="24"/>
  <c r="L247" i="24" s="1"/>
  <c r="L243" i="24"/>
  <c r="M243" i="24" s="1"/>
  <c r="G199" i="19"/>
  <c r="K199" i="19" s="1"/>
  <c r="K232" i="27"/>
  <c r="K245" i="27"/>
  <c r="H146" i="35" s="1"/>
  <c r="K232" i="25"/>
  <c r="K245" i="25"/>
  <c r="H129" i="35" s="1"/>
  <c r="G209" i="37"/>
  <c r="K209" i="37" s="1"/>
  <c r="G208" i="24"/>
  <c r="K208" i="24" s="1"/>
  <c r="I215" i="35" l="1"/>
  <c r="I242" i="35" s="1"/>
  <c r="I248" i="35" s="1"/>
  <c r="K146" i="35"/>
  <c r="AK574" i="35" s="1"/>
  <c r="H215" i="35"/>
  <c r="H242" i="35" s="1"/>
  <c r="H248" i="35" s="1"/>
  <c r="K129" i="35"/>
  <c r="AK573" i="35" s="1"/>
  <c r="K110" i="35"/>
  <c r="AK498" i="35" s="1"/>
  <c r="I110" i="35"/>
  <c r="I48" i="9"/>
  <c r="K249" i="25"/>
  <c r="L249" i="25" s="1"/>
  <c r="K249" i="27"/>
  <c r="L249" i="27" s="1"/>
  <c r="J48" i="9"/>
  <c r="J61" i="9" s="1"/>
  <c r="G200" i="19"/>
  <c r="K200" i="19" s="1"/>
  <c r="G210" i="37"/>
  <c r="K210" i="37" s="1"/>
  <c r="G209" i="24"/>
  <c r="K209" i="24" s="1"/>
  <c r="AJ535" i="35" l="1"/>
  <c r="AJ539" i="35" s="1"/>
  <c r="AN539" i="35" s="1"/>
  <c r="AK502" i="35"/>
  <c r="L110" i="35"/>
  <c r="G45" i="35"/>
  <c r="O45" i="35" s="1"/>
  <c r="I61" i="9"/>
  <c r="M15" i="11" s="1"/>
  <c r="G201" i="19"/>
  <c r="K201" i="19" s="1"/>
  <c r="B13" i="18"/>
  <c r="M19" i="11"/>
  <c r="G211" i="37"/>
  <c r="K211" i="37" s="1"/>
  <c r="G210" i="24"/>
  <c r="K210" i="24" s="1"/>
  <c r="AJ512" i="35" l="1"/>
  <c r="AQ512" i="35" s="1"/>
  <c r="AO502" i="35"/>
  <c r="AN512" i="35" s="1"/>
  <c r="X304" i="35"/>
  <c r="Y304" i="35" s="1"/>
  <c r="X300" i="35"/>
  <c r="G13" i="18"/>
  <c r="M54" i="11" s="1"/>
  <c r="G285" i="35"/>
  <c r="L285" i="35" s="1"/>
  <c r="I47" i="35"/>
  <c r="H47" i="35"/>
  <c r="M20" i="11"/>
  <c r="G202" i="19"/>
  <c r="K202" i="19" s="1"/>
  <c r="G212" i="37"/>
  <c r="K212" i="37" s="1"/>
  <c r="G211" i="24"/>
  <c r="K211" i="24" s="1"/>
  <c r="X305" i="35" l="1"/>
  <c r="Y300" i="35"/>
  <c r="AI577" i="35"/>
  <c r="M49" i="11"/>
  <c r="G203" i="19"/>
  <c r="K203" i="19" s="1"/>
  <c r="G213" i="37"/>
  <c r="K213" i="37" s="1"/>
  <c r="G212" i="24"/>
  <c r="K212" i="24" s="1"/>
  <c r="X334" i="35" l="1"/>
  <c r="AI578" i="35"/>
  <c r="AM577" i="35"/>
  <c r="AL587" i="35" s="1"/>
  <c r="AH587" i="35"/>
  <c r="AA588" i="35" s="1"/>
  <c r="AK577" i="35"/>
  <c r="M59" i="11"/>
  <c r="G204" i="19"/>
  <c r="K204" i="19" s="1"/>
  <c r="G214" i="37"/>
  <c r="K214" i="37" s="1"/>
  <c r="G213" i="24"/>
  <c r="K213" i="24" s="1"/>
  <c r="AK578" i="35" l="1"/>
  <c r="AH588" i="35"/>
  <c r="AA589" i="35" s="1"/>
  <c r="AM578" i="35"/>
  <c r="AL588" i="35" s="1"/>
  <c r="AJ587" i="35"/>
  <c r="AQ587" i="35" s="1"/>
  <c r="AO577" i="35"/>
  <c r="AN587" i="35" s="1"/>
  <c r="G205" i="19"/>
  <c r="K205" i="19" s="1"/>
  <c r="G215" i="37"/>
  <c r="K215" i="37" s="1"/>
  <c r="G214" i="24"/>
  <c r="K214" i="24" s="1"/>
  <c r="AO578" i="35" l="1"/>
  <c r="AN588" i="35" s="1"/>
  <c r="AJ588" i="35"/>
  <c r="AQ588" i="35" s="1"/>
  <c r="G206" i="19"/>
  <c r="K206" i="19" s="1"/>
  <c r="K243" i="19" s="1"/>
  <c r="G216" i="37"/>
  <c r="K216" i="37" s="1"/>
  <c r="G215" i="24"/>
  <c r="K215" i="24" s="1"/>
  <c r="G207" i="19" l="1"/>
  <c r="K207" i="19" s="1"/>
  <c r="L243" i="19"/>
  <c r="M243" i="19" s="1"/>
  <c r="K248" i="19"/>
  <c r="L248" i="19" s="1"/>
  <c r="G217" i="37"/>
  <c r="K217" i="37" s="1"/>
  <c r="G216" i="24"/>
  <c r="K216" i="24" s="1"/>
  <c r="G208" i="19" l="1"/>
  <c r="K208" i="19" s="1"/>
  <c r="G218" i="37"/>
  <c r="K218" i="37" s="1"/>
  <c r="K244" i="37" s="1"/>
  <c r="N244" i="24" s="1"/>
  <c r="J111" i="35" s="1"/>
  <c r="G217" i="24"/>
  <c r="K217" i="24" s="1"/>
  <c r="G209" i="19" l="1"/>
  <c r="K209" i="19" s="1"/>
  <c r="G218" i="24"/>
  <c r="K218" i="24" s="1"/>
  <c r="K244" i="24" s="1"/>
  <c r="H47" i="9" s="1"/>
  <c r="H60" i="9" s="1"/>
  <c r="G219" i="37"/>
  <c r="G255" i="37" l="1"/>
  <c r="K255" i="37" s="1"/>
  <c r="K219" i="37"/>
  <c r="P47" i="9"/>
  <c r="L4" i="11" s="1"/>
  <c r="H111" i="35"/>
  <c r="G210" i="19"/>
  <c r="K210" i="19" s="1"/>
  <c r="P60" i="9"/>
  <c r="G219" i="24"/>
  <c r="G220" i="37"/>
  <c r="G256" i="37" l="1"/>
  <c r="K256" i="37" s="1"/>
  <c r="K220" i="37"/>
  <c r="L6" i="11"/>
  <c r="W289" i="35"/>
  <c r="W291" i="35" s="1"/>
  <c r="G214" i="35"/>
  <c r="K111" i="35"/>
  <c r="AK535" i="35" s="1"/>
  <c r="AJ572" i="35" s="1"/>
  <c r="G211" i="19"/>
  <c r="K211" i="19" s="1"/>
  <c r="K219" i="24"/>
  <c r="G255" i="24"/>
  <c r="K255" i="24" s="1"/>
  <c r="L11" i="11"/>
  <c r="G221" i="37"/>
  <c r="G220" i="24"/>
  <c r="W296" i="35" l="1"/>
  <c r="G257" i="37"/>
  <c r="K257" i="37" s="1"/>
  <c r="K221" i="37"/>
  <c r="G241" i="35"/>
  <c r="O214" i="35"/>
  <c r="L48" i="11"/>
  <c r="G46" i="35"/>
  <c r="O46" i="35" s="1"/>
  <c r="L53" i="11"/>
  <c r="Q60" i="9"/>
  <c r="K220" i="24"/>
  <c r="G256" i="24"/>
  <c r="K256" i="24" s="1"/>
  <c r="G212" i="19"/>
  <c r="K212" i="19" s="1"/>
  <c r="G222" i="37"/>
  <c r="G221" i="24"/>
  <c r="G258" i="37" l="1"/>
  <c r="K258" i="37" s="1"/>
  <c r="K222" i="37"/>
  <c r="W333" i="35"/>
  <c r="AI539" i="35"/>
  <c r="G247" i="35"/>
  <c r="O247" i="35" s="1"/>
  <c r="O241" i="35"/>
  <c r="L58" i="11"/>
  <c r="K221" i="24"/>
  <c r="G257" i="24"/>
  <c r="K257" i="24" s="1"/>
  <c r="G213" i="19"/>
  <c r="K213" i="19" s="1"/>
  <c r="G223" i="37"/>
  <c r="G222" i="24"/>
  <c r="G259" i="37" l="1"/>
  <c r="K259" i="37" s="1"/>
  <c r="K223" i="37"/>
  <c r="AH549" i="35"/>
  <c r="AA550" i="35" s="1"/>
  <c r="AH576" i="35"/>
  <c r="AK539" i="35"/>
  <c r="AM539" i="35"/>
  <c r="AL549" i="35" s="1"/>
  <c r="G214" i="19"/>
  <c r="K214" i="19" s="1"/>
  <c r="K222" i="24"/>
  <c r="G258" i="24"/>
  <c r="K258" i="24" s="1"/>
  <c r="G224" i="37"/>
  <c r="G223" i="24"/>
  <c r="AJ549" i="35" l="1"/>
  <c r="AQ549" i="35" s="1"/>
  <c r="AO539" i="35"/>
  <c r="AN549" i="35" s="1"/>
  <c r="AL576" i="35"/>
  <c r="AJ576" i="35"/>
  <c r="AN576" i="35" s="1"/>
  <c r="G260" i="37"/>
  <c r="K260" i="37" s="1"/>
  <c r="K224" i="37"/>
  <c r="G215" i="19"/>
  <c r="K215" i="19" s="1"/>
  <c r="K223" i="24"/>
  <c r="G259" i="24"/>
  <c r="K259" i="24" s="1"/>
  <c r="G225" i="37"/>
  <c r="G224" i="24"/>
  <c r="G261" i="37" l="1"/>
  <c r="K261" i="37" s="1"/>
  <c r="K225" i="37"/>
  <c r="G216" i="19"/>
  <c r="K216" i="19" s="1"/>
  <c r="K224" i="24"/>
  <c r="G260" i="24"/>
  <c r="K260" i="24" s="1"/>
  <c r="G226" i="37"/>
  <c r="G225" i="24"/>
  <c r="G262" i="37" l="1"/>
  <c r="K262" i="37" s="1"/>
  <c r="K226" i="37"/>
  <c r="G217" i="19"/>
  <c r="K217" i="19" s="1"/>
  <c r="K225" i="24"/>
  <c r="G261" i="24"/>
  <c r="K261" i="24" s="1"/>
  <c r="G227" i="37"/>
  <c r="G226" i="24"/>
  <c r="G263" i="37" l="1"/>
  <c r="K263" i="37" s="1"/>
  <c r="K227" i="37"/>
  <c r="K226" i="24"/>
  <c r="G262" i="24"/>
  <c r="K262" i="24" s="1"/>
  <c r="G218" i="19"/>
  <c r="K218" i="19" s="1"/>
  <c r="K244" i="19" s="1"/>
  <c r="G228" i="37"/>
  <c r="G227" i="24"/>
  <c r="G264" i="37" l="1"/>
  <c r="K264" i="37" s="1"/>
  <c r="K228" i="37"/>
  <c r="G219" i="19"/>
  <c r="K219" i="19" s="1"/>
  <c r="K227" i="24"/>
  <c r="G263" i="24"/>
  <c r="K263" i="24" s="1"/>
  <c r="G229" i="37"/>
  <c r="G228" i="24"/>
  <c r="G265" i="37" l="1"/>
  <c r="K265" i="37" s="1"/>
  <c r="K229" i="37"/>
  <c r="G220" i="19"/>
  <c r="K220" i="19" s="1"/>
  <c r="K228" i="24"/>
  <c r="G264" i="24"/>
  <c r="K264" i="24" s="1"/>
  <c r="G230" i="37"/>
  <c r="G229" i="24"/>
  <c r="G266" i="37" l="1"/>
  <c r="K266" i="37" s="1"/>
  <c r="L266" i="37" s="1"/>
  <c r="K230" i="37"/>
  <c r="K229" i="24"/>
  <c r="G265" i="24"/>
  <c r="K265" i="24" s="1"/>
  <c r="G221" i="19"/>
  <c r="K221" i="19" s="1"/>
  <c r="G230" i="24"/>
  <c r="G232" i="24" s="1"/>
  <c r="K232" i="37" l="1"/>
  <c r="K245" i="37"/>
  <c r="G222" i="19"/>
  <c r="K222" i="19" s="1"/>
  <c r="K230" i="24"/>
  <c r="K232" i="24" s="1"/>
  <c r="G266" i="24"/>
  <c r="K266" i="24" s="1"/>
  <c r="L266" i="24" s="1"/>
  <c r="H113" i="35" s="1"/>
  <c r="K249" i="37" l="1"/>
  <c r="L249" i="37" s="1"/>
  <c r="N245" i="24"/>
  <c r="J112" i="35" s="1"/>
  <c r="G223" i="19"/>
  <c r="K223" i="19" s="1"/>
  <c r="K245" i="24"/>
  <c r="H112" i="35" s="1"/>
  <c r="G215" i="35" l="1"/>
  <c r="K112" i="35"/>
  <c r="AK572" i="35" s="1"/>
  <c r="G224" i="19"/>
  <c r="K224" i="19" s="1"/>
  <c r="K249" i="24"/>
  <c r="L249" i="24" s="1"/>
  <c r="H48" i="9"/>
  <c r="G242" i="35" l="1"/>
  <c r="O215" i="35"/>
  <c r="H61" i="9"/>
  <c r="P61" i="9" s="1"/>
  <c r="P48" i="9"/>
  <c r="M4" i="11" s="1"/>
  <c r="G225" i="19"/>
  <c r="K225" i="19" s="1"/>
  <c r="G248" i="35" l="1"/>
  <c r="O248" i="35" s="1"/>
  <c r="O242" i="35"/>
  <c r="M6" i="11"/>
  <c r="X289" i="35"/>
  <c r="X291" i="35" s="1"/>
  <c r="Q61" i="9"/>
  <c r="G226" i="19"/>
  <c r="K226" i="19" s="1"/>
  <c r="M53" i="11"/>
  <c r="M11" i="11"/>
  <c r="X296" i="35" l="1"/>
  <c r="M48" i="11"/>
  <c r="G47" i="35"/>
  <c r="O47" i="35" s="1"/>
  <c r="G227" i="19"/>
  <c r="K227" i="19" s="1"/>
  <c r="M58" i="11" l="1"/>
  <c r="X333" i="35"/>
  <c r="Y333" i="35" s="1"/>
  <c r="Y296" i="35"/>
  <c r="AI576" i="35"/>
  <c r="G228" i="19"/>
  <c r="K228" i="19" s="1"/>
  <c r="AK576" i="35" l="1"/>
  <c r="AM576" i="35"/>
  <c r="AL586" i="35" s="1"/>
  <c r="AH586" i="35"/>
  <c r="AA587" i="35" s="1"/>
  <c r="G229" i="19"/>
  <c r="K229" i="19" s="1"/>
  <c r="AO576" i="35" l="1"/>
  <c r="AN586" i="35" s="1"/>
  <c r="AJ586" i="35"/>
  <c r="G230" i="19"/>
  <c r="K230" i="19" s="1"/>
  <c r="K245" i="19" s="1"/>
  <c r="B54" i="11" l="1"/>
  <c r="B59" i="11" s="1"/>
  <c r="H66" i="35" s="1"/>
  <c r="H79" i="35" s="1"/>
  <c r="BB405" i="35" l="1"/>
  <c r="BC382" i="35"/>
  <c r="BD382" i="35" s="1"/>
  <c r="BB402" i="35"/>
  <c r="BC402" i="35" s="1"/>
  <c r="BD402" i="35" s="1"/>
  <c r="AL451" i="35"/>
  <c r="BC379" i="35"/>
  <c r="BD379" i="35" s="1"/>
  <c r="BC378" i="35"/>
  <c r="BA494" i="35" l="1"/>
  <c r="BC494" i="35" s="1"/>
  <c r="BD494" i="35" s="1"/>
  <c r="AL455" i="35"/>
  <c r="BA491" i="35"/>
  <c r="BC491" i="35" s="1"/>
  <c r="BD491" i="35" s="1"/>
  <c r="AL452" i="35"/>
  <c r="BA489" i="35"/>
  <c r="BC489" i="35" s="1"/>
  <c r="AL450" i="35"/>
  <c r="BA493" i="35"/>
  <c r="BC493" i="35" s="1"/>
  <c r="BD493" i="35" s="1"/>
  <c r="AL454" i="35"/>
  <c r="BC380" i="35"/>
  <c r="BD380" i="35" s="1"/>
  <c r="BB442" i="35"/>
  <c r="Y461" i="35" s="1"/>
  <c r="BC383" i="35"/>
  <c r="BD383" i="35" s="1"/>
  <c r="BB400" i="35"/>
  <c r="BC400" i="35" s="1"/>
  <c r="BD400" i="35" s="1"/>
  <c r="BB404" i="35"/>
  <c r="BD378" i="35"/>
  <c r="BA440" i="35"/>
  <c r="BC405" i="35"/>
  <c r="BD405" i="35" s="1"/>
  <c r="BA437" i="35"/>
  <c r="BA490" i="35"/>
  <c r="BC490" i="35" s="1"/>
  <c r="BD490" i="35" s="1"/>
  <c r="BB385" i="35"/>
  <c r="AA387" i="35" s="1"/>
  <c r="BB401" i="35"/>
  <c r="AL457" i="35" l="1"/>
  <c r="BC440" i="35"/>
  <c r="BD440" i="35" s="1"/>
  <c r="AE455" i="35"/>
  <c r="BC437" i="35"/>
  <c r="BD437" i="35" s="1"/>
  <c r="AE452" i="35"/>
  <c r="BA435" i="35"/>
  <c r="BC385" i="35"/>
  <c r="BD385" i="35" s="1"/>
  <c r="BA439" i="35"/>
  <c r="BC404" i="35"/>
  <c r="BD404" i="35" s="1"/>
  <c r="BC401" i="35"/>
  <c r="BD489" i="35"/>
  <c r="BC496" i="35"/>
  <c r="BA496" i="35"/>
  <c r="Z499" i="35" s="1"/>
  <c r="BB407" i="35"/>
  <c r="AA424" i="35" s="1"/>
  <c r="AN452" i="35" l="1"/>
  <c r="AK452" i="35"/>
  <c r="AM452" i="35" s="1"/>
  <c r="AN455" i="35"/>
  <c r="AK455" i="35"/>
  <c r="AM455" i="35" s="1"/>
  <c r="AB385" i="35"/>
  <c r="BC439" i="35"/>
  <c r="BD439" i="35" s="1"/>
  <c r="AE454" i="35"/>
  <c r="BC436" i="35"/>
  <c r="BD436" i="35" s="1"/>
  <c r="BA442" i="35"/>
  <c r="X461" i="35" s="1"/>
  <c r="BC435" i="35"/>
  <c r="AE450" i="35"/>
  <c r="AK450" i="35" s="1"/>
  <c r="Z497" i="35"/>
  <c r="BD401" i="35"/>
  <c r="BC407" i="35"/>
  <c r="BD407" i="35" s="1"/>
  <c r="BD496" i="35"/>
  <c r="BC442" i="35" l="1"/>
  <c r="BD442" i="35" s="1"/>
  <c r="AN454" i="35"/>
  <c r="AK454" i="35"/>
  <c r="AM454" i="35" s="1"/>
  <c r="AN451" i="35"/>
  <c r="AK451" i="35"/>
  <c r="AM451" i="35" s="1"/>
  <c r="AM450" i="35"/>
  <c r="BD435" i="35"/>
  <c r="AE457" i="35"/>
  <c r="AB422" i="35"/>
  <c r="AB459" i="35" l="1"/>
  <c r="AM457" i="35"/>
  <c r="AK457" i="35"/>
  <c r="AN450" i="35"/>
  <c r="AG457" i="35"/>
  <c r="AN457" i="35" s="1"/>
  <c r="BC565" i="35" l="1"/>
  <c r="BD565" i="35" s="1"/>
  <c r="BC566" i="35" l="1"/>
  <c r="BD566" i="35" s="1"/>
  <c r="BC563" i="35"/>
  <c r="BD563" i="35" s="1"/>
  <c r="BC564" i="35"/>
  <c r="BD564" i="35" s="1"/>
  <c r="BC562" i="35" l="1"/>
  <c r="BD562" i="35" s="1"/>
  <c r="BC567" i="35"/>
  <c r="BD567" i="35" s="1"/>
  <c r="BC568" i="35" l="1"/>
  <c r="BD568" i="35" s="1"/>
  <c r="BB569" i="35" l="1"/>
  <c r="AA574" i="35" s="1"/>
  <c r="BC561" i="35"/>
  <c r="BD561" i="35" l="1"/>
  <c r="BC569" i="35"/>
  <c r="Z571" i="35" l="1"/>
  <c r="BD569" i="35"/>
</calcChain>
</file>

<file path=xl/comments1.xml><?xml version="1.0" encoding="utf-8"?>
<comments xmlns="http://schemas.openxmlformats.org/spreadsheetml/2006/main">
  <authors>
    <author>Bruce Bacon</author>
  </authors>
  <commentList>
    <comment ref="K51" authorId="0">
      <text>
        <r>
          <rPr>
            <b/>
            <sz val="9"/>
            <color indexed="81"/>
            <rFont val="Tahoma"/>
            <family val="2"/>
          </rPr>
          <t>Bruce Bacon:</t>
        </r>
        <r>
          <rPr>
            <sz val="9"/>
            <color indexed="81"/>
            <rFont val="Tahoma"/>
            <family val="2"/>
          </rPr>
          <t xml:space="preserve">
The class was not forecasted based on the regression analysus so the CDM variable did not impact the forecast. The 2015 actual results for this class only had the savvngs from PSUI for a few days in December 2015 since PSUI did not start until late in December. This means the full year actual savings are not in 2015 but they are assumed to persist into 2017 therefore this adjustment is used.</t>
        </r>
      </text>
    </comment>
    <comment ref="M51" authorId="0">
      <text>
        <r>
          <rPr>
            <b/>
            <sz val="9"/>
            <color indexed="81"/>
            <rFont val="Tahoma"/>
            <family val="2"/>
          </rPr>
          <t>Bruce Bacon:</t>
        </r>
        <r>
          <rPr>
            <sz val="9"/>
            <color indexed="81"/>
            <rFont val="Tahoma"/>
            <family val="2"/>
          </rPr>
          <t xml:space="preserve">
The class was not forecasted based on the regression analysus so the CDM variable did not impact the forecast. It assumed the 2015 actual results for this class only have the actual 2015 saviings for half a year consistent with the half year rule.
</t>
        </r>
      </text>
    </comment>
  </commentList>
</comments>
</file>

<file path=xl/comments2.xml><?xml version="1.0" encoding="utf-8"?>
<comments xmlns="http://schemas.openxmlformats.org/spreadsheetml/2006/main">
  <authors>
    <author>Bruce Bacon</author>
  </authors>
  <commentList>
    <comment ref="D27" authorId="0">
      <text>
        <r>
          <rPr>
            <b/>
            <sz val="9"/>
            <color indexed="81"/>
            <rFont val="Tahoma"/>
            <family val="2"/>
          </rPr>
          <t>Bruce Bacon:</t>
        </r>
        <r>
          <rPr>
            <sz val="9"/>
            <color indexed="81"/>
            <rFont val="Tahoma"/>
            <family val="2"/>
          </rPr>
          <t xml:space="preserve">
Use 2015 since kWh is the same as 2015</t>
        </r>
      </text>
    </comment>
    <comment ref="F27" authorId="0">
      <text>
        <r>
          <rPr>
            <b/>
            <sz val="9"/>
            <color indexed="81"/>
            <rFont val="Tahoma"/>
            <family val="2"/>
          </rPr>
          <t>Bruce Bacon:</t>
        </r>
        <r>
          <rPr>
            <sz val="9"/>
            <color indexed="81"/>
            <rFont val="Tahoma"/>
            <family val="2"/>
          </rPr>
          <t xml:space="preserve">
Use 2015 since kWh is the same as 2015. In this case it has been the sae for the last 4 years.</t>
        </r>
      </text>
    </comment>
  </commentList>
</comments>
</file>

<file path=xl/comments3.xml><?xml version="1.0" encoding="utf-8"?>
<comments xmlns="http://schemas.openxmlformats.org/spreadsheetml/2006/main">
  <authors>
    <author>Brittany Ashby</author>
  </authors>
  <commentList>
    <comment ref="BM23" authorId="0">
      <text>
        <r>
          <rPr>
            <b/>
            <sz val="9"/>
            <color indexed="81"/>
            <rFont val="Tahoma"/>
            <family val="2"/>
          </rPr>
          <t>Brittany Ashby:</t>
        </r>
        <r>
          <rPr>
            <sz val="9"/>
            <color indexed="81"/>
            <rFont val="Tahoma"/>
            <family val="2"/>
          </rPr>
          <t xml:space="preserve">
This is changed to match persistence report - in the static report this is a higher figure 79195.</t>
        </r>
      </text>
    </comment>
    <comment ref="BN33" authorId="0">
      <text>
        <r>
          <rPr>
            <b/>
            <sz val="9"/>
            <color indexed="81"/>
            <rFont val="Tahoma"/>
            <family val="2"/>
          </rPr>
          <t>Brittany Ashby:</t>
        </r>
        <r>
          <rPr>
            <sz val="9"/>
            <color indexed="81"/>
            <rFont val="Tahoma"/>
            <family val="2"/>
          </rPr>
          <t xml:space="preserve">
This should be 39974.45
</t>
        </r>
      </text>
    </comment>
    <comment ref="BO33" authorId="0">
      <text>
        <r>
          <rPr>
            <b/>
            <sz val="9"/>
            <color indexed="81"/>
            <rFont val="Tahoma"/>
            <family val="2"/>
          </rPr>
          <t>Brittany Ashby:</t>
        </r>
        <r>
          <rPr>
            <sz val="9"/>
            <color indexed="81"/>
            <rFont val="Tahoma"/>
            <family val="2"/>
          </rPr>
          <t xml:space="preserve">
In the case of the DR 3 program, it appears that the persistence report only looks in the 1st year.  Should we be using full persistence in 1st year?
</t>
        </r>
      </text>
    </comment>
  </commentList>
</comments>
</file>

<file path=xl/sharedStrings.xml><?xml version="1.0" encoding="utf-8"?>
<sst xmlns="http://schemas.openxmlformats.org/spreadsheetml/2006/main" count="1916" uniqueCount="444">
  <si>
    <t>Purchased</t>
  </si>
  <si>
    <t>Heating Degree Days</t>
  </si>
  <si>
    <t>Cooling Degree Days</t>
  </si>
  <si>
    <t>Number of Days in Month</t>
  </si>
  <si>
    <t>Ontario Real GDP Monthly %</t>
  </si>
  <si>
    <t>Total</t>
  </si>
  <si>
    <t xml:space="preserve">Predicted Purchases </t>
  </si>
  <si>
    <t>Variances (kWh)</t>
  </si>
  <si>
    <t>% Variance</t>
  </si>
  <si>
    <t>Average</t>
  </si>
  <si>
    <t xml:space="preserve">Geomean </t>
  </si>
  <si>
    <t>Usage Per Customer</t>
  </si>
  <si>
    <t xml:space="preserve">Total </t>
  </si>
  <si>
    <t xml:space="preserve">Used </t>
  </si>
  <si>
    <t>Spring Fall Flag</t>
  </si>
  <si>
    <t>SUMMARY OUTPUT</t>
  </si>
  <si>
    <t>Regression Statistics</t>
  </si>
  <si>
    <t>Multiple R</t>
  </si>
  <si>
    <t>R Square</t>
  </si>
  <si>
    <t>Adjusted R Square</t>
  </si>
  <si>
    <t>Standard Error</t>
  </si>
  <si>
    <t>Observations</t>
  </si>
  <si>
    <t>ANOVA</t>
  </si>
  <si>
    <t>Regression</t>
  </si>
  <si>
    <t>Residual</t>
  </si>
  <si>
    <t>Intercept</t>
  </si>
  <si>
    <t>df</t>
  </si>
  <si>
    <t>SS</t>
  </si>
  <si>
    <t>MS</t>
  </si>
  <si>
    <t>F</t>
  </si>
  <si>
    <t>Significance F</t>
  </si>
  <si>
    <t>Coefficients</t>
  </si>
  <si>
    <t>t Stat</t>
  </si>
  <si>
    <t>P-value</t>
  </si>
  <si>
    <t>Lower 95%</t>
  </si>
  <si>
    <t>Upper 95%</t>
  </si>
  <si>
    <t xml:space="preserve">Growth Rate in Customer Numbers </t>
  </si>
  <si>
    <t xml:space="preserve">  Customers</t>
  </si>
  <si>
    <t xml:space="preserve">  kWh</t>
  </si>
  <si>
    <t xml:space="preserve">  kW</t>
  </si>
  <si>
    <t xml:space="preserve">2006 Actual </t>
  </si>
  <si>
    <t xml:space="preserve">2007 Actual </t>
  </si>
  <si>
    <t xml:space="preserve">  kW from applicable classes</t>
  </si>
  <si>
    <t xml:space="preserve">  Customer/Connections</t>
  </si>
  <si>
    <t>By Class</t>
  </si>
  <si>
    <t>Used</t>
  </si>
  <si>
    <t>kW/kWh</t>
  </si>
  <si>
    <t>Check totals above sould be zero</t>
  </si>
  <si>
    <t>2008 Actual</t>
  </si>
  <si>
    <t>Number of Customers</t>
  </si>
  <si>
    <t xml:space="preserve">2009 Actual </t>
  </si>
  <si>
    <t xml:space="preserve">  Connections</t>
  </si>
  <si>
    <t>Total of Above</t>
  </si>
  <si>
    <t>Total from Model</t>
  </si>
  <si>
    <t>Check should all be zero</t>
  </si>
  <si>
    <t xml:space="preserve">2010 Actual </t>
  </si>
  <si>
    <t>CDM Activity</t>
  </si>
  <si>
    <t xml:space="preserve">2011 Actual </t>
  </si>
  <si>
    <t>Number of Peak Hours</t>
  </si>
  <si>
    <t>Increase over previous year</t>
  </si>
  <si>
    <t>Check</t>
  </si>
  <si>
    <t>Jan</t>
  </si>
  <si>
    <t>Feb</t>
  </si>
  <si>
    <t>Mar</t>
  </si>
  <si>
    <t>Apr</t>
  </si>
  <si>
    <t>May</t>
  </si>
  <si>
    <t>Jun</t>
  </si>
  <si>
    <t>Jul</t>
  </si>
  <si>
    <t>Aug</t>
  </si>
  <si>
    <t>Sep</t>
  </si>
  <si>
    <t>Oct</t>
  </si>
  <si>
    <t>Nov</t>
  </si>
  <si>
    <t>CDM Activity Variable</t>
  </si>
  <si>
    <t>Dec</t>
  </si>
  <si>
    <t xml:space="preserve">Residential </t>
  </si>
  <si>
    <t>Sentinel Lights</t>
  </si>
  <si>
    <t>Not Used</t>
  </si>
  <si>
    <t>Consumed</t>
  </si>
  <si>
    <t>Predicted Consumed</t>
  </si>
  <si>
    <t>GS &lt; 50 kW</t>
  </si>
  <si>
    <t>GS &gt; 50 kW</t>
  </si>
  <si>
    <t>#</t>
  </si>
  <si>
    <t>Initiative Name</t>
  </si>
  <si>
    <t>Program Name</t>
  </si>
  <si>
    <t>Program Year</t>
  </si>
  <si>
    <t>Secondary Refrigerator Retirement Pilot</t>
  </si>
  <si>
    <t>Consumer</t>
  </si>
  <si>
    <t>Cool &amp; Hot Savings Rebate</t>
  </si>
  <si>
    <t>Every Kilowatt Counts</t>
  </si>
  <si>
    <t>Demand Response 1</t>
  </si>
  <si>
    <t>Business, Industrial</t>
  </si>
  <si>
    <t>Great Refrigerator Roundup</t>
  </si>
  <si>
    <t>Consumer, Business</t>
  </si>
  <si>
    <t>Summer Savings</t>
  </si>
  <si>
    <t>Aboriginal</t>
  </si>
  <si>
    <t>Consumer Low-Income</t>
  </si>
  <si>
    <t>Social Housing Pilot</t>
  </si>
  <si>
    <t>Energy Efficiency Assistance for Houses Pilot</t>
  </si>
  <si>
    <t>Electricity Retrofit Incentive</t>
  </si>
  <si>
    <t>Business</t>
  </si>
  <si>
    <t>Cool Savings Rebate</t>
  </si>
  <si>
    <t>Every Kilowatt Counts Power Savings Event</t>
  </si>
  <si>
    <t>Summer Sweepstakes</t>
  </si>
  <si>
    <t>High Performance New Construction</t>
  </si>
  <si>
    <t>Power Savings Blitz</t>
  </si>
  <si>
    <t>Demand Response 3</t>
  </si>
  <si>
    <t>Multi-Family Energy Efficiency Rebates</t>
  </si>
  <si>
    <t>Consumer, Consumer Low-Income</t>
  </si>
  <si>
    <t>Demand Response 2</t>
  </si>
  <si>
    <t>LDC Custom - Thunder Bay Hydro - Phantom Load</t>
  </si>
  <si>
    <t>Res</t>
  </si>
  <si>
    <t>GS &gt; 1000</t>
  </si>
  <si>
    <t>GS &gt; 1000kW</t>
  </si>
  <si>
    <t>2006 to 2010</t>
  </si>
  <si>
    <t>Subtotal</t>
  </si>
  <si>
    <t>All Years</t>
  </si>
  <si>
    <t>Total Residential CDM Results</t>
  </si>
  <si>
    <t>Total GS &lt; 50 kW CDM Results</t>
  </si>
  <si>
    <t>Total GS &gt; 50 kW CDM Results</t>
  </si>
  <si>
    <t>Total GS &gt; 1000 kW CDM Results</t>
  </si>
  <si>
    <t>kWh</t>
  </si>
  <si>
    <t>Summary of Degree Day Information</t>
  </si>
  <si>
    <t>Station Name</t>
  </si>
  <si>
    <t>TORONTO LESTER B. PEARSON INT'L A</t>
  </si>
  <si>
    <t>Summary of All Heating Degree Days</t>
  </si>
  <si>
    <t>Month</t>
  </si>
  <si>
    <t>10 Year Avg</t>
  </si>
  <si>
    <t>20 Year Trend</t>
  </si>
  <si>
    <t>January</t>
  </si>
  <si>
    <t>February</t>
  </si>
  <si>
    <t>March</t>
  </si>
  <si>
    <t>April</t>
  </si>
  <si>
    <t>June</t>
  </si>
  <si>
    <t>July</t>
  </si>
  <si>
    <t>August</t>
  </si>
  <si>
    <t>September</t>
  </si>
  <si>
    <t>October</t>
  </si>
  <si>
    <t>November</t>
  </si>
  <si>
    <t>December</t>
  </si>
  <si>
    <t>Summary of All Cooling Degree Days</t>
  </si>
  <si>
    <t xml:space="preserve"> </t>
  </si>
  <si>
    <t>General Service
 &lt; 50 kW</t>
  </si>
  <si>
    <t>General Service
 &gt; 50 to 999 kW</t>
  </si>
  <si>
    <t>20 year trend</t>
  </si>
  <si>
    <t>Internal Table: 2011 CDM Program Results and Related Persistence (before adjustments)</t>
  </si>
  <si>
    <t>Actual Results</t>
  </si>
  <si>
    <t>Persistence of 2011 results</t>
  </si>
  <si>
    <t>2011 Results</t>
  </si>
  <si>
    <t>Peak Demand Savings (kW)</t>
  </si>
  <si>
    <t>Energy Savings (kWh)</t>
  </si>
  <si>
    <t>Consumer Program</t>
  </si>
  <si>
    <t>Appliance Retirement</t>
  </si>
  <si>
    <t>RS</t>
  </si>
  <si>
    <t>Appliance Exchange</t>
  </si>
  <si>
    <t>HVAC Incentives</t>
  </si>
  <si>
    <t>Conservation Instant Coupon Booklet</t>
  </si>
  <si>
    <t>Bi-Annual Retailer Event</t>
  </si>
  <si>
    <t>Retailer Co-op</t>
  </si>
  <si>
    <t>Residential Demand Response</t>
  </si>
  <si>
    <t>Residential Demand Response (IHD)</t>
  </si>
  <si>
    <t>Residential New Construction</t>
  </si>
  <si>
    <t>Consumer Program Total</t>
  </si>
  <si>
    <t>Business Program</t>
  </si>
  <si>
    <t>Retrofit</t>
  </si>
  <si>
    <t>GS &lt; 50</t>
  </si>
  <si>
    <t>GS 50-999</t>
  </si>
  <si>
    <t>ST</t>
  </si>
  <si>
    <t>Direct Install Lighting</t>
  </si>
  <si>
    <t>Building Commissioning</t>
  </si>
  <si>
    <t>New Construction</t>
  </si>
  <si>
    <t>Energy Audit</t>
  </si>
  <si>
    <t>Small Commercial Demand Response</t>
  </si>
  <si>
    <t>Small Commercial Demand Response (IHD)</t>
  </si>
  <si>
    <t>Business Program Total</t>
  </si>
  <si>
    <t>Industrial Program</t>
  </si>
  <si>
    <t>Process &amp; System Upgrades</t>
  </si>
  <si>
    <t>Monitoring &amp; Targeting</t>
  </si>
  <si>
    <t>Energy Manager</t>
  </si>
  <si>
    <t>Industrial Program Total</t>
  </si>
  <si>
    <t>Home Assistance Program</t>
  </si>
  <si>
    <t>Home Assistance Program Total</t>
  </si>
  <si>
    <t>Aboriginal Program</t>
  </si>
  <si>
    <t>Aboriginal Program Total</t>
  </si>
  <si>
    <t>Pre-2011 Programs completed in 2011</t>
  </si>
  <si>
    <t>Electricity Retrofit Incentive Program</t>
  </si>
  <si>
    <t>Toronto Comprehensive</t>
  </si>
  <si>
    <t>Multifamily Energy Efficiency Rebates</t>
  </si>
  <si>
    <t>LDC Custom Programs</t>
  </si>
  <si>
    <t>Pre-2011 Programs completed in 2011 Total</t>
  </si>
  <si>
    <t>Other</t>
  </si>
  <si>
    <t>Program Enabled Savings</t>
  </si>
  <si>
    <t>Time-of-Use Savings</t>
  </si>
  <si>
    <t>Exc. RS shift only</t>
  </si>
  <si>
    <t>LDC Pilots</t>
  </si>
  <si>
    <t>Other Total</t>
  </si>
  <si>
    <t>Note 1: Report based on IESO Final 2014 CDM program results.</t>
  </si>
  <si>
    <t>Note 2: Persistence of 2011 results into future years provided by IESO.</t>
  </si>
  <si>
    <t>Note 3: Retrofit results apply to more than one rate class and an estimate of the split by rate class was made based on specific information, when available</t>
  </si>
  <si>
    <t>Note 4: Persistence is based on net incremental and program-to-date contributions to IESO reported targets. Some program results do not persist</t>
  </si>
  <si>
    <t xml:space="preserve">                 into future years and others persist equally into future years.  Changes in persistence are recorded in the year identified in the IESO report.</t>
  </si>
  <si>
    <t>Table A - 2:  2011 CDM Program Adjustments and Related Persistence</t>
  </si>
  <si>
    <t>2011 Adjustments</t>
  </si>
  <si>
    <t>Note 1: Report based on IESO Final 2014 program adjustment results.</t>
  </si>
  <si>
    <t>Note 2: Persistence of 2011 adjustments into future years provided by IESO.</t>
  </si>
  <si>
    <t>Note 3: IESO reduced 2011 persistence in 2014, which has been estimated 50/50 in Appliance Retirement and Direct Lighting.</t>
  </si>
  <si>
    <t>Note 4: Retrofit adjustments apply to more than one rate class and an estimate of the split by rate class was made based on specific information, when available.</t>
  </si>
  <si>
    <t>Note 4: Persistence is based on net incremental and program-to-date adjustments to the IESO reported targets. Some program adjustment results do not persist</t>
  </si>
  <si>
    <t xml:space="preserve">                 into future years and others persist equally into future years.  Changes in persistence adjustments are recorded in the year identified in the IESO report.</t>
  </si>
  <si>
    <t>Internal Table: 2012 CDM Program Results and Related Persistence (before adjustments)</t>
  </si>
  <si>
    <t>Persistence of 2012 results</t>
  </si>
  <si>
    <t>2012 Results</t>
  </si>
  <si>
    <t>Note 1: Report based on IESO Final 2014 program results.</t>
  </si>
  <si>
    <t>Note 2: Persistence of 2012 results into future years provided by IESO.</t>
  </si>
  <si>
    <t>Note 3: IESO removed Demand Response 3 persistence in 2013 &amp; 2014.</t>
  </si>
  <si>
    <t>Note 4: Retrofit results apply to more than one rate class and an estimate of the split by rate class was made based on specific information, when available.</t>
  </si>
  <si>
    <t>Table B - 2: 2012 CDM Program Adjustments and Related Persistence</t>
  </si>
  <si>
    <t>2012 Adjustments</t>
  </si>
  <si>
    <t>Note 2: Persistence of 2012 adjustments into future years provided by IESO.</t>
  </si>
  <si>
    <t>Note 3: IESO reduced 2012 persistence in 2014, which has been estimated in Direct Lighting Install.</t>
  </si>
  <si>
    <t>Note 5: IESO adjustment of 7,298 kWh allocated to direct lighting install.</t>
  </si>
  <si>
    <t>Internal Table: 2013 CDM Program Results and Related Persistence (before adjustments)</t>
  </si>
  <si>
    <t>Persistence of 2013 results</t>
  </si>
  <si>
    <t>2013 Results</t>
  </si>
  <si>
    <t>Note 1: Report based on IESO Final 2014 program results</t>
  </si>
  <si>
    <t>Note 2: Persistence of 2013 results into future years provided by IESO</t>
  </si>
  <si>
    <t>Note 3: IESO removed Demand Response 3 persistence in 2014</t>
  </si>
  <si>
    <t>Note 4: Retrofit results apply to more than one rate class and an estimate of the split by rate class was made based on specific information, when available</t>
  </si>
  <si>
    <t xml:space="preserve">                 into future years and others persist equally into future years.  Changes in persistence are recorded in the year identified in the IESO report</t>
  </si>
  <si>
    <t>Table C - 2: 2013 CDM Program Adjustments and Related Persistence</t>
  </si>
  <si>
    <t>2013 Adjustments</t>
  </si>
  <si>
    <t>Note 2: Persistence of 2013 adjustments into future years provided by IESO.</t>
  </si>
  <si>
    <t>Note 3: IESO reduced 2013 persistence in Home Assistance Program in 2014 and further persistence estimated 50/50 in Appliance Retirement and Direct Lighting in 2014.</t>
  </si>
  <si>
    <t>Note 5: IESO reduced 2013 persistence in 2014, which has been estimated 50/50 in Appliance Retirement and Direct Lighting.</t>
  </si>
  <si>
    <t>Internal Table: 2014 CDM Program Results</t>
  </si>
  <si>
    <t>2014 Results</t>
  </si>
  <si>
    <t>Note 2: Retrofit results apply to more than one rate class and an estimate of the split by rate class was made based on specific information, when available.</t>
  </si>
  <si>
    <t>Note 3: TOU kW not included in calculation of savings, as it represents a shift in Demand only.</t>
  </si>
  <si>
    <t>Internal Table: 2011-2014 CDM Net Program Results (includes persistence and adjustments)</t>
  </si>
  <si>
    <t>Net Peak Demand Savings (kW)</t>
  </si>
  <si>
    <t>Net Energy Savings (kWh)</t>
  </si>
  <si>
    <t>Further OEB Adjustments that did not persist</t>
  </si>
  <si>
    <t>2011 Persist</t>
  </si>
  <si>
    <t>2012 Persist</t>
  </si>
  <si>
    <t>2013 Persist</t>
  </si>
  <si>
    <t>into 2014</t>
  </si>
  <si>
    <t>into 14</t>
  </si>
  <si>
    <t>General Service &lt;50 kW</t>
  </si>
  <si>
    <t>GS&lt;50</t>
  </si>
  <si>
    <t>Direct Lighting GS&lt; 50</t>
  </si>
  <si>
    <t>General Service &gt; 50 to 999 kW</t>
  </si>
  <si>
    <t>General Service &gt; 1000kW</t>
  </si>
  <si>
    <t>Unmetered Loads</t>
  </si>
  <si>
    <t>Source:  Settlement Agreement - EB-2012-0167, Pg 21 of 79</t>
  </si>
  <si>
    <t>Streetlights</t>
  </si>
  <si>
    <t>Home Appliance  RS</t>
  </si>
  <si>
    <t>IESO removed persistance 51  KW - placed into 2014 GS&lt;50 cell M97</t>
  </si>
  <si>
    <t>IESO removed Persistance  21  KW - placed into 2014 GS&lt;50 cell M93</t>
  </si>
  <si>
    <t>2011 to 2014</t>
  </si>
  <si>
    <t>Street Light</t>
  </si>
  <si>
    <t>Total 2006 to 2015 Annual CDM Results (Net) with Persistence</t>
  </si>
  <si>
    <t>Half year applies to first year programs</t>
  </si>
  <si>
    <t>Total to 2015</t>
  </si>
  <si>
    <t>Class Specific before CDM</t>
  </si>
  <si>
    <t>CDM Full Year</t>
  </si>
  <si>
    <t>CDM Adjustment for half year rule</t>
  </si>
  <si>
    <t>Class Specific after CDM</t>
  </si>
  <si>
    <t xml:space="preserve">2012 Actual </t>
  </si>
  <si>
    <t xml:space="preserve">2013 Actual </t>
  </si>
  <si>
    <t xml:space="preserve">2014 Actual </t>
  </si>
  <si>
    <t xml:space="preserve">2015 Actual </t>
  </si>
  <si>
    <t>2016 Weather Normal</t>
  </si>
  <si>
    <t>2017 Weather Normal</t>
  </si>
  <si>
    <t>Billed kWh Before CDM</t>
  </si>
  <si>
    <t>CDM Adjustment</t>
  </si>
  <si>
    <t>Billed kWh After CDM</t>
  </si>
  <si>
    <t>Thunder Bay Hydro Load Forecast for 2017 Rate Application</t>
  </si>
  <si>
    <t>Large User</t>
  </si>
  <si>
    <t>RAPPORT DÉTAILLÉ</t>
  </si>
  <si>
    <t>Statistiques de la régression</t>
  </si>
  <si>
    <t>Coefficient de détermination multiple</t>
  </si>
  <si>
    <t>Coefficient de détermination R^2</t>
  </si>
  <si>
    <t>Erreur-type</t>
  </si>
  <si>
    <t>ANALYSE DE VARIANCE</t>
  </si>
  <si>
    <t>Régression</t>
  </si>
  <si>
    <t>Résidus</t>
  </si>
  <si>
    <t>Constante</t>
  </si>
  <si>
    <t>Degré de liberté</t>
  </si>
  <si>
    <t>Somme des carrés</t>
  </si>
  <si>
    <t>Moyenne des carrés</t>
  </si>
  <si>
    <t>Valeur critique de F</t>
  </si>
  <si>
    <t>Statistique t</t>
  </si>
  <si>
    <t>Probabilité</t>
  </si>
  <si>
    <t>Limite inférieure pour seuil de confiance = 95%</t>
  </si>
  <si>
    <t>Limite supérieure pour seuil de confiance = 95%</t>
  </si>
  <si>
    <t>Limite inférieure pour seuil de confiance =  95.0%</t>
  </si>
  <si>
    <t>Limite supérieure pour seuil de confiance =  95.0%</t>
  </si>
  <si>
    <t>Variable X 1</t>
  </si>
  <si>
    <t>Variable X 2</t>
  </si>
  <si>
    <t>Variable X 3</t>
  </si>
  <si>
    <t>Variable X 4</t>
  </si>
  <si>
    <t>Variable X 5</t>
  </si>
  <si>
    <t>Variable X 6</t>
  </si>
  <si>
    <t>Variable X 7</t>
  </si>
  <si>
    <t>Variable X 8</t>
  </si>
  <si>
    <t>Street Lighting</t>
  </si>
  <si>
    <t>Sentinel Lighting</t>
  </si>
  <si>
    <t>12 NCP</t>
  </si>
  <si>
    <t>1 NCP</t>
  </si>
  <si>
    <t>4 NCP</t>
  </si>
  <si>
    <t>Table 3-1: R Square and Adjusted R Square Values for Individual Class Regression Analysis</t>
  </si>
  <si>
    <t>Class</t>
  </si>
  <si>
    <t>Table 3-2: General Service  &gt; 1000 kW Regression Analysis Results</t>
  </si>
  <si>
    <t>Variable</t>
  </si>
  <si>
    <t>Table 3-3: Billed Energy and Number of Customers / Connections by Rate Class</t>
  </si>
  <si>
    <t>Year</t>
  </si>
  <si>
    <t>Billed Energy (GWh)</t>
  </si>
  <si>
    <t>Number of Customers/Connections</t>
  </si>
  <si>
    <t>Statistic</t>
  </si>
  <si>
    <t>F Test</t>
  </si>
  <si>
    <t>T-stats by Coefficient</t>
  </si>
  <si>
    <t xml:space="preserve">Actual </t>
  </si>
  <si>
    <t xml:space="preserve">Predicted </t>
  </si>
  <si>
    <t>% Difference</t>
  </si>
  <si>
    <t>Growth Rate in Customers/Connections</t>
  </si>
  <si>
    <t>Geometric Mean</t>
  </si>
  <si>
    <t>Forecast Number of Customers/Connections</t>
  </si>
  <si>
    <t xml:space="preserve">Annual kWh Usage Per Customer/Connection </t>
  </si>
  <si>
    <t>Forecast Annual kWh Usage per Customers/Connection</t>
  </si>
  <si>
    <t>Billed Energy Forecast (GWh)</t>
  </si>
  <si>
    <t>CDM Adjustment (GWh)</t>
  </si>
  <si>
    <t>CDM Adjusted Billed Energy Forecast (GWh)</t>
  </si>
  <si>
    <t>Billed Annual kW</t>
  </si>
  <si>
    <t>Ratio of kW to kWh</t>
  </si>
  <si>
    <t>Predicted Billed kW</t>
  </si>
  <si>
    <t>Residential</t>
  </si>
  <si>
    <t>2016 Bridge</t>
  </si>
  <si>
    <t>2017 Test</t>
  </si>
  <si>
    <t>2013 Board Approved</t>
  </si>
  <si>
    <t>Weather Normal</t>
  </si>
  <si>
    <t>Weather Noraml Factor</t>
  </si>
  <si>
    <t>2017 Test - 20 year trend</t>
  </si>
  <si>
    <t>Predicted 
Weather 
Normal</t>
  </si>
  <si>
    <t>Weather 
Normal Conversion 
Factor</t>
  </si>
  <si>
    <t>Actual 
Weather 
Normal</t>
  </si>
  <si>
    <t>Billed Energy (GWh) - Actual</t>
  </si>
  <si>
    <t>Billed Energy (GWh) - Weather Normal</t>
  </si>
  <si>
    <t>Table 3-4: CDM Results (kWh)
2006 to 2015 Programs with Persistence into 2017</t>
  </si>
  <si>
    <t>Table 3-5: Statistcial Results</t>
  </si>
  <si>
    <t>% Variance (ABS)</t>
  </si>
  <si>
    <t xml:space="preserve">MAPE (Monthly) </t>
  </si>
  <si>
    <t>Table 3-9: Historical Customer/Connection Data</t>
  </si>
  <si>
    <t>Table 3-10: Growth Rate in Customer/Connections</t>
  </si>
  <si>
    <t>Table 3-11: Customer/Connection Forecast</t>
  </si>
  <si>
    <t>Table 3-12: Historical Annual Usage per Customer</t>
  </si>
  <si>
    <t>Unmetered Scattered Load</t>
  </si>
  <si>
    <t>Table 3-13: Forecast Annual kWh Usage per Customer/Connection</t>
  </si>
  <si>
    <t>Table 3-14: Billed Energy Forecast</t>
  </si>
  <si>
    <t>Table 3-17: CDM Manual Adjustments</t>
  </si>
  <si>
    <t>2017 Test - kWh</t>
  </si>
  <si>
    <t>2017 Test - kW Annual</t>
  </si>
  <si>
    <t>2017 Test - kW Monthly</t>
  </si>
  <si>
    <t>Table 3-19 Adjustment for CDM</t>
  </si>
  <si>
    <t>Table 3-20: Historical Annual kW per Applicable Rate Class</t>
  </si>
  <si>
    <t>Actual</t>
  </si>
  <si>
    <t>Wthr Normal</t>
  </si>
  <si>
    <t>Table 3-21: Historical kW/KWh Ratio per Applicable Rate Class</t>
  </si>
  <si>
    <t>Average 2006 to 2015</t>
  </si>
  <si>
    <t>Table 3-22: kW Forecast by Applicable Rate Class</t>
  </si>
  <si>
    <t>2011 
Actual</t>
  </si>
  <si>
    <t>2012 
Actual</t>
  </si>
  <si>
    <t>2013 
Actual</t>
  </si>
  <si>
    <t>2014 
Actual</t>
  </si>
  <si>
    <t>2015 
Actual</t>
  </si>
  <si>
    <t xml:space="preserve">2016  Bridge </t>
  </si>
  <si>
    <t>2017
Test</t>
  </si>
  <si>
    <t>Purchases</t>
  </si>
  <si>
    <t>Total Billed Before CDM Adjustments</t>
  </si>
  <si>
    <t>Total Billed After Adjustments</t>
  </si>
  <si>
    <t>Billing Determinants</t>
  </si>
  <si>
    <t xml:space="preserve">  kW from applicable
  classes</t>
  </si>
  <si>
    <t>Table 3-23: Summary of Forecast</t>
  </si>
  <si>
    <t>2011 Actual</t>
  </si>
  <si>
    <t>2012 Actual</t>
  </si>
  <si>
    <t>Difference $</t>
  </si>
  <si>
    <t>Difference %</t>
  </si>
  <si>
    <t>Customers / 
Connections</t>
  </si>
  <si>
    <t>Units</t>
  </si>
  <si>
    <t>Volume</t>
  </si>
  <si>
    <t xml:space="preserve">Volume Weather Normal </t>
  </si>
  <si>
    <t>Annual Usage Per Customer / Connection</t>
  </si>
  <si>
    <t>Annual Usage Per Customer / Connection Weather Normal</t>
  </si>
  <si>
    <t>kW</t>
  </si>
  <si>
    <t>Variance</t>
  </si>
  <si>
    <t>Table 3-24: Distribution Revenue 2011 Actual to 2012 Actual</t>
  </si>
  <si>
    <t>Billing Quantities</t>
  </si>
  <si>
    <t>GS &gt;50</t>
  </si>
  <si>
    <t>Table 3-25: Comparison 2011 Actual to 2012 Actual</t>
  </si>
  <si>
    <t>2013 Actual</t>
  </si>
  <si>
    <t>Table 3-26: Distribution Revenue 2012 Actual to 2013 Actual</t>
  </si>
  <si>
    <t>Table 3-27: Comparison 2012 Actual to 2013 Actual</t>
  </si>
  <si>
    <t>Table 3-28: Distribution Revenue 2013 Board Approved to 2013 Actual</t>
  </si>
  <si>
    <t>Table 3-29: Comparison 2013 Board Approved to 2013 Actual</t>
  </si>
  <si>
    <t>Table 3-30: Distribution Revenue 2013 Actual to 2014 Actual</t>
  </si>
  <si>
    <t>2014 Actual</t>
  </si>
  <si>
    <t>Table 3-31: Comparison 2013 Actual to 2014 Actual</t>
  </si>
  <si>
    <t>2015 Actual</t>
  </si>
  <si>
    <t>Table 3-32: Distribution Revenue 2014 Actual to 2015 Actual</t>
  </si>
  <si>
    <t>Table 3-33: Comparison 2014 Actual to 2015 Actual</t>
  </si>
  <si>
    <t>Table 3-34: Distribution Revenue 2015 Actual to 2016 Bridge</t>
  </si>
  <si>
    <t>Table 3-35: Comparison 2015 Actual to 2016 Bridge</t>
  </si>
  <si>
    <t>Table 3-36: Distribution Revenue 2016 Bridge to 2017 Test</t>
  </si>
  <si>
    <t>Table 3-37: Comparison 2016 Bridge to 2017 Test</t>
  </si>
  <si>
    <t>Customer Class</t>
  </si>
  <si>
    <t>General Service 
&gt; 1000 kW</t>
  </si>
  <si>
    <t>Check, s/b zero</t>
  </si>
  <si>
    <t>Rate</t>
  </si>
  <si>
    <t>2014 SMDR</t>
  </si>
  <si>
    <t>2013 SMDR</t>
  </si>
  <si>
    <t>2013 SMIRR</t>
  </si>
  <si>
    <t>2013 COS Increase (4/12)</t>
  </si>
  <si>
    <t>2014 IRM Increase (8/12)</t>
  </si>
  <si>
    <t>2014 Forecasted</t>
  </si>
  <si>
    <t>Table 3-30(a): Distribution Revenue 2013 Actual to 2014 Actual (Adjusted)</t>
  </si>
  <si>
    <t xml:space="preserve">Line No. </t>
  </si>
  <si>
    <t>Line No.</t>
  </si>
  <si>
    <t>Line No</t>
  </si>
  <si>
    <t>CHECK SB=O</t>
  </si>
  <si>
    <t>Caseware - 21.08.2016</t>
  </si>
  <si>
    <t>Reductions</t>
  </si>
  <si>
    <t>Weather</t>
  </si>
  <si>
    <t>Normalized</t>
  </si>
  <si>
    <t xml:space="preserve">Table 3-6: Residential Billed: Revised </t>
  </si>
  <si>
    <t>Table 3-8: General Service &gt; 50 to 999 kW Billed Revised</t>
  </si>
  <si>
    <t>Table 3-7: General Service &lt; 50 kW Billed Revised</t>
  </si>
  <si>
    <t>Table 3-15: Billed Energy Forecast (All Classes) Revised</t>
  </si>
  <si>
    <t>Table 3-18: 2013 Expected Savings for LRAM Variance Account Incl 2015</t>
  </si>
  <si>
    <t>RES</t>
  </si>
  <si>
    <t>GS50</t>
  </si>
  <si>
    <t>GS50-999</t>
  </si>
  <si>
    <t>GS1000-4999</t>
  </si>
  <si>
    <t>2011-2014</t>
  </si>
  <si>
    <t>2015-2017</t>
  </si>
  <si>
    <t>Table 3-16: CDM Full Year Results - no persistence included</t>
  </si>
  <si>
    <t>MATCHES RRWF</t>
  </si>
</sst>
</file>

<file path=xl/styles.xml><?xml version="1.0" encoding="utf-8"?>
<styleSheet xmlns="http://schemas.openxmlformats.org/spreadsheetml/2006/main" xmlns:mc="http://schemas.openxmlformats.org/markup-compatibility/2006" xmlns:x14ac="http://schemas.microsoft.com/office/spreadsheetml/2009/9/ac" mc:Ignorable="x14ac">
  <numFmts count="13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quot;$&quot;#,##0_);[Red]\(&quot;$&quot;#,##0\)"/>
    <numFmt numFmtId="166" formatCode="_(&quot;$&quot;* #,##0.00_);_(&quot;$&quot;* \(#,##0.00\);_(&quot;$&quot;* &quot;-&quot;??_);_(@_)"/>
    <numFmt numFmtId="167" formatCode="_(* #,##0.00_);_(* \(#,##0.00\);_(* &quot;-&quot;??_);_(@_)"/>
    <numFmt numFmtId="168" formatCode="0.0%"/>
    <numFmt numFmtId="169" formatCode="#,##0;\(#,##0\)"/>
    <numFmt numFmtId="170" formatCode="0.0000"/>
    <numFmt numFmtId="171" formatCode="#,##0.0000"/>
    <numFmt numFmtId="172" formatCode="0.0000%"/>
    <numFmt numFmtId="173" formatCode="#,##0.0"/>
    <numFmt numFmtId="174" formatCode="_(* #,##0_);_(* \(#,##0\);_(* &quot;-&quot;??_);_(@_)"/>
    <numFmt numFmtId="175" formatCode="0.0"/>
    <numFmt numFmtId="176" formatCode="_-* #,##0_-;\-* #,##0_-;_-* &quot;-&quot;??_-;_-@_-"/>
    <numFmt numFmtId="177" formatCode="#,##0.000;\-#,##0.000"/>
    <numFmt numFmtId="178" formatCode="#,##0.000"/>
    <numFmt numFmtId="179" formatCode="#,##0.00000"/>
    <numFmt numFmtId="180" formatCode="#,##0.000000"/>
    <numFmt numFmtId="181" formatCode="#,##0.0_);\(#,##0.0\)"/>
    <numFmt numFmtId="182" formatCode="&quot;$&quot;_(#,##0.00_);&quot;$&quot;\(#,##0.00\)"/>
    <numFmt numFmtId="183" formatCode="_(* #,##0.0_);_(* \(#,##0.0\);_(* &quot;-&quot;??_);_(@_)"/>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 #,##0_);[Red]\(\¥\ #,##0\)"/>
    <numFmt numFmtId="201" formatCode="0.000000"/>
    <numFmt numFmtId="202" formatCode="[&gt;1]&quot;10Q: &quot;0&quot; qtrs&quot;;&quot;10Q: &quot;0&quot; qtr&quot;"/>
    <numFmt numFmtId="203" formatCode="0.0%;[Red]\(0.0%\)"/>
    <numFmt numFmtId="204" formatCode="#,##0.0\ \ \ _);\(#,##0.0\)\ \ "/>
    <numFmt numFmtId="205" formatCode="#,##0.00;[Red]\(#,##0.00\)"/>
    <numFmt numFmtId="206" formatCode="_-* #,##0.00\ _F_-;\-* #,##0.00\ _F_-;_-* &quot;-&quot;??\ _F_-;_-@_-"/>
    <numFmt numFmtId="207" formatCode="m\-d\-yy"/>
    <numFmt numFmtId="208" formatCode="&quot;£&quot;#,##0.00_);[Red]\(&quot;£&quot;#,##0.00\)"/>
    <numFmt numFmtId="209" formatCode="0.0_)"/>
    <numFmt numFmtId="210" formatCode="m/yy"/>
    <numFmt numFmtId="211" formatCode="#,###.0#"/>
    <numFmt numFmtId="212" formatCode="#,###.#"/>
    <numFmt numFmtId="213" formatCode="&quot;$&quot;#,##0.00"/>
    <numFmt numFmtId="214" formatCode="0000\ \-\ 0000"/>
    <numFmt numFmtId="215" formatCode="[Red][&gt;0.0000001]\+#,##0.?#;[Red][&lt;-0.0000001]\-#,##0.?#;[Green]&quot;=  &quot;"/>
    <numFmt numFmtId="216" formatCode="#.#######\x"/>
    <numFmt numFmtId="217" formatCode="0.00000E+00"/>
    <numFmt numFmtId="218" formatCode="_(* #,##0.0_);_(* \(#,##0.0\);_(* &quot;-&quot;_);_(@_)"/>
    <numFmt numFmtId="219" formatCode="_-* #,##0.00\ _D_M_-;\-* #,##0.00\ _D_M_-;_-* &quot;-&quot;??\ _D_M_-;_-@_-"/>
    <numFmt numFmtId="220" formatCode="#,##0_%_);\(#,##0\)_%;#,##0_%_);@_%_)"/>
    <numFmt numFmtId="221" formatCode="#,##0.00_%_);\(#,##0.00\)_%;**;@_%_)"/>
    <numFmt numFmtId="222" formatCode="0.000\x"/>
    <numFmt numFmtId="223" formatCode="&quot;$&quot;#,##0.00_);[Red]\(&quot;$&quot;#,##0.00\);&quot;--  &quot;;_(@_)"/>
    <numFmt numFmtId="224" formatCode="_(&quot;$&quot;* #,##0.0_);_(&quot;$&quot;* \(#,##0.0\);_(&quot;$&quot;* &quot;-&quot;_);_(@_)"/>
    <numFmt numFmtId="225" formatCode="_(&quot;$&quot;* #,##0_);_(&quot;$&quot;* \(#,##0\);_(&quot;$&quot;* &quot;-&quot;??_);_(@_)"/>
    <numFmt numFmtId="226" formatCode="&quot;$&quot;#,##0.00_%_);\(&quot;$&quot;#,##0.00\)_%;**;@_%_)"/>
    <numFmt numFmtId="227" formatCode="&quot;$&quot;#,##0.00_%_);\(&quot;$&quot;#,##0.00\)_%;&quot;$&quot;###0.00_%_);@_%_)"/>
    <numFmt numFmtId="228" formatCode="_(\§\ #,##0.00_);[Red]\(\§\ #,##0.00\);&quot; - &quot;_0_0;_(@_)"/>
    <numFmt numFmtId="229" formatCode="###0.00_)"/>
    <numFmt numFmtId="230" formatCode="mmm\-dd\-yyyy"/>
    <numFmt numFmtId="231" formatCode="mmm\-d\-yyyy"/>
    <numFmt numFmtId="232" formatCode="mmm\-yyyy"/>
    <numFmt numFmtId="233" formatCode="m/d/yy_%_);;**"/>
    <numFmt numFmtId="234" formatCode="#,##0.0_);[Red]\(#,##0.0\)"/>
    <numFmt numFmtId="235" formatCode="_([$€-2]* #,##0.00_);_([$€-2]* \(#,##0.00\);_([$€-2]* &quot;-&quot;??_)"/>
    <numFmt numFmtId="236" formatCode="&quot;$&quot;#,##0.000_);[Red]\(&quot;$&quot;#,##0.000\)"/>
    <numFmt numFmtId="237" formatCode="0.00000000000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_);[Red]\(#,##0.0\);&quot;--  &quot;"/>
    <numFmt numFmtId="255" formatCode="0.00_)"/>
    <numFmt numFmtId="256" formatCode="#,##0.000_);[Red]\(#,##0.000\)"/>
    <numFmt numFmtId="257" formatCode="0_);\(0\)"/>
    <numFmt numFmtId="258" formatCode="#,##0.00&quot;x&quot;_);[Red]\(#,##0.00&quot;x&quot;\)"/>
    <numFmt numFmtId="259" formatCode="#,##0_);\(#,##0\);&quot;-  &quot;"/>
    <numFmt numFmtId="260" formatCode="#,##0.0_);\(#,##0.0\);&quot;-  &quot;"/>
    <numFmt numFmtId="261" formatCode="#,##0.0_);\(#,##0.0\);\-_)"/>
    <numFmt numFmtId="262" formatCode="0.00000000"/>
    <numFmt numFmtId="263" formatCode="#,##0.0%_);[Red]\(#,##0.0%\)"/>
    <numFmt numFmtId="264" formatCode="#,##0.00%_);[Red]\(#,##0.00%\)"/>
    <numFmt numFmtId="265" formatCode="0.0%_);\(0.0%\);&quot;-  &quot;"/>
    <numFmt numFmtId="266" formatCode="#,##0.0\%_);\(#,##0.0\%\);#,##0.0\%_);@_%_)"/>
    <numFmt numFmtId="267" formatCode="mm/dd/yy"/>
    <numFmt numFmtId="268" formatCode="0.00\ ;\-0.00\ ;&quot;- &quot;"/>
    <numFmt numFmtId="269" formatCode="#,##0\ ;[Red]\(#,##0\);\ \-\ "/>
    <numFmt numFmtId="270" formatCode="#,##0.00_);\(#,##0.00\);#,##0.00_);@_)"/>
    <numFmt numFmtId="271" formatCode="[White]General"/>
    <numFmt numFmtId="272" formatCode="#,###.##"/>
    <numFmt numFmtId="273" formatCode="&quot;$&quot;#,##0.000000_);[Red]\(&quot;$&quot;#,##0.000000\)"/>
    <numFmt numFmtId="274" formatCode="&quot;Table &quot;0"/>
    <numFmt numFmtId="275" formatCode="_(General_)"/>
    <numFmt numFmtId="276" formatCode="0.00\ "/>
    <numFmt numFmtId="277" formatCode="_-&quot;L.&quot;\ * #,##0.00_-;\-&quot;L.&quot;\ * #,##0.00_-;_-&quot;L.&quot;\ * &quot;-&quot;??_-;_-@_-"/>
    <numFmt numFmtId="278" formatCode="0_%_);\(0\)_%;0_%_);@_%_)"/>
    <numFmt numFmtId="279" formatCode="0,000\x"/>
    <numFmt numFmtId="280" formatCode="yyyy&quot;A&quot;"/>
    <numFmt numFmtId="281" formatCode="_-* #,##0\ _D_M_-;\-* #,##0\ _D_M_-;_-* &quot;-&quot;\ _D_M_-;_-@_-"/>
    <numFmt numFmtId="282" formatCode="&quot;@ &quot;0.00"/>
    <numFmt numFmtId="283" formatCode="&quot;Yes&quot;_%_);&quot;Error&quot;_%_);&quot;No&quot;_%_);&quot;--&quot;_%_)"/>
    <numFmt numFmtId="284" formatCode="[$-1009]d\-mmm\-yy;@"/>
    <numFmt numFmtId="285" formatCode="#,##0.00;\(#,##0.00\)"/>
    <numFmt numFmtId="286" formatCode="0.0%;\(0.0%\)"/>
    <numFmt numFmtId="287" formatCode="0.0;\(0.0\)"/>
    <numFmt numFmtId="288" formatCode="#,##0.0;\(#,##0.0\)"/>
    <numFmt numFmtId="289" formatCode="0.0000%;\(0.0%\)"/>
    <numFmt numFmtId="290" formatCode="0.000"/>
    <numFmt numFmtId="291" formatCode="&quot;$&quot;#,##0"/>
    <numFmt numFmtId="292" formatCode="#,000;\(#,000\)"/>
    <numFmt numFmtId="293" formatCode="_-&quot;$&quot;* #,##0_-;\-&quot;$&quot;* #,##0_-;_-&quot;$&quot;* &quot;-&quot;??_-;_-@_-"/>
    <numFmt numFmtId="294" formatCode="_(&quot;$&quot;* #,##0\);_ \(&quot;$&quot;#,##0\);_(&quot;$&quot;* &quot;-&quot;??_);_(@_)"/>
  </numFmts>
  <fonts count="196">
    <font>
      <sz val="10"/>
      <name val="Arial"/>
    </font>
    <font>
      <sz val="11"/>
      <color theme="1"/>
      <name val="Calibri"/>
      <family val="2"/>
      <scheme val="minor"/>
    </font>
    <font>
      <sz val="11"/>
      <color indexed="8"/>
      <name val="Calibri"/>
      <family val="2"/>
    </font>
    <font>
      <sz val="10"/>
      <name val="Arial"/>
      <family val="2"/>
    </font>
    <font>
      <sz val="10"/>
      <name val="Arial"/>
      <family val="2"/>
    </font>
    <font>
      <u/>
      <sz val="10"/>
      <name val="Arial"/>
      <family val="2"/>
    </font>
    <font>
      <b/>
      <sz val="10"/>
      <name val="Arial"/>
      <family val="2"/>
    </font>
    <font>
      <b/>
      <sz val="12"/>
      <name val="Arial"/>
      <family val="2"/>
    </font>
    <font>
      <i/>
      <sz val="10"/>
      <name val="Arial"/>
      <family val="2"/>
    </font>
    <font>
      <sz val="8"/>
      <name val="Arial"/>
      <family val="2"/>
    </font>
    <font>
      <sz val="10"/>
      <name val="Times New Roman"/>
      <family val="1"/>
    </font>
    <font>
      <sz val="11"/>
      <name val="Arial"/>
      <family val="2"/>
    </font>
    <font>
      <sz val="12"/>
      <name val="Arial"/>
      <family val="2"/>
    </font>
    <font>
      <i/>
      <sz val="8"/>
      <name val="Arial"/>
      <family val="2"/>
    </font>
    <font>
      <b/>
      <u/>
      <sz val="8"/>
      <name val="Arial"/>
      <family val="2"/>
    </font>
    <font>
      <b/>
      <sz val="8"/>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4"/>
      <color theme="1"/>
      <name val="Arial"/>
      <family val="2"/>
    </font>
    <font>
      <sz val="11"/>
      <color theme="1"/>
      <name val="Arial"/>
      <family val="2"/>
    </font>
    <font>
      <b/>
      <sz val="11"/>
      <color theme="1"/>
      <name val="Arial"/>
      <family val="2"/>
    </font>
    <font>
      <b/>
      <sz val="14"/>
      <color theme="1"/>
      <name val="Arial"/>
      <family val="2"/>
    </font>
    <font>
      <sz val="12"/>
      <color theme="1"/>
      <name val="Arial"/>
      <family val="2"/>
    </font>
    <font>
      <b/>
      <sz val="10"/>
      <color theme="1"/>
      <name val="Arial"/>
      <family val="2"/>
    </font>
    <font>
      <sz val="10"/>
      <color rgb="FFFA7D00"/>
      <name val="Arial"/>
      <family val="2"/>
    </font>
    <font>
      <b/>
      <sz val="14"/>
      <name val="Arial"/>
      <family val="2"/>
    </font>
    <font>
      <b/>
      <sz val="11"/>
      <color theme="0"/>
      <name val="Arial"/>
      <family val="2"/>
    </font>
    <font>
      <sz val="10"/>
      <color theme="1"/>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Frutiger 45 Light"/>
      <family val="2"/>
    </font>
    <font>
      <sz val="12"/>
      <name val="Times New Roman"/>
      <family val="1"/>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b/>
      <sz val="11"/>
      <color indexed="9"/>
      <name val="Calibri"/>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2"/>
      <name val="Goudy Old Style"/>
      <family val="1"/>
    </font>
    <font>
      <sz val="10"/>
      <name val="Verdana"/>
      <family val="2"/>
    </font>
    <font>
      <sz val="12"/>
      <color indexed="8"/>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10"/>
      <color indexed="8"/>
      <name val="Arial"/>
      <family val="2"/>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indexed="23"/>
      <name val="Calibri"/>
      <family val="2"/>
    </font>
    <font>
      <i/>
      <sz val="11"/>
      <color rgb="FF7F7F7F"/>
      <name val="Arial"/>
      <family val="2"/>
    </font>
    <font>
      <sz val="14"/>
      <color indexed="32"/>
      <name val="Times New Roman"/>
      <family val="1"/>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9.35"/>
      <color theme="10"/>
      <name val="Calibri"/>
      <family val="2"/>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sz val="11"/>
      <color indexed="62"/>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indexed="52"/>
      <name val="Calibri"/>
      <family val="2"/>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5"/>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2"/>
      <color theme="1"/>
      <name val="Calibri"/>
      <family val="2"/>
    </font>
    <font>
      <u/>
      <sz val="8"/>
      <color indexed="8"/>
      <name val="Arial"/>
      <family val="2"/>
    </font>
    <font>
      <sz val="16"/>
      <name val="WarburgLogo"/>
      <family val="1"/>
    </font>
    <font>
      <sz val="11"/>
      <color indexed="10"/>
      <name val="Calibri"/>
      <family val="2"/>
    </font>
    <font>
      <sz val="11"/>
      <color rgb="FFFF0000"/>
      <name val="Arial"/>
      <family val="2"/>
    </font>
    <font>
      <sz val="8"/>
      <color indexed="12"/>
      <name val="Times New Roman"/>
      <family val="1"/>
    </font>
    <font>
      <sz val="9"/>
      <color indexed="81"/>
      <name val="Tahoma"/>
      <family val="2"/>
    </font>
    <font>
      <b/>
      <sz val="9"/>
      <color indexed="81"/>
      <name val="Tahoma"/>
      <family val="2"/>
    </font>
    <font>
      <sz val="10"/>
      <color indexed="58"/>
      <name val="Arial"/>
      <family val="2"/>
    </font>
    <font>
      <b/>
      <sz val="9"/>
      <name val="Arial"/>
      <family val="2"/>
    </font>
    <font>
      <sz val="9"/>
      <color rgb="FFFF0000"/>
      <name val="Arial"/>
      <family val="2"/>
    </font>
    <font>
      <sz val="10"/>
      <name val="Arial"/>
      <family val="2"/>
    </font>
    <font>
      <b/>
      <sz val="10"/>
      <color indexed="58"/>
      <name val="Arial"/>
      <family val="2"/>
    </font>
    <font>
      <sz val="11"/>
      <name val="Calibri"/>
      <family val="2"/>
      <scheme val="minor"/>
    </font>
    <font>
      <sz val="10"/>
      <name val="Arial"/>
      <family val="2"/>
    </font>
  </fonts>
  <fills count="95">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26"/>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3" tint="0.59999389629810485"/>
        <bgColor indexed="64"/>
      </patternFill>
    </fill>
    <fill>
      <patternFill patternType="solid">
        <fgColor rgb="FF00B0F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59999389629810485"/>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style="thin">
        <color indexed="64"/>
      </top>
      <bottom style="thin">
        <color indexed="64"/>
      </bottom>
      <diagonal/>
    </border>
    <border>
      <left/>
      <right/>
      <top style="thin">
        <color indexed="64"/>
      </top>
      <bottom style="double">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hair">
        <color indexed="64"/>
      </left>
      <right style="hair">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s>
  <cellStyleXfs count="4525">
    <xf numFmtId="0" fontId="0" fillId="0" borderId="0"/>
    <xf numFmtId="167" fontId="3"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0" fillId="0" borderId="0" applyFont="0" applyFill="0" applyBorder="0" applyAlignment="0" applyProtection="0"/>
    <xf numFmtId="167" fontId="2" fillId="0" borderId="0" applyFont="0" applyFill="0" applyBorder="0" applyAlignment="0" applyProtection="0"/>
    <xf numFmtId="167" fontId="10" fillId="0" borderId="0" applyFont="0" applyFill="0" applyBorder="0" applyAlignment="0" applyProtection="0"/>
    <xf numFmtId="167" fontId="3" fillId="0" borderId="0" applyFont="0" applyFill="0" applyBorder="0" applyAlignment="0" applyProtection="0"/>
    <xf numFmtId="43" fontId="3" fillId="0" borderId="0" applyFont="0" applyFill="0" applyBorder="0" applyAlignment="0" applyProtection="0"/>
    <xf numFmtId="167" fontId="3" fillId="0" borderId="0" applyFont="0" applyFill="0" applyBorder="0" applyAlignment="0" applyProtection="0"/>
    <xf numFmtId="3" fontId="3" fillId="0" borderId="0" applyFont="0" applyFill="0" applyBorder="0" applyAlignment="0" applyProtection="0"/>
    <xf numFmtId="166" fontId="2" fillId="0" borderId="0" applyFont="0" applyFill="0" applyBorder="0" applyAlignment="0" applyProtection="0"/>
    <xf numFmtId="164" fontId="3" fillId="0" borderId="0" applyFont="0" applyFill="0" applyBorder="0" applyAlignment="0" applyProtection="0"/>
    <xf numFmtId="14" fontId="3" fillId="0" borderId="0" applyFont="0" applyFill="0" applyBorder="0" applyAlignment="0" applyProtection="0"/>
    <xf numFmtId="2" fontId="3" fillId="0" borderId="0" applyFont="0" applyFill="0" applyBorder="0" applyAlignment="0" applyProtection="0"/>
    <xf numFmtId="0" fontId="10" fillId="0" borderId="0"/>
    <xf numFmtId="0" fontId="3" fillId="0" borderId="0"/>
    <xf numFmtId="0" fontId="16" fillId="0" borderId="0"/>
    <xf numFmtId="0" fontId="10" fillId="0" borderId="0"/>
    <xf numFmtId="0" fontId="3" fillId="0" borderId="0"/>
    <xf numFmtId="0" fontId="10" fillId="0" borderId="0"/>
    <xf numFmtId="9" fontId="3" fillId="0" borderId="0" applyFont="0" applyFill="0" applyBorder="0" applyAlignment="0" applyProtection="0"/>
    <xf numFmtId="9" fontId="10" fillId="0" borderId="0" applyFont="0" applyFill="0" applyBorder="0" applyAlignment="0" applyProtection="0"/>
    <xf numFmtId="0" fontId="1" fillId="22" borderId="0" applyNumberFormat="0" applyBorder="0" applyAlignment="0" applyProtection="0"/>
    <xf numFmtId="0" fontId="1" fillId="0" borderId="0"/>
    <xf numFmtId="0" fontId="26" fillId="0" borderId="18" applyNumberFormat="0" applyFill="0" applyAlignment="0" applyProtection="0"/>
    <xf numFmtId="9" fontId="1" fillId="0" borderId="0" applyFont="0" applyFill="0" applyBorder="0" applyAlignment="0" applyProtection="0"/>
    <xf numFmtId="9" fontId="42" fillId="0" borderId="0">
      <alignment horizontal="right"/>
    </xf>
    <xf numFmtId="5" fontId="43" fillId="0" borderId="0" applyFont="0" applyFill="0" applyBorder="0" applyAlignment="0" applyProtection="0"/>
    <xf numFmtId="8" fontId="43" fillId="0" borderId="0" applyFont="0" applyFill="0" applyBorder="0" applyAlignment="0" applyProtection="0"/>
    <xf numFmtId="9" fontId="43" fillId="0" borderId="0" applyFont="0" applyFill="0" applyBorder="0" applyAlignment="0" applyProtection="0"/>
    <xf numFmtId="10" fontId="43" fillId="0" borderId="0" applyFont="0" applyFill="0" applyBorder="0" applyAlignment="0" applyProtection="0"/>
    <xf numFmtId="0" fontId="3" fillId="40" borderId="37" applyNumberFormat="0">
      <alignment horizontal="centerContinuous" vertical="center" wrapText="1"/>
    </xf>
    <xf numFmtId="0" fontId="3" fillId="40" borderId="37" applyNumberFormat="0">
      <alignment horizontal="centerContinuous" vertical="center" wrapText="1"/>
    </xf>
    <xf numFmtId="0" fontId="3" fillId="40" borderId="37" applyNumberFormat="0">
      <alignment horizontal="centerContinuous" vertical="center" wrapText="1"/>
    </xf>
    <xf numFmtId="0" fontId="3" fillId="41" borderId="37" applyNumberFormat="0">
      <alignment horizontal="left" vertical="center"/>
    </xf>
    <xf numFmtId="0" fontId="3" fillId="41" borderId="37" applyNumberFormat="0">
      <alignment horizontal="left" vertical="center"/>
    </xf>
    <xf numFmtId="0" fontId="3" fillId="41" borderId="37" applyNumberFormat="0">
      <alignment horizontal="left" vertical="center"/>
    </xf>
    <xf numFmtId="43" fontId="44" fillId="0" borderId="0" applyFont="0" applyFill="0" applyBorder="0" applyAlignment="0" applyProtection="0"/>
    <xf numFmtId="0" fontId="3" fillId="0" borderId="0"/>
    <xf numFmtId="0" fontId="3" fillId="0" borderId="0" applyFont="0" applyFill="0" applyBorder="0" applyAlignment="0" applyProtection="0"/>
    <xf numFmtId="181" fontId="3" fillId="0" borderId="0" applyFont="0" applyFill="0" applyBorder="0" applyAlignment="0" applyProtection="0"/>
    <xf numFmtId="0" fontId="45" fillId="0" borderId="0"/>
    <xf numFmtId="0" fontId="46"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4" fontId="10" fillId="0" borderId="0" applyFont="0" applyFill="0" applyBorder="0" applyAlignment="0" applyProtection="0"/>
    <xf numFmtId="185" fontId="10" fillId="0" borderId="0" applyFont="0" applyFill="0" applyBorder="0" applyAlignment="0" applyProtection="0"/>
    <xf numFmtId="39" fontId="3" fillId="0" borderId="0" applyFont="0" applyFill="0" applyBorder="0" applyAlignment="0" applyProtection="0"/>
    <xf numFmtId="0" fontId="45" fillId="0" borderId="0"/>
    <xf numFmtId="0" fontId="3" fillId="0" borderId="0">
      <alignment vertical="top"/>
    </xf>
    <xf numFmtId="9" fontId="46" fillId="0" borderId="0">
      <alignment horizontal="right"/>
    </xf>
    <xf numFmtId="0" fontId="47" fillId="0" borderId="0" applyNumberFormat="0" applyFill="0">
      <alignment horizontal="left" vertical="center" wrapText="1"/>
    </xf>
    <xf numFmtId="186" fontId="3" fillId="0" borderId="0" applyFont="0" applyFill="0" applyBorder="0" applyAlignment="0" applyProtection="0"/>
    <xf numFmtId="187" fontId="10" fillId="0" borderId="0" applyFont="0" applyFill="0" applyBorder="0" applyAlignment="0" applyProtection="0"/>
    <xf numFmtId="188" fontId="10" fillId="0" borderId="0" applyFont="0" applyFill="0" applyBorder="0" applyAlignment="0" applyProtection="0"/>
    <xf numFmtId="189" fontId="10" fillId="0" borderId="0" applyFont="0" applyFill="0" applyBorder="0" applyAlignment="0" applyProtection="0"/>
    <xf numFmtId="190" fontId="10" fillId="0" borderId="0" applyFont="0" applyFill="0" applyBorder="0" applyAlignment="0" applyProtection="0"/>
    <xf numFmtId="191" fontId="3" fillId="0" borderId="0" applyFont="0" applyFill="0" applyBorder="0" applyAlignment="0" applyProtection="0"/>
    <xf numFmtId="192" fontId="3" fillId="0" borderId="0" applyFont="0" applyFill="0" applyBorder="0" applyAlignment="0" applyProtection="0"/>
    <xf numFmtId="193" fontId="3" fillId="0" borderId="0" applyFont="0" applyFill="0" applyBorder="0" applyProtection="0">
      <alignment horizontal="right"/>
    </xf>
    <xf numFmtId="194" fontId="10" fillId="0" borderId="0" applyFont="0" applyFill="0" applyBorder="0" applyAlignment="0" applyProtection="0"/>
    <xf numFmtId="41" fontId="10" fillId="0" borderId="0" applyFont="0" applyFill="0" applyBorder="0" applyAlignment="0" applyProtection="0"/>
    <xf numFmtId="195" fontId="3" fillId="0" borderId="0" applyFont="0" applyFill="0" applyBorder="0" applyAlignment="0" applyProtection="0"/>
    <xf numFmtId="170" fontId="3" fillId="0" borderId="0" applyFont="0" applyFill="0" applyBorder="0" applyAlignment="0" applyProtection="0"/>
    <xf numFmtId="196" fontId="10" fillId="0" borderId="0" applyFont="0" applyFill="0" applyBorder="0" applyAlignment="0" applyProtection="0"/>
    <xf numFmtId="196" fontId="3" fillId="0" borderId="0" applyFont="0" applyFill="0" applyBorder="0" applyAlignment="0" applyProtection="0"/>
    <xf numFmtId="197" fontId="3" fillId="0" borderId="0" applyFont="0" applyFill="0" applyBorder="0" applyAlignment="0" applyProtection="0"/>
    <xf numFmtId="198" fontId="3" fillId="0" borderId="0" applyFont="0" applyFill="0" applyBorder="0" applyAlignment="0" applyProtection="0"/>
    <xf numFmtId="199" fontId="3" fillId="0" borderId="0" applyFont="0" applyFill="0" applyBorder="0" applyAlignment="0" applyProtection="0"/>
    <xf numFmtId="0" fontId="3" fillId="0" borderId="0"/>
    <xf numFmtId="0" fontId="3" fillId="0" borderId="0"/>
    <xf numFmtId="0" fontId="48" fillId="0" borderId="0" applyFont="0" applyFill="0" applyBorder="0" applyAlignment="0" applyProtection="0"/>
    <xf numFmtId="200" fontId="48" fillId="0" borderId="0" applyFont="0" applyFill="0" applyBorder="0" applyAlignment="0" applyProtection="0"/>
    <xf numFmtId="0" fontId="10" fillId="0" borderId="0" applyNumberFormat="0" applyFill="0" applyBorder="0" applyAlignment="0" applyProtection="0"/>
    <xf numFmtId="201" fontId="47" fillId="0" borderId="0" applyNumberFormat="0" applyFill="0">
      <alignment horizontal="left" vertical="center" wrapText="1"/>
    </xf>
    <xf numFmtId="0" fontId="47" fillId="42" borderId="0" applyFont="0" applyFill="0" applyProtection="0"/>
    <xf numFmtId="181" fontId="3" fillId="0" borderId="0"/>
    <xf numFmtId="202" fontId="15" fillId="0" borderId="0" applyFill="0" applyBorder="0" applyAlignment="0" applyProtection="0">
      <alignment horizontal="right"/>
    </xf>
    <xf numFmtId="0" fontId="2" fillId="43" borderId="0" applyNumberFormat="0" applyBorder="0" applyAlignment="0" applyProtection="0"/>
    <xf numFmtId="0" fontId="1" fillId="13" borderId="0" applyNumberFormat="0" applyBorder="0" applyAlignment="0" applyProtection="0"/>
    <xf numFmtId="0" fontId="3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3" fillId="13" borderId="0" applyNumberFormat="0" applyBorder="0" applyAlignment="0" applyProtection="0"/>
    <xf numFmtId="0" fontId="1"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49"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 fillId="44" borderId="0" applyNumberFormat="0" applyBorder="0" applyAlignment="0" applyProtection="0"/>
    <xf numFmtId="0" fontId="1" fillId="17" borderId="0" applyNumberFormat="0" applyBorder="0" applyAlignment="0" applyProtection="0"/>
    <xf numFmtId="0" fontId="3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3" fillId="17" borderId="0" applyNumberFormat="0" applyBorder="0" applyAlignment="0" applyProtection="0"/>
    <xf numFmtId="0" fontId="1"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49"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 fillId="45" borderId="0" applyNumberFormat="0" applyBorder="0" applyAlignment="0" applyProtection="0"/>
    <xf numFmtId="0" fontId="1" fillId="21" borderId="0" applyNumberFormat="0" applyBorder="0" applyAlignment="0" applyProtection="0"/>
    <xf numFmtId="0" fontId="3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3" fillId="21" borderId="0" applyNumberFormat="0" applyBorder="0" applyAlignment="0" applyProtection="0"/>
    <xf numFmtId="0" fontId="1"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49"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2" fillId="46" borderId="0" applyNumberFormat="0" applyBorder="0" applyAlignment="0" applyProtection="0"/>
    <xf numFmtId="0" fontId="1" fillId="25" borderId="0" applyNumberFormat="0" applyBorder="0" applyAlignment="0" applyProtection="0"/>
    <xf numFmtId="0" fontId="3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3" fillId="25" borderId="0" applyNumberFormat="0" applyBorder="0" applyAlignment="0" applyProtection="0"/>
    <xf numFmtId="0" fontId="1"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49"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2" fillId="47" borderId="0" applyNumberFormat="0" applyBorder="0" applyAlignment="0" applyProtection="0"/>
    <xf numFmtId="0" fontId="1" fillId="29" borderId="0" applyNumberFormat="0" applyBorder="0" applyAlignment="0" applyProtection="0"/>
    <xf numFmtId="0" fontId="3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3" fillId="29" borderId="0" applyNumberFormat="0" applyBorder="0" applyAlignment="0" applyProtection="0"/>
    <xf numFmtId="0" fontId="1"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49"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2" fillId="48" borderId="0" applyNumberFormat="0" applyBorder="0" applyAlignment="0" applyProtection="0"/>
    <xf numFmtId="0" fontId="1" fillId="33" borderId="0" applyNumberFormat="0" applyBorder="0" applyAlignment="0" applyProtection="0"/>
    <xf numFmtId="0" fontId="3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3" fillId="33" borderId="0" applyNumberFormat="0" applyBorder="0" applyAlignment="0" applyProtection="0"/>
    <xf numFmtId="0" fontId="1"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49"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 fillId="49" borderId="0" applyNumberFormat="0" applyBorder="0" applyAlignment="0" applyProtection="0"/>
    <xf numFmtId="0" fontId="1" fillId="14" borderId="0" applyNumberFormat="0" applyBorder="0" applyAlignment="0" applyProtection="0"/>
    <xf numFmtId="0" fontId="33"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3" fillId="14" borderId="0" applyNumberFormat="0" applyBorder="0" applyAlignment="0" applyProtection="0"/>
    <xf numFmtId="0" fontId="1"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49"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 fillId="50" borderId="0" applyNumberFormat="0" applyBorder="0" applyAlignment="0" applyProtection="0"/>
    <xf numFmtId="0" fontId="1" fillId="18" borderId="0" applyNumberFormat="0" applyBorder="0" applyAlignment="0" applyProtection="0"/>
    <xf numFmtId="0" fontId="33"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3" fillId="18" borderId="0" applyNumberFormat="0" applyBorder="0" applyAlignment="0" applyProtection="0"/>
    <xf numFmtId="0" fontId="1"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49"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 fillId="51" borderId="0" applyNumberFormat="0" applyBorder="0" applyAlignment="0" applyProtection="0"/>
    <xf numFmtId="0" fontId="1" fillId="22" borderId="0" applyNumberFormat="0" applyBorder="0" applyAlignment="0" applyProtection="0"/>
    <xf numFmtId="0" fontId="33"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3" fillId="22" borderId="0" applyNumberFormat="0" applyBorder="0" applyAlignment="0" applyProtection="0"/>
    <xf numFmtId="0" fontId="1"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49"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 fillId="46" borderId="0" applyNumberFormat="0" applyBorder="0" applyAlignment="0" applyProtection="0"/>
    <xf numFmtId="0" fontId="1" fillId="26" borderId="0" applyNumberFormat="0" applyBorder="0" applyAlignment="0" applyProtection="0"/>
    <xf numFmtId="0" fontId="33"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3" fillId="26" borderId="0" applyNumberFormat="0" applyBorder="0" applyAlignment="0" applyProtection="0"/>
    <xf numFmtId="0" fontId="1"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49"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 fillId="49" borderId="0" applyNumberFormat="0" applyBorder="0" applyAlignment="0" applyProtection="0"/>
    <xf numFmtId="0" fontId="1" fillId="30" borderId="0" applyNumberFormat="0" applyBorder="0" applyAlignment="0" applyProtection="0"/>
    <xf numFmtId="0" fontId="33"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3" fillId="30" borderId="0" applyNumberFormat="0" applyBorder="0" applyAlignment="0" applyProtection="0"/>
    <xf numFmtId="0" fontId="1"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49"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 fillId="52" borderId="0" applyNumberFormat="0" applyBorder="0" applyAlignment="0" applyProtection="0"/>
    <xf numFmtId="0" fontId="1" fillId="34" borderId="0" applyNumberFormat="0" applyBorder="0" applyAlignment="0" applyProtection="0"/>
    <xf numFmtId="0" fontId="33"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33" fillId="34" borderId="0" applyNumberFormat="0" applyBorder="0" applyAlignment="0" applyProtection="0"/>
    <xf numFmtId="0" fontId="1"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49"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0" fillId="53"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31" fillId="15" borderId="0" applyNumberFormat="0" applyBorder="0" applyAlignment="0" applyProtection="0"/>
    <xf numFmtId="0" fontId="50" fillId="50"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31" fillId="19" borderId="0" applyNumberFormat="0" applyBorder="0" applyAlignment="0" applyProtection="0"/>
    <xf numFmtId="0" fontId="50" fillId="51"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31" fillId="23" borderId="0" applyNumberFormat="0" applyBorder="0" applyAlignment="0" applyProtection="0"/>
    <xf numFmtId="0" fontId="50" fillId="54"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31" fillId="27" borderId="0" applyNumberFormat="0" applyBorder="0" applyAlignment="0" applyProtection="0"/>
    <xf numFmtId="0" fontId="50" fillId="55"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31" fillId="31" borderId="0" applyNumberFormat="0" applyBorder="0" applyAlignment="0" applyProtection="0"/>
    <xf numFmtId="0" fontId="50" fillId="56"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31" fillId="35" borderId="0" applyNumberFormat="0" applyBorder="0" applyAlignment="0" applyProtection="0"/>
    <xf numFmtId="203" fontId="3" fillId="0" borderId="38">
      <alignment horizontal="right"/>
    </xf>
    <xf numFmtId="0" fontId="50" fillId="57"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31" fillId="12" borderId="0" applyNumberFormat="0" applyBorder="0" applyAlignment="0" applyProtection="0"/>
    <xf numFmtId="0" fontId="50" fillId="58"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31" fillId="16" borderId="0" applyNumberFormat="0" applyBorder="0" applyAlignment="0" applyProtection="0"/>
    <xf numFmtId="0" fontId="50" fillId="59"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31" fillId="20" borderId="0" applyNumberFormat="0" applyBorder="0" applyAlignment="0" applyProtection="0"/>
    <xf numFmtId="0" fontId="50" fillId="5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31" fillId="24" borderId="0" applyNumberFormat="0" applyBorder="0" applyAlignment="0" applyProtection="0"/>
    <xf numFmtId="0" fontId="50" fillId="55"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31" fillId="28" borderId="0" applyNumberFormat="0" applyBorder="0" applyAlignment="0" applyProtection="0"/>
    <xf numFmtId="0" fontId="50" fillId="60"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31" fillId="32" borderId="0" applyNumberFormat="0" applyBorder="0" applyAlignment="0" applyProtection="0"/>
    <xf numFmtId="42" fontId="52" fillId="0" borderId="0" applyFont="0"/>
    <xf numFmtId="42" fontId="52" fillId="0" borderId="29" applyFont="0"/>
    <xf numFmtId="41" fontId="52" fillId="0" borderId="0" applyFont="0"/>
    <xf numFmtId="204" fontId="53" fillId="0" borderId="38">
      <alignment horizontal="right"/>
    </xf>
    <xf numFmtId="204" fontId="53" fillId="0" borderId="38" applyFill="0">
      <alignment horizontal="right"/>
    </xf>
    <xf numFmtId="205" fontId="3" fillId="0" borderId="38">
      <alignment horizontal="right"/>
    </xf>
    <xf numFmtId="3" fontId="3" fillId="0" borderId="38" applyFill="0">
      <alignment horizontal="right"/>
    </xf>
    <xf numFmtId="206" fontId="53" fillId="0" borderId="38" applyFill="0">
      <alignment horizontal="right"/>
    </xf>
    <xf numFmtId="3" fontId="54" fillId="0" borderId="38" applyFill="0">
      <alignment horizontal="right"/>
    </xf>
    <xf numFmtId="207" fontId="6" fillId="61" borderId="39">
      <alignment horizontal="center" vertical="center"/>
    </xf>
    <xf numFmtId="0" fontId="3" fillId="0" borderId="0"/>
    <xf numFmtId="181" fontId="55" fillId="0" borderId="0"/>
    <xf numFmtId="0" fontId="3" fillId="0" borderId="0"/>
    <xf numFmtId="208" fontId="3" fillId="0" borderId="38">
      <alignment horizontal="right"/>
      <protection locked="0"/>
    </xf>
    <xf numFmtId="6" fontId="53" fillId="0" borderId="38" applyNumberFormat="0" applyFont="0" applyBorder="0" applyProtection="0">
      <alignment horizontal="right"/>
    </xf>
    <xf numFmtId="209" fontId="56" fillId="62" borderId="40"/>
    <xf numFmtId="209" fontId="56" fillId="62" borderId="40"/>
    <xf numFmtId="209" fontId="56" fillId="62" borderId="40"/>
    <xf numFmtId="0" fontId="3" fillId="0" borderId="0" applyNumberFormat="0" applyFill="0" applyBorder="0" applyAlignment="0" applyProtection="0"/>
    <xf numFmtId="0" fontId="12" fillId="0" borderId="0" applyNumberFormat="0" applyFill="0" applyBorder="0" applyAlignment="0" applyProtection="0"/>
    <xf numFmtId="0" fontId="57" fillId="0" borderId="0"/>
    <xf numFmtId="0" fontId="58" fillId="44"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21" fillId="6" borderId="0" applyNumberFormat="0" applyBorder="0" applyAlignment="0" applyProtection="0"/>
    <xf numFmtId="1" fontId="60" fillId="63" borderId="34" applyNumberFormat="0" applyBorder="0" applyAlignment="0">
      <alignment horizontal="center" vertical="top" wrapText="1"/>
      <protection hidden="1"/>
    </xf>
    <xf numFmtId="0" fontId="61" fillId="64" borderId="0"/>
    <xf numFmtId="0" fontId="62" fillId="0" borderId="0" applyAlignment="0"/>
    <xf numFmtId="0" fontId="63" fillId="0" borderId="5" applyNumberFormat="0" applyFill="0" applyAlignment="0" applyProtection="0"/>
    <xf numFmtId="0" fontId="54" fillId="0" borderId="2" applyNumberFormat="0" applyFont="0" applyFill="0" applyAlignment="0" applyProtection="0"/>
    <xf numFmtId="0" fontId="64" fillId="0" borderId="41" applyNumberFormat="0" applyFont="0" applyFill="0" applyAlignment="0" applyProtection="0">
      <alignment horizontal="centerContinuous"/>
    </xf>
    <xf numFmtId="0" fontId="43" fillId="0" borderId="5" applyNumberFormat="0" applyFont="0" applyFill="0" applyAlignment="0" applyProtection="0"/>
    <xf numFmtId="0" fontId="43" fillId="0" borderId="34" applyNumberFormat="0" applyFont="0" applyFill="0" applyAlignment="0" applyProtection="0"/>
    <xf numFmtId="0" fontId="43" fillId="0" borderId="9" applyNumberFormat="0" applyFont="0" applyFill="0" applyAlignment="0" applyProtection="0"/>
    <xf numFmtId="0" fontId="43" fillId="0" borderId="12" applyNumberFormat="0" applyFont="0" applyFill="0" applyAlignment="0" applyProtection="0"/>
    <xf numFmtId="0" fontId="43" fillId="0" borderId="12" applyNumberFormat="0" applyFont="0" applyFill="0" applyAlignment="0" applyProtection="0"/>
    <xf numFmtId="0" fontId="43" fillId="0" borderId="12" applyNumberFormat="0" applyFont="0" applyFill="0" applyAlignment="0" applyProtection="0"/>
    <xf numFmtId="210" fontId="3" fillId="0" borderId="0" applyFont="0" applyFill="0" applyBorder="0" applyAlignment="0" applyProtection="0"/>
    <xf numFmtId="0" fontId="10" fillId="0" borderId="0">
      <alignment horizontal="right"/>
    </xf>
    <xf numFmtId="0" fontId="48" fillId="0" borderId="0" applyFont="0" applyFill="0" applyBorder="0" applyAlignment="0" applyProtection="0"/>
    <xf numFmtId="211" fontId="10" fillId="0" borderId="0" applyFill="0" applyBorder="0" applyAlignment="0"/>
    <xf numFmtId="212" fontId="10" fillId="0" borderId="0" applyFill="0" applyBorder="0" applyAlignment="0"/>
    <xf numFmtId="213" fontId="10" fillId="0" borderId="0" applyFill="0" applyBorder="0" applyAlignment="0"/>
    <xf numFmtId="214" fontId="10" fillId="0" borderId="0" applyFill="0" applyBorder="0" applyAlignment="0"/>
    <xf numFmtId="213" fontId="3" fillId="0" borderId="0" applyFill="0" applyBorder="0" applyAlignment="0"/>
    <xf numFmtId="211" fontId="10" fillId="0" borderId="0" applyFill="0" applyBorder="0" applyAlignment="0"/>
    <xf numFmtId="214" fontId="3" fillId="0" borderId="0" applyFill="0" applyBorder="0" applyAlignment="0"/>
    <xf numFmtId="212" fontId="10" fillId="0" borderId="0" applyFill="0" applyBorder="0" applyAlignment="0"/>
    <xf numFmtId="0" fontId="65" fillId="65" borderId="37" applyNumberFormat="0" applyAlignment="0" applyProtection="0"/>
    <xf numFmtId="0" fontId="65" fillId="65" borderId="37" applyNumberFormat="0" applyAlignment="0" applyProtection="0"/>
    <xf numFmtId="0" fontId="65" fillId="65" borderId="37" applyNumberFormat="0" applyAlignment="0" applyProtection="0"/>
    <xf numFmtId="0" fontId="65" fillId="65" borderId="37" applyNumberFormat="0" applyAlignment="0" applyProtection="0"/>
    <xf numFmtId="0" fontId="66" fillId="9" borderId="16" applyNumberFormat="0" applyAlignment="0" applyProtection="0"/>
    <xf numFmtId="0" fontId="65" fillId="65" borderId="37" applyNumberFormat="0" applyAlignment="0" applyProtection="0"/>
    <xf numFmtId="0" fontId="65" fillId="65" borderId="37" applyNumberFormat="0" applyAlignment="0" applyProtection="0"/>
    <xf numFmtId="0" fontId="66" fillId="9" borderId="16" applyNumberFormat="0" applyAlignment="0" applyProtection="0"/>
    <xf numFmtId="0" fontId="66" fillId="9" borderId="16" applyNumberFormat="0" applyAlignment="0" applyProtection="0"/>
    <xf numFmtId="0" fontId="66" fillId="9" borderId="16" applyNumberFormat="0" applyAlignment="0" applyProtection="0"/>
    <xf numFmtId="0" fontId="66" fillId="9" borderId="16" applyNumberFormat="0" applyAlignment="0" applyProtection="0"/>
    <xf numFmtId="0" fontId="66" fillId="9" borderId="16" applyNumberFormat="0" applyAlignment="0" applyProtection="0"/>
    <xf numFmtId="0" fontId="66" fillId="9" borderId="16" applyNumberFormat="0" applyAlignment="0" applyProtection="0"/>
    <xf numFmtId="0" fontId="25" fillId="9" borderId="16" applyNumberFormat="0" applyAlignment="0" applyProtection="0"/>
    <xf numFmtId="181" fontId="54" fillId="66" borderId="0" applyNumberFormat="0" applyFont="0" applyBorder="0" applyAlignment="0">
      <alignment horizontal="left"/>
    </xf>
    <xf numFmtId="215" fontId="3" fillId="0" borderId="0" applyFont="0" applyFill="0" applyBorder="0" applyProtection="0">
      <alignment horizontal="center" vertical="center"/>
    </xf>
    <xf numFmtId="0" fontId="67" fillId="67" borderId="42" applyNumberFormat="0" applyAlignment="0" applyProtection="0"/>
    <xf numFmtId="0" fontId="40" fillId="10" borderId="19" applyNumberFormat="0" applyAlignment="0" applyProtection="0"/>
    <xf numFmtId="0" fontId="40" fillId="10" borderId="19" applyNumberFormat="0" applyAlignment="0" applyProtection="0"/>
    <xf numFmtId="0" fontId="40" fillId="10" borderId="19" applyNumberFormat="0" applyAlignment="0" applyProtection="0"/>
    <xf numFmtId="0" fontId="40" fillId="10" borderId="19" applyNumberFormat="0" applyAlignment="0" applyProtection="0"/>
    <xf numFmtId="0" fontId="40" fillId="10" borderId="19" applyNumberFormat="0" applyAlignment="0" applyProtection="0"/>
    <xf numFmtId="0" fontId="40" fillId="10" borderId="19" applyNumberFormat="0" applyAlignment="0" applyProtection="0"/>
    <xf numFmtId="0" fontId="40" fillId="10" borderId="19" applyNumberFormat="0" applyAlignment="0" applyProtection="0"/>
    <xf numFmtId="0" fontId="27" fillId="10" borderId="19" applyNumberFormat="0" applyAlignment="0" applyProtection="0"/>
    <xf numFmtId="216" fontId="3" fillId="0" borderId="0" applyNumberFormat="0" applyFont="0" applyFill="0" applyAlignment="0" applyProtection="0"/>
    <xf numFmtId="0" fontId="63" fillId="0" borderId="5" applyNumberFormat="0" applyFill="0" applyProtection="0">
      <alignment horizontal="left" vertical="center"/>
    </xf>
    <xf numFmtId="0" fontId="68" fillId="0" borderId="0">
      <alignment horizontal="center" wrapText="1"/>
      <protection hidden="1"/>
    </xf>
    <xf numFmtId="0" fontId="69" fillId="0" borderId="0">
      <alignment horizontal="right"/>
    </xf>
    <xf numFmtId="175" fontId="15" fillId="0" borderId="0" applyBorder="0">
      <alignment horizontal="right"/>
    </xf>
    <xf numFmtId="175" fontId="15" fillId="0" borderId="2" applyAlignment="0">
      <alignment horizontal="right"/>
    </xf>
    <xf numFmtId="217" fontId="10" fillId="0" borderId="0"/>
    <xf numFmtId="217" fontId="10" fillId="0" borderId="0"/>
    <xf numFmtId="217" fontId="10" fillId="0" borderId="0"/>
    <xf numFmtId="217" fontId="10" fillId="0" borderId="0"/>
    <xf numFmtId="217" fontId="10" fillId="0" borderId="0"/>
    <xf numFmtId="217" fontId="10" fillId="0" borderId="0"/>
    <xf numFmtId="217" fontId="10" fillId="0" borderId="0"/>
    <xf numFmtId="217" fontId="10" fillId="0" borderId="0"/>
    <xf numFmtId="41" fontId="70" fillId="0" borderId="0" applyFont="0" applyBorder="0">
      <alignment horizontal="right"/>
    </xf>
    <xf numFmtId="211" fontId="10" fillId="0" borderId="0" applyFont="0" applyFill="0" applyBorder="0" applyAlignment="0" applyProtection="0"/>
    <xf numFmtId="218" fontId="3" fillId="0" borderId="0" applyFont="0"/>
    <xf numFmtId="0" fontId="71" fillId="0" borderId="0" applyFont="0" applyFill="0" applyBorder="0" applyProtection="0">
      <alignment horizontal="right"/>
    </xf>
    <xf numFmtId="0" fontId="71" fillId="0" borderId="0" applyFont="0" applyFill="0" applyBorder="0" applyProtection="0">
      <alignment horizontal="right"/>
    </xf>
    <xf numFmtId="170" fontId="3" fillId="0" borderId="0" applyFont="0" applyFill="0" applyBorder="0" applyAlignment="0" applyProtection="0">
      <alignment horizontal="right"/>
    </xf>
    <xf numFmtId="219" fontId="3" fillId="0" borderId="0" applyFont="0" applyFill="0" applyBorder="0" applyAlignment="0" applyProtection="0"/>
    <xf numFmtId="220" fontId="72" fillId="0" borderId="0" applyFont="0" applyFill="0" applyBorder="0" applyAlignment="0" applyProtection="0">
      <alignment horizontal="right"/>
    </xf>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174" fontId="3" fillId="0" borderId="0" applyFont="0" applyFill="0" applyBorder="0" applyAlignment="0" applyProtection="0">
      <alignment horizontal="right"/>
    </xf>
    <xf numFmtId="174" fontId="3" fillId="0" borderId="0" applyFont="0" applyFill="0" applyBorder="0" applyAlignment="0" applyProtection="0">
      <alignment horizontal="right"/>
    </xf>
    <xf numFmtId="174" fontId="3" fillId="0" borderId="0" applyFont="0" applyFill="0" applyBorder="0" applyAlignment="0" applyProtection="0">
      <alignment horizontal="right"/>
    </xf>
    <xf numFmtId="174" fontId="3" fillId="0" borderId="0" applyFont="0" applyFill="0" applyBorder="0" applyAlignment="0" applyProtection="0">
      <alignment horizontal="right"/>
    </xf>
    <xf numFmtId="43" fontId="3" fillId="0" borderId="0" applyFont="0" applyFill="0" applyBorder="0" applyAlignment="0" applyProtection="0"/>
    <xf numFmtId="43" fontId="73" fillId="0" borderId="0" applyFont="0" applyFill="0" applyBorder="0" applyAlignment="0" applyProtection="0"/>
    <xf numFmtId="43" fontId="74" fillId="0" borderId="0" applyFont="0" applyFill="0" applyBorder="0" applyAlignment="0" applyProtection="0"/>
    <xf numFmtId="174" fontId="3" fillId="0" borderId="0" applyFont="0" applyFill="0" applyBorder="0" applyAlignment="0" applyProtection="0">
      <alignment horizontal="right"/>
    </xf>
    <xf numFmtId="174" fontId="3" fillId="0" borderId="0" applyFont="0" applyFill="0" applyBorder="0" applyAlignment="0" applyProtection="0">
      <alignment horizontal="right"/>
    </xf>
    <xf numFmtId="174" fontId="3" fillId="0" borderId="0" applyFont="0" applyFill="0" applyBorder="0" applyAlignment="0" applyProtection="0">
      <alignment horizontal="right"/>
    </xf>
    <xf numFmtId="174" fontId="3" fillId="0" borderId="0" applyFont="0" applyFill="0" applyBorder="0" applyAlignment="0" applyProtection="0">
      <alignment horizontal="right"/>
    </xf>
    <xf numFmtId="43" fontId="68" fillId="0" borderId="0" applyFont="0" applyFill="0" applyBorder="0" applyAlignment="0" applyProtection="0"/>
    <xf numFmtId="43" fontId="73"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7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21" fontId="7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7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77" fillId="0" borderId="0"/>
    <xf numFmtId="0" fontId="78" fillId="0" borderId="0"/>
    <xf numFmtId="0" fontId="79" fillId="68" borderId="0">
      <alignment horizontal="center" vertical="center" wrapText="1"/>
    </xf>
    <xf numFmtId="222" fontId="3" fillId="0" borderId="0" applyFill="0" applyBorder="0">
      <alignment horizontal="right"/>
      <protection locked="0"/>
    </xf>
    <xf numFmtId="223" fontId="9" fillId="0" borderId="43" applyFont="0" applyFill="0" applyBorder="0" applyAlignment="0" applyProtection="0"/>
    <xf numFmtId="212" fontId="10" fillId="0" borderId="0" applyFont="0" applyFill="0" applyBorder="0" applyAlignment="0" applyProtection="0"/>
    <xf numFmtId="224" fontId="80" fillId="0" borderId="0">
      <alignment horizontal="right"/>
    </xf>
    <xf numFmtId="8" fontId="81" fillId="0" borderId="44">
      <protection locked="0"/>
    </xf>
    <xf numFmtId="8" fontId="81" fillId="0" borderId="44">
      <protection locked="0"/>
    </xf>
    <xf numFmtId="8" fontId="81" fillId="0" borderId="44">
      <protection locked="0"/>
    </xf>
    <xf numFmtId="0" fontId="71" fillId="0" borderId="0" applyFont="0" applyFill="0" applyBorder="0" applyProtection="0">
      <alignment horizontal="right"/>
    </xf>
    <xf numFmtId="191" fontId="3"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82" fillId="0" borderId="0" applyFont="0" applyFill="0" applyBorder="0" applyAlignment="0" applyProtection="0"/>
    <xf numFmtId="44" fontId="75" fillId="0" borderId="0" applyFont="0" applyFill="0" applyBorder="0" applyAlignment="0" applyProtection="0"/>
    <xf numFmtId="44" fontId="12" fillId="0" borderId="0" applyFont="0" applyFill="0" applyBorder="0" applyAlignment="0" applyProtection="0"/>
    <xf numFmtId="44" fontId="76"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25" fontId="3" fillId="0" borderId="0" applyFont="0" applyFill="0" applyBorder="0" applyAlignment="0" applyProtection="0">
      <alignment horizontal="right"/>
    </xf>
    <xf numFmtId="225" fontId="3" fillId="0" borderId="0" applyFont="0" applyFill="0" applyBorder="0" applyAlignment="0" applyProtection="0">
      <alignment horizontal="right"/>
    </xf>
    <xf numFmtId="225" fontId="3" fillId="0" borderId="0" applyFont="0" applyFill="0" applyBorder="0" applyAlignment="0" applyProtection="0">
      <alignment horizontal="right"/>
    </xf>
    <xf numFmtId="225" fontId="3" fillId="0" borderId="0" applyFont="0" applyFill="0" applyBorder="0" applyAlignment="0" applyProtection="0">
      <alignment horizontal="right"/>
    </xf>
    <xf numFmtId="44" fontId="3" fillId="0" borderId="0" applyFont="0" applyFill="0" applyBorder="0" applyAlignment="0" applyProtection="0"/>
    <xf numFmtId="44" fontId="82" fillId="0" borderId="0" applyFont="0" applyFill="0" applyBorder="0" applyAlignment="0" applyProtection="0"/>
    <xf numFmtId="44" fontId="82" fillId="0" borderId="0" applyFont="0" applyFill="0" applyBorder="0" applyAlignment="0" applyProtection="0"/>
    <xf numFmtId="225" fontId="3" fillId="0" borderId="0" applyFont="0" applyFill="0" applyBorder="0" applyAlignment="0" applyProtection="0">
      <alignment horizontal="right"/>
    </xf>
    <xf numFmtId="225" fontId="3" fillId="0" borderId="0" applyFont="0" applyFill="0" applyBorder="0" applyAlignment="0" applyProtection="0">
      <alignment horizontal="right"/>
    </xf>
    <xf numFmtId="225" fontId="3" fillId="0" borderId="0" applyFont="0" applyFill="0" applyBorder="0" applyAlignment="0" applyProtection="0">
      <alignment horizontal="right"/>
    </xf>
    <xf numFmtId="225" fontId="3" fillId="0" borderId="0" applyFont="0" applyFill="0" applyBorder="0" applyAlignment="0" applyProtection="0">
      <alignment horizontal="right"/>
    </xf>
    <xf numFmtId="44" fontId="82" fillId="0" borderId="0" applyFont="0" applyFill="0" applyBorder="0" applyAlignment="0" applyProtection="0"/>
    <xf numFmtId="44" fontId="82" fillId="0" borderId="0" applyFont="0" applyFill="0" applyBorder="0" applyAlignment="0" applyProtection="0"/>
    <xf numFmtId="44" fontId="82" fillId="0" borderId="0" applyFont="0" applyFill="0" applyBorder="0" applyAlignment="0" applyProtection="0"/>
    <xf numFmtId="44" fontId="82" fillId="0" borderId="0" applyFont="0" applyFill="0" applyBorder="0" applyAlignment="0" applyProtection="0"/>
    <xf numFmtId="44" fontId="82" fillId="0" borderId="0" applyFont="0" applyFill="0" applyBorder="0" applyAlignment="0" applyProtection="0"/>
    <xf numFmtId="44" fontId="3" fillId="0" borderId="0" applyFont="0" applyFill="0" applyBorder="0" applyAlignment="0" applyProtection="0"/>
    <xf numFmtId="226" fontId="8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6"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6"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82" fillId="0" borderId="0" applyFont="0" applyFill="0" applyBorder="0" applyAlignment="0" applyProtection="0"/>
    <xf numFmtId="44"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27" fontId="10" fillId="0" borderId="0" applyFont="0" applyFill="0" applyBorder="0" applyProtection="0">
      <alignment horizontal="right"/>
    </xf>
    <xf numFmtId="228" fontId="53" fillId="0" borderId="0" applyFont="0" applyFill="0" applyBorder="0" applyAlignment="0" applyProtection="0">
      <alignment vertical="center"/>
    </xf>
    <xf numFmtId="0" fontId="68" fillId="0" borderId="0" applyFont="0" applyFill="0" applyBorder="0" applyAlignment="0">
      <protection locked="0"/>
    </xf>
    <xf numFmtId="0" fontId="48" fillId="0" borderId="0" applyFont="0" applyFill="0" applyBorder="0" applyAlignment="0" applyProtection="0"/>
    <xf numFmtId="229" fontId="84" fillId="0" borderId="45" applyNumberFormat="0" applyFill="0">
      <alignment horizontal="right"/>
    </xf>
    <xf numFmtId="229" fontId="84" fillId="0" borderId="45" applyNumberFormat="0" applyFill="0">
      <alignment horizontal="right"/>
    </xf>
    <xf numFmtId="1" fontId="85" fillId="0" borderId="0"/>
    <xf numFmtId="230" fontId="9" fillId="0" borderId="0" applyFont="0" applyFill="0" applyBorder="0" applyAlignment="0" applyProtection="0"/>
    <xf numFmtId="230" fontId="9" fillId="0" borderId="0" applyFont="0" applyFill="0" applyBorder="0" applyAlignment="0" applyProtection="0"/>
    <xf numFmtId="231" fontId="42" fillId="64" borderId="6" applyFont="0" applyFill="0" applyBorder="0" applyAlignment="0" applyProtection="0"/>
    <xf numFmtId="232" fontId="15" fillId="0" borderId="5" applyFont="0" applyFill="0" applyBorder="0" applyAlignment="0" applyProtection="0"/>
    <xf numFmtId="182" fontId="3" fillId="0" borderId="0" applyFont="0" applyFill="0" applyBorder="0" applyAlignment="0" applyProtection="0"/>
    <xf numFmtId="233" fontId="72" fillId="0" borderId="0" applyFont="0" applyFill="0" applyBorder="0" applyAlignment="0" applyProtection="0"/>
    <xf numFmtId="0" fontId="72" fillId="0" borderId="0" applyFont="0" applyFill="0" applyBorder="0" applyAlignment="0" applyProtection="0"/>
    <xf numFmtId="14" fontId="82" fillId="0" borderId="0" applyFill="0" applyBorder="0" applyAlignment="0"/>
    <xf numFmtId="0" fontId="3" fillId="0" borderId="0">
      <alignment horizontal="left" vertical="top"/>
    </xf>
    <xf numFmtId="42" fontId="86" fillId="0" borderId="0"/>
    <xf numFmtId="0" fontId="9" fillId="0" borderId="0"/>
    <xf numFmtId="41" fontId="3" fillId="0" borderId="0" applyFont="0" applyFill="0" applyBorder="0" applyAlignment="0" applyProtection="0"/>
    <xf numFmtId="43" fontId="3" fillId="0" borderId="0" applyFont="0" applyFill="0" applyBorder="0" applyAlignment="0" applyProtection="0"/>
    <xf numFmtId="0" fontId="87" fillId="0" borderId="0">
      <protection locked="0"/>
    </xf>
    <xf numFmtId="0" fontId="3" fillId="0" borderId="0"/>
    <xf numFmtId="42" fontId="10" fillId="0" borderId="0"/>
    <xf numFmtId="175" fontId="3" fillId="0" borderId="46" applyNumberFormat="0" applyFont="0" applyFill="0" applyAlignment="0" applyProtection="0"/>
    <xf numFmtId="175" fontId="3" fillId="0" borderId="46" applyNumberFormat="0" applyFont="0" applyFill="0" applyAlignment="0" applyProtection="0"/>
    <xf numFmtId="175" fontId="3" fillId="0" borderId="46" applyNumberFormat="0" applyFont="0" applyFill="0" applyAlignment="0" applyProtection="0"/>
    <xf numFmtId="42" fontId="88" fillId="0" borderId="0" applyFill="0" applyBorder="0" applyAlignment="0" applyProtection="0"/>
    <xf numFmtId="1" fontId="54" fillId="0" borderId="0"/>
    <xf numFmtId="234" fontId="89" fillId="0" borderId="0">
      <protection locked="0"/>
    </xf>
    <xf numFmtId="234" fontId="89" fillId="0" borderId="0">
      <protection locked="0"/>
    </xf>
    <xf numFmtId="211" fontId="10" fillId="0" borderId="0" applyFill="0" applyBorder="0" applyAlignment="0"/>
    <xf numFmtId="212" fontId="10" fillId="0" borderId="0" applyFill="0" applyBorder="0" applyAlignment="0"/>
    <xf numFmtId="211" fontId="10" fillId="0" borderId="0" applyFill="0" applyBorder="0" applyAlignment="0"/>
    <xf numFmtId="214" fontId="3" fillId="0" borderId="0" applyFill="0" applyBorder="0" applyAlignment="0"/>
    <xf numFmtId="212" fontId="10" fillId="0" borderId="0" applyFill="0" applyBorder="0" applyAlignment="0"/>
    <xf numFmtId="235" fontId="46" fillId="0" borderId="0" applyFont="0" applyFill="0" applyBorder="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29" fillId="0" borderId="0" applyNumberFormat="0" applyFill="0" applyBorder="0" applyAlignment="0" applyProtection="0"/>
    <xf numFmtId="236" fontId="68" fillId="69" borderId="34">
      <alignment horizontal="left"/>
    </xf>
    <xf numFmtId="1" fontId="92" fillId="70" borderId="11" applyNumberFormat="0" applyBorder="0" applyAlignment="0">
      <alignment horizontal="centerContinuous" vertical="center"/>
      <protection locked="0"/>
    </xf>
    <xf numFmtId="1" fontId="92" fillId="70" borderId="11" applyNumberFormat="0" applyBorder="0" applyAlignment="0">
      <alignment horizontal="centerContinuous" vertical="center"/>
      <protection locked="0"/>
    </xf>
    <xf numFmtId="1" fontId="92" fillId="70" borderId="11" applyNumberFormat="0" applyBorder="0" applyAlignment="0">
      <alignment horizontal="centerContinuous" vertical="center"/>
      <protection locked="0"/>
    </xf>
    <xf numFmtId="237" fontId="3" fillId="0" borderId="0">
      <protection locked="0"/>
    </xf>
    <xf numFmtId="216" fontId="3" fillId="0" borderId="0">
      <protection locked="0"/>
    </xf>
    <xf numFmtId="0" fontId="93" fillId="0" borderId="0" applyFill="0" applyBorder="0" applyProtection="0">
      <alignment horizontal="left"/>
    </xf>
    <xf numFmtId="0" fontId="94" fillId="45"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20" fillId="5" borderId="0" applyNumberFormat="0" applyBorder="0" applyAlignment="0" applyProtection="0"/>
    <xf numFmtId="38" fontId="9" fillId="71" borderId="0" applyNumberFormat="0" applyBorder="0" applyAlignment="0" applyProtection="0"/>
    <xf numFmtId="0" fontId="96" fillId="0" borderId="0" applyNumberFormat="0">
      <alignment horizontal="right"/>
    </xf>
    <xf numFmtId="0" fontId="3" fillId="0" borderId="0"/>
    <xf numFmtId="0" fontId="3" fillId="0" borderId="0"/>
    <xf numFmtId="0" fontId="3" fillId="0" borderId="0"/>
    <xf numFmtId="0" fontId="3" fillId="0" borderId="0"/>
    <xf numFmtId="168" fontId="3" fillId="72" borderId="1" applyNumberFormat="0" applyFont="0" applyBorder="0" applyAlignment="0" applyProtection="0"/>
    <xf numFmtId="186" fontId="3" fillId="0" borderId="0" applyFont="0" applyFill="0" applyBorder="0" applyAlignment="0" applyProtection="0">
      <alignment horizontal="right"/>
    </xf>
    <xf numFmtId="181" fontId="97" fillId="72" borderId="0" applyNumberFormat="0" applyFont="0" applyAlignment="0"/>
    <xf numFmtId="0" fontId="98" fillId="0" borderId="0" applyProtection="0">
      <alignment horizontal="right"/>
    </xf>
    <xf numFmtId="0" fontId="7" fillId="0" borderId="23" applyNumberFormat="0" applyAlignment="0" applyProtection="0">
      <alignment horizontal="left" vertical="center"/>
    </xf>
    <xf numFmtId="0" fontId="7" fillId="0" borderId="4">
      <alignment horizontal="left" vertical="center"/>
    </xf>
    <xf numFmtId="49" fontId="99" fillId="0" borderId="0">
      <alignment horizontal="centerContinuous"/>
    </xf>
    <xf numFmtId="0" fontId="100" fillId="0" borderId="47" applyNumberFormat="0" applyFill="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7" fillId="0" borderId="13" applyNumberFormat="0" applyFill="0" applyAlignment="0" applyProtection="0"/>
    <xf numFmtId="0" fontId="101" fillId="0" borderId="0" applyNumberFormat="0" applyFill="0" applyBorder="0" applyAlignment="0" applyProtection="0"/>
    <xf numFmtId="0" fontId="102" fillId="0" borderId="48" applyNumberFormat="0" applyFill="0" applyAlignment="0" applyProtection="0"/>
    <xf numFmtId="0" fontId="103" fillId="0" borderId="0" applyProtection="0">
      <alignment horizontal="left"/>
    </xf>
    <xf numFmtId="0" fontId="103" fillId="0" borderId="0" applyProtection="0">
      <alignment horizontal="left"/>
    </xf>
    <xf numFmtId="0" fontId="103" fillId="0" borderId="0" applyProtection="0">
      <alignment horizontal="left"/>
    </xf>
    <xf numFmtId="0" fontId="103" fillId="0" borderId="0" applyProtection="0">
      <alignment horizontal="left"/>
    </xf>
    <xf numFmtId="0" fontId="18" fillId="0" borderId="14" applyNumberFormat="0" applyFill="0" applyAlignment="0" applyProtection="0"/>
    <xf numFmtId="0" fontId="103" fillId="0" borderId="0" applyProtection="0">
      <alignment horizontal="left"/>
    </xf>
    <xf numFmtId="0" fontId="104" fillId="0" borderId="49" applyNumberFormat="0" applyFill="0" applyAlignment="0" applyProtection="0"/>
    <xf numFmtId="0" fontId="105" fillId="0" borderId="0" applyProtection="0">
      <alignment horizontal="left"/>
    </xf>
    <xf numFmtId="0" fontId="105" fillId="0" borderId="0" applyProtection="0">
      <alignment horizontal="left"/>
    </xf>
    <xf numFmtId="0" fontId="105" fillId="0" borderId="0" applyProtection="0">
      <alignment horizontal="left"/>
    </xf>
    <xf numFmtId="0" fontId="105" fillId="0" borderId="0" applyProtection="0">
      <alignment horizontal="left"/>
    </xf>
    <xf numFmtId="0" fontId="106" fillId="0" borderId="15" applyNumberFormat="0" applyFill="0" applyAlignment="0" applyProtection="0"/>
    <xf numFmtId="0" fontId="19" fillId="0" borderId="15" applyNumberFormat="0" applyFill="0" applyAlignment="0" applyProtection="0"/>
    <xf numFmtId="0" fontId="105" fillId="0" borderId="0" applyProtection="0">
      <alignment horizontal="left"/>
    </xf>
    <xf numFmtId="0" fontId="104" fillId="0" borderId="0" applyNumberFormat="0" applyFill="0" applyBorder="0" applyAlignment="0" applyProtection="0"/>
    <xf numFmtId="0" fontId="19" fillId="0" borderId="0" applyNumberFormat="0" applyFill="0" applyBorder="0" applyAlignment="0" applyProtection="0"/>
    <xf numFmtId="0" fontId="107" fillId="0" borderId="0"/>
    <xf numFmtId="0" fontId="57" fillId="0" borderId="0"/>
    <xf numFmtId="238" fontId="52" fillId="0" borderId="0">
      <alignment horizontal="centerContinuous"/>
    </xf>
    <xf numFmtId="0" fontId="108" fillId="0" borderId="50" applyNumberFormat="0" applyFill="0" applyBorder="0" applyAlignment="0" applyProtection="0">
      <alignment horizontal="left"/>
    </xf>
    <xf numFmtId="238" fontId="52" fillId="0" borderId="51">
      <alignment horizontal="center"/>
    </xf>
    <xf numFmtId="0" fontId="3" fillId="0" borderId="0" applyNumberFormat="0" applyFill="0" applyBorder="0" applyProtection="0">
      <alignment wrapText="1"/>
    </xf>
    <xf numFmtId="0" fontId="3" fillId="0" borderId="0" applyNumberFormat="0" applyFill="0" applyBorder="0" applyProtection="0">
      <alignment horizontal="justify" vertical="top" wrapText="1"/>
    </xf>
    <xf numFmtId="0" fontId="109" fillId="0" borderId="52">
      <alignment horizontal="left" vertical="center"/>
    </xf>
    <xf numFmtId="0" fontId="109" fillId="73" borderId="0">
      <alignment horizontal="centerContinuous" wrapText="1"/>
    </xf>
    <xf numFmtId="0" fontId="110"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13" fillId="0" borderId="0" applyNumberFormat="0" applyFill="0" applyBorder="0" applyAlignment="0" applyProtection="0"/>
    <xf numFmtId="0" fontId="111" fillId="0" borderId="0" applyNumberFormat="0" applyFill="0" applyBorder="0" applyAlignment="0" applyProtection="0">
      <alignment vertical="top"/>
      <protection locked="0"/>
    </xf>
    <xf numFmtId="0" fontId="114" fillId="0" borderId="0" applyNumberFormat="0" applyFill="0" applyBorder="0" applyAlignment="0" applyProtection="0"/>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9" fontId="111" fillId="0" borderId="0" applyNumberFormat="0" applyFill="0" applyBorder="0" applyAlignment="0" applyProtection="0">
      <alignment vertical="top"/>
      <protection locked="0"/>
    </xf>
    <xf numFmtId="0" fontId="3" fillId="0" borderId="0" applyNumberFormat="0" applyFill="0" applyBorder="0" applyAlignment="0" applyProtection="0"/>
    <xf numFmtId="0" fontId="3" fillId="0" borderId="0">
      <alignment horizontal="right"/>
    </xf>
    <xf numFmtId="10" fontId="9" fillId="64" borderId="1" applyNumberFormat="0" applyBorder="0" applyAlignment="0" applyProtection="0"/>
    <xf numFmtId="0" fontId="116" fillId="48" borderId="37" applyNumberFormat="0" applyAlignment="0" applyProtection="0"/>
    <xf numFmtId="0" fontId="116" fillId="48" borderId="37" applyNumberFormat="0" applyAlignment="0" applyProtection="0"/>
    <xf numFmtId="0" fontId="116" fillId="48" borderId="37" applyNumberFormat="0" applyAlignment="0" applyProtection="0"/>
    <xf numFmtId="0" fontId="116" fillId="48" borderId="37" applyNumberFormat="0" applyAlignment="0" applyProtection="0"/>
    <xf numFmtId="0" fontId="117" fillId="8" borderId="16" applyNumberFormat="0" applyAlignment="0" applyProtection="0"/>
    <xf numFmtId="0" fontId="116" fillId="48" borderId="37" applyNumberFormat="0" applyAlignment="0" applyProtection="0"/>
    <xf numFmtId="0" fontId="116" fillId="48" borderId="37" applyNumberFormat="0" applyAlignment="0" applyProtection="0"/>
    <xf numFmtId="0" fontId="117" fillId="8" borderId="16" applyNumberFormat="0" applyAlignment="0" applyProtection="0"/>
    <xf numFmtId="0" fontId="117" fillId="8" borderId="16" applyNumberFormat="0" applyAlignment="0" applyProtection="0"/>
    <xf numFmtId="0" fontId="117" fillId="8" borderId="16" applyNumberFormat="0" applyAlignment="0" applyProtection="0"/>
    <xf numFmtId="0" fontId="117" fillId="8" borderId="16" applyNumberFormat="0" applyAlignment="0" applyProtection="0"/>
    <xf numFmtId="0" fontId="117" fillId="8" borderId="16" applyNumberFormat="0" applyAlignment="0" applyProtection="0"/>
    <xf numFmtId="0" fontId="117" fillId="8" borderId="16" applyNumberFormat="0" applyAlignment="0" applyProtection="0"/>
    <xf numFmtId="0" fontId="23" fillId="8" borderId="16" applyNumberFormat="0" applyAlignment="0" applyProtection="0"/>
    <xf numFmtId="240" fontId="68" fillId="0" borderId="0" applyNumberFormat="0" applyFill="0" applyBorder="0" applyAlignment="0" applyProtection="0"/>
    <xf numFmtId="0" fontId="3" fillId="0" borderId="0" applyNumberFormat="0" applyFill="0" applyBorder="0" applyAlignment="0">
      <protection locked="0"/>
    </xf>
    <xf numFmtId="0" fontId="118" fillId="64" borderId="0" applyNumberFormat="0" applyFont="0" applyBorder="0" applyAlignment="0">
      <alignment horizontal="right"/>
      <protection locked="0"/>
    </xf>
    <xf numFmtId="0" fontId="119" fillId="74" borderId="0" applyNumberFormat="0" applyFont="0" applyBorder="0" applyAlignment="0">
      <alignment horizontal="right" vertical="top"/>
      <protection locked="0"/>
    </xf>
    <xf numFmtId="241" fontId="3" fillId="64" borderId="53" applyNumberFormat="0" applyFont="0" applyBorder="0" applyAlignment="0">
      <alignment horizontal="right" vertical="center"/>
      <protection locked="0"/>
    </xf>
    <xf numFmtId="0" fontId="119" fillId="74" borderId="0" applyNumberFormat="0" applyFont="0" applyBorder="0" applyAlignment="0">
      <alignment horizontal="right" vertical="top"/>
      <protection locked="0"/>
    </xf>
    <xf numFmtId="0" fontId="68" fillId="0" borderId="0" applyFill="0" applyBorder="0">
      <alignment horizontal="right"/>
      <protection locked="0"/>
    </xf>
    <xf numFmtId="242" fontId="120" fillId="0" borderId="54" applyFont="0" applyFill="0" applyBorder="0" applyAlignment="0" applyProtection="0"/>
    <xf numFmtId="243" fontId="3" fillId="0" borderId="0" applyFill="0" applyBorder="0">
      <alignment horizontal="right"/>
      <protection locked="0"/>
    </xf>
    <xf numFmtId="0" fontId="121" fillId="0" borderId="0" applyFill="0" applyBorder="0"/>
    <xf numFmtId="0" fontId="122" fillId="75" borderId="55">
      <alignment horizontal="left" vertical="center" wrapText="1"/>
    </xf>
    <xf numFmtId="0" fontId="122" fillId="75" borderId="55">
      <alignment horizontal="left" vertical="center" wrapText="1"/>
    </xf>
    <xf numFmtId="0" fontId="122" fillId="75" borderId="55">
      <alignment horizontal="left" vertical="center" wrapText="1"/>
    </xf>
    <xf numFmtId="0" fontId="48" fillId="0" borderId="0" applyNumberFormat="0" applyFill="0" applyBorder="0" applyProtection="0">
      <alignment horizontal="left" vertical="center"/>
    </xf>
    <xf numFmtId="0" fontId="123"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0" fillId="76" borderId="0" applyNumberFormat="0" applyFont="0" applyBorder="0" applyProtection="0"/>
    <xf numFmtId="2" fontId="124" fillId="0" borderId="5"/>
    <xf numFmtId="211" fontId="10" fillId="0" borderId="0" applyFill="0" applyBorder="0" applyAlignment="0"/>
    <xf numFmtId="212" fontId="10" fillId="0" borderId="0" applyFill="0" applyBorder="0" applyAlignment="0"/>
    <xf numFmtId="211" fontId="10" fillId="0" borderId="0" applyFill="0" applyBorder="0" applyAlignment="0"/>
    <xf numFmtId="214" fontId="3" fillId="0" borderId="0" applyFill="0" applyBorder="0" applyAlignment="0"/>
    <xf numFmtId="212" fontId="10" fillId="0" borderId="0" applyFill="0" applyBorder="0" applyAlignment="0"/>
    <xf numFmtId="0" fontId="125" fillId="0" borderId="56" applyNumberFormat="0" applyFill="0" applyAlignment="0" applyProtection="0"/>
    <xf numFmtId="0" fontId="126" fillId="0" borderId="18" applyNumberFormat="0" applyFill="0" applyAlignment="0" applyProtection="0"/>
    <xf numFmtId="0" fontId="126" fillId="0" borderId="18" applyNumberFormat="0" applyFill="0" applyAlignment="0" applyProtection="0"/>
    <xf numFmtId="0" fontId="126" fillId="0" borderId="18" applyNumberFormat="0" applyFill="0" applyAlignment="0" applyProtection="0"/>
    <xf numFmtId="0" fontId="126" fillId="0" borderId="18" applyNumberFormat="0" applyFill="0" applyAlignment="0" applyProtection="0"/>
    <xf numFmtId="0" fontId="126" fillId="0" borderId="18" applyNumberFormat="0" applyFill="0" applyAlignment="0" applyProtection="0"/>
    <xf numFmtId="0" fontId="126" fillId="0" borderId="18" applyNumberFormat="0" applyFill="0" applyAlignment="0" applyProtection="0"/>
    <xf numFmtId="0" fontId="126" fillId="0" borderId="18" applyNumberFormat="0" applyFill="0" applyAlignment="0" applyProtection="0"/>
    <xf numFmtId="14" fontId="15" fillId="0" borderId="5" applyFont="0" applyFill="0" applyBorder="0" applyAlignment="0" applyProtection="0"/>
    <xf numFmtId="3" fontId="3" fillId="0" borderId="0"/>
    <xf numFmtId="1" fontId="127" fillId="0" borderId="0"/>
    <xf numFmtId="244" fontId="128" fillId="77" borderId="0" applyBorder="0" applyAlignment="0">
      <alignment horizontal="right"/>
    </xf>
    <xf numFmtId="41"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45" fontId="3" fillId="0" borderId="0" applyFont="0" applyFill="0" applyBorder="0" applyAlignment="0" applyProtection="0"/>
    <xf numFmtId="246" fontId="1" fillId="0" borderId="0" applyFont="0" applyFill="0" applyBorder="0" applyAlignment="0" applyProtection="0"/>
    <xf numFmtId="247" fontId="3" fillId="0" borderId="0" applyFont="0" applyFill="0" applyBorder="0" applyAlignment="0" applyProtection="0"/>
    <xf numFmtId="14" fontId="43" fillId="0" borderId="0" applyFont="0" applyFill="0" applyBorder="0" applyAlignment="0" applyProtection="0"/>
    <xf numFmtId="3" fontId="48" fillId="0" borderId="0"/>
    <xf numFmtId="3" fontId="48" fillId="0" borderId="0"/>
    <xf numFmtId="0" fontId="3" fillId="0" borderId="0" applyFont="0" applyFill="0" applyBorder="0" applyAlignment="0" applyProtection="0"/>
    <xf numFmtId="0" fontId="3" fillId="0" borderId="0" applyFont="0" applyFill="0" applyBorder="0" applyAlignment="0" applyProtection="0"/>
    <xf numFmtId="248" fontId="3" fillId="0" borderId="0" applyFont="0" applyFill="0" applyBorder="0" applyAlignment="0" applyProtection="0"/>
    <xf numFmtId="249" fontId="1" fillId="0" borderId="0" applyFont="0" applyFill="0" applyBorder="0" applyAlignment="0" applyProtection="0"/>
    <xf numFmtId="250" fontId="3" fillId="0" borderId="0" applyFont="0" applyFill="0" applyBorder="0" applyAlignment="0" applyProtection="0"/>
    <xf numFmtId="251" fontId="3" fillId="0" borderId="0">
      <protection locked="0"/>
    </xf>
    <xf numFmtId="232" fontId="9" fillId="64" borderId="0">
      <alignment horizontal="center"/>
    </xf>
    <xf numFmtId="252" fontId="72" fillId="0" borderId="0" applyFont="0" applyFill="0" applyBorder="0" applyProtection="0">
      <alignment horizontal="right"/>
    </xf>
    <xf numFmtId="253" fontId="3" fillId="0" borderId="0" applyFont="0" applyFill="0" applyBorder="0" applyAlignment="0" applyProtection="0"/>
    <xf numFmtId="183" fontId="3" fillId="0" borderId="0" applyFont="0" applyFill="0" applyBorder="0" applyAlignment="0" applyProtection="0"/>
    <xf numFmtId="0" fontId="71" fillId="0" borderId="0" applyFont="0" applyFill="0" applyBorder="0" applyProtection="0">
      <alignment horizontal="right"/>
    </xf>
    <xf numFmtId="0" fontId="71" fillId="0" borderId="0" applyFont="0" applyFill="0" applyBorder="0" applyProtection="0">
      <alignment horizontal="right"/>
    </xf>
    <xf numFmtId="0" fontId="71" fillId="0" borderId="0" applyFont="0" applyFill="0" applyBorder="0" applyProtection="0">
      <alignment horizontal="right"/>
    </xf>
    <xf numFmtId="0" fontId="3" fillId="0" borderId="0" applyFont="0" applyFill="0" applyBorder="0" applyProtection="0">
      <alignment horizontal="right"/>
    </xf>
    <xf numFmtId="175" fontId="3" fillId="0" borderId="0" applyFont="0" applyFill="0" applyBorder="0" applyProtection="0">
      <alignment horizontal="right"/>
    </xf>
    <xf numFmtId="0" fontId="3" fillId="0" borderId="26" applyBorder="0" applyAlignment="0" applyProtection="0">
      <alignment horizontal="center"/>
    </xf>
    <xf numFmtId="0" fontId="129" fillId="74" borderId="0" applyNumberFormat="0" applyBorder="0" applyAlignment="0" applyProtection="0"/>
    <xf numFmtId="0" fontId="130" fillId="7" borderId="0" applyNumberFormat="0" applyBorder="0" applyAlignment="0" applyProtection="0"/>
    <xf numFmtId="0" fontId="130" fillId="7" borderId="0" applyNumberFormat="0" applyBorder="0" applyAlignment="0" applyProtection="0"/>
    <xf numFmtId="0" fontId="130" fillId="7" borderId="0" applyNumberFormat="0" applyBorder="0" applyAlignment="0" applyProtection="0"/>
    <xf numFmtId="0" fontId="130" fillId="7" borderId="0" applyNumberFormat="0" applyBorder="0" applyAlignment="0" applyProtection="0"/>
    <xf numFmtId="0" fontId="130" fillId="7" borderId="0" applyNumberFormat="0" applyBorder="0" applyAlignment="0" applyProtection="0"/>
    <xf numFmtId="0" fontId="130" fillId="7" borderId="0" applyNumberFormat="0" applyBorder="0" applyAlignment="0" applyProtection="0"/>
    <xf numFmtId="0" fontId="130" fillId="7" borderId="0" applyNumberFormat="0" applyBorder="0" applyAlignment="0" applyProtection="0"/>
    <xf numFmtId="0" fontId="22" fillId="7" borderId="0" applyNumberFormat="0" applyBorder="0" applyAlignment="0" applyProtection="0"/>
    <xf numFmtId="0" fontId="62" fillId="0" borderId="0"/>
    <xf numFmtId="241" fontId="53" fillId="0" borderId="0" applyNumberFormat="0" applyFont="0" applyFill="0" applyBorder="0" applyAlignment="0" applyProtection="0">
      <alignment vertical="center"/>
    </xf>
    <xf numFmtId="37" fontId="131" fillId="0" borderId="0"/>
    <xf numFmtId="0" fontId="132" fillId="0" borderId="0"/>
    <xf numFmtId="0" fontId="80" fillId="78" borderId="0" applyNumberFormat="0" applyBorder="0" applyAlignment="0">
      <alignment horizontal="right"/>
      <protection hidden="1"/>
    </xf>
    <xf numFmtId="241" fontId="133" fillId="0" borderId="0" applyNumberFormat="0" applyFill="0" applyBorder="0" applyAlignment="0" applyProtection="0">
      <alignment vertical="center"/>
    </xf>
    <xf numFmtId="1" fontId="48" fillId="0" borderId="0"/>
    <xf numFmtId="254" fontId="9" fillId="0" borderId="0" applyFont="0" applyFill="0" applyBorder="0" applyAlignment="0" applyProtection="0">
      <alignment horizontal="right"/>
    </xf>
    <xf numFmtId="255" fontId="134" fillId="0" borderId="0"/>
    <xf numFmtId="37" fontId="42" fillId="79" borderId="0" applyFont="0" applyFill="0" applyBorder="0" applyAlignment="0" applyProtection="0"/>
    <xf numFmtId="234" fontId="3" fillId="0" borderId="0" applyFont="0" applyFill="0" applyBorder="0" applyAlignment="0"/>
    <xf numFmtId="256" fontId="9" fillId="0" borderId="0" applyFont="0" applyFill="0" applyBorder="0" applyAlignment="0"/>
    <xf numFmtId="257" fontId="9" fillId="0" borderId="0" applyFont="0" applyFill="0" applyBorder="0" applyAlignment="0"/>
    <xf numFmtId="256" fontId="9" fillId="0" borderId="0" applyFont="0" applyFill="0" applyBorder="0" applyAlignment="0"/>
    <xf numFmtId="0" fontId="2" fillId="0" borderId="0"/>
    <xf numFmtId="0" fontId="3" fillId="0" borderId="0"/>
    <xf numFmtId="0" fontId="3" fillId="0" borderId="0"/>
    <xf numFmtId="0" fontId="3" fillId="0" borderId="0"/>
    <xf numFmtId="0" fontId="3" fillId="0" borderId="0"/>
    <xf numFmtId="0" fontId="68" fillId="0" borderId="0"/>
    <xf numFmtId="0" fontId="1" fillId="0" borderId="0"/>
    <xf numFmtId="0" fontId="36" fillId="0" borderId="0"/>
    <xf numFmtId="0" fontId="1" fillId="0" borderId="0"/>
    <xf numFmtId="0" fontId="3" fillId="0" borderId="0"/>
    <xf numFmtId="0" fontId="1" fillId="0" borderId="0"/>
    <xf numFmtId="0" fontId="1" fillId="0" borderId="0"/>
    <xf numFmtId="0" fontId="1" fillId="0" borderId="0"/>
    <xf numFmtId="0" fontId="68" fillId="0" borderId="0"/>
    <xf numFmtId="0" fontId="3" fillId="0" borderId="0"/>
    <xf numFmtId="0" fontId="68" fillId="0" borderId="0"/>
    <xf numFmtId="0" fontId="1" fillId="0" borderId="0"/>
    <xf numFmtId="0" fontId="1" fillId="0" borderId="0"/>
    <xf numFmtId="0" fontId="1" fillId="0" borderId="0"/>
    <xf numFmtId="0" fontId="1" fillId="0" borderId="0"/>
    <xf numFmtId="0" fontId="68" fillId="0" borderId="0"/>
    <xf numFmtId="0" fontId="82" fillId="0" borderId="0">
      <alignment vertical="top"/>
    </xf>
    <xf numFmtId="0" fontId="82" fillId="0" borderId="0">
      <alignment vertical="top"/>
    </xf>
    <xf numFmtId="0" fontId="68" fillId="0" borderId="0"/>
    <xf numFmtId="0" fontId="3" fillId="0" borderId="0"/>
    <xf numFmtId="0" fontId="3" fillId="0" borderId="0"/>
    <xf numFmtId="0" fontId="68" fillId="0" borderId="0"/>
    <xf numFmtId="0" fontId="3" fillId="0" borderId="0"/>
    <xf numFmtId="0" fontId="3" fillId="0" borderId="0"/>
    <xf numFmtId="0" fontId="3" fillId="0" borderId="0"/>
    <xf numFmtId="0" fontId="3" fillId="0" borderId="0"/>
    <xf numFmtId="0" fontId="68" fillId="0" borderId="0"/>
    <xf numFmtId="0" fontId="3" fillId="0" borderId="0"/>
    <xf numFmtId="0" fontId="3" fillId="0" borderId="0"/>
    <xf numFmtId="0" fontId="68" fillId="0" borderId="0"/>
    <xf numFmtId="0" fontId="1" fillId="0" borderId="0"/>
    <xf numFmtId="0" fontId="68" fillId="0" borderId="0"/>
    <xf numFmtId="0" fontId="68" fillId="0" borderId="0"/>
    <xf numFmtId="254" fontId="9" fillId="0" borderId="0" applyFont="0" applyFill="0" applyBorder="0" applyAlignment="0" applyProtection="0">
      <alignment horizontal="right"/>
    </xf>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0" fontId="41" fillId="0" borderId="0"/>
    <xf numFmtId="0" fontId="3" fillId="0" borderId="0"/>
    <xf numFmtId="0" fontId="3" fillId="0" borderId="0"/>
    <xf numFmtId="0" fontId="41" fillId="0" borderId="0"/>
    <xf numFmtId="0" fontId="68" fillId="0" borderId="0"/>
    <xf numFmtId="0" fontId="3" fillId="0" borderId="0"/>
    <xf numFmtId="0" fontId="3" fillId="0" borderId="0"/>
    <xf numFmtId="0" fontId="68" fillId="0" borderId="0"/>
    <xf numFmtId="0" fontId="68" fillId="0" borderId="0"/>
    <xf numFmtId="239" fontId="3" fillId="0" borderId="0"/>
    <xf numFmtId="0" fontId="41"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0" fontId="1" fillId="0" borderId="0"/>
    <xf numFmtId="0" fontId="1" fillId="0" borderId="0"/>
    <xf numFmtId="0" fontId="1"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12" fillId="0" borderId="0"/>
    <xf numFmtId="239" fontId="3" fillId="0" borderId="0"/>
    <xf numFmtId="0" fontId="3" fillId="0" borderId="0"/>
    <xf numFmtId="0" fontId="68"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3" fillId="0" borderId="0"/>
    <xf numFmtId="0" fontId="3" fillId="0" borderId="0"/>
    <xf numFmtId="0" fontId="3" fillId="0" borderId="0"/>
    <xf numFmtId="239" fontId="3" fillId="0" borderId="0"/>
    <xf numFmtId="0" fontId="3" fillId="0" borderId="0"/>
    <xf numFmtId="0" fontId="6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96" fillId="0" borderId="0"/>
    <xf numFmtId="239" fontId="3" fillId="0" borderId="0"/>
    <xf numFmtId="0" fontId="68"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0" fontId="68" fillId="0" borderId="0"/>
    <xf numFmtId="0" fontId="68" fillId="0" borderId="0"/>
    <xf numFmtId="0" fontId="68" fillId="0" borderId="0"/>
    <xf numFmtId="0" fontId="68"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54" fontId="9" fillId="0" borderId="0" applyFont="0" applyFill="0" applyBorder="0" applyAlignment="0" applyProtection="0">
      <alignment horizontal="right"/>
    </xf>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3" fillId="0" borderId="0"/>
    <xf numFmtId="0" fontId="96" fillId="0" borderId="0"/>
    <xf numFmtId="0" fontId="3" fillId="0" borderId="0"/>
    <xf numFmtId="0" fontId="75" fillId="0" borderId="0"/>
    <xf numFmtId="0" fontId="75" fillId="0" borderId="0"/>
    <xf numFmtId="0" fontId="68" fillId="0" borderId="0"/>
    <xf numFmtId="0" fontId="68"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12" fillId="0" borderId="0"/>
    <xf numFmtId="0" fontId="68" fillId="0" borderId="0"/>
    <xf numFmtId="0" fontId="75" fillId="0" borderId="0"/>
    <xf numFmtId="0" fontId="75" fillId="0" borderId="0"/>
    <xf numFmtId="0" fontId="68" fillId="0" borderId="0"/>
    <xf numFmtId="0" fontId="6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5" fillId="0" borderId="0"/>
    <xf numFmtId="0" fontId="3" fillId="0" borderId="0"/>
    <xf numFmtId="0" fontId="68" fillId="0" borderId="0"/>
    <xf numFmtId="0" fontId="3" fillId="0" borderId="0"/>
    <xf numFmtId="0" fontId="75" fillId="0" borderId="0"/>
    <xf numFmtId="0" fontId="3" fillId="0" borderId="0"/>
    <xf numFmtId="0" fontId="3" fillId="0" borderId="0"/>
    <xf numFmtId="0" fontId="75" fillId="0" borderId="0"/>
    <xf numFmtId="0" fontId="3" fillId="0" borderId="0"/>
    <xf numFmtId="0" fontId="3" fillId="0" borderId="0"/>
    <xf numFmtId="0" fontId="3" fillId="0" borderId="0"/>
    <xf numFmtId="0" fontId="3" fillId="0" borderId="0"/>
    <xf numFmtId="0" fontId="3" fillId="0" borderId="0"/>
    <xf numFmtId="0" fontId="75" fillId="0" borderId="0"/>
    <xf numFmtId="0" fontId="96" fillId="0" borderId="0"/>
    <xf numFmtId="0" fontId="68" fillId="0" borderId="0"/>
    <xf numFmtId="0" fontId="75" fillId="0" borderId="0"/>
    <xf numFmtId="0" fontId="3" fillId="0" borderId="0"/>
    <xf numFmtId="0" fontId="3" fillId="0" borderId="0"/>
    <xf numFmtId="0" fontId="12" fillId="0" borderId="0"/>
    <xf numFmtId="0" fontId="68" fillId="0" borderId="0"/>
    <xf numFmtId="0" fontId="68" fillId="0" borderId="0"/>
    <xf numFmtId="0" fontId="68" fillId="0" borderId="0"/>
    <xf numFmtId="0" fontId="68"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0" fontId="68" fillId="0" borderId="0"/>
    <xf numFmtId="239" fontId="3" fillId="0" borderId="0"/>
    <xf numFmtId="0" fontId="68"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0" fontId="68" fillId="0" borderId="0"/>
    <xf numFmtId="0" fontId="68" fillId="0" borderId="0"/>
    <xf numFmtId="254" fontId="9" fillId="0" borderId="0" applyFont="0" applyFill="0" applyBorder="0" applyAlignment="0" applyProtection="0">
      <alignment horizontal="right"/>
    </xf>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35" fillId="0" borderId="0"/>
    <xf numFmtId="0" fontId="135" fillId="0" borderId="0"/>
    <xf numFmtId="0" fontId="68" fillId="0" borderId="0"/>
    <xf numFmtId="239" fontId="3" fillId="0" borderId="0"/>
    <xf numFmtId="0" fontId="12"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3" fillId="0" borderId="0"/>
    <xf numFmtId="0" fontId="3" fillId="0" borderId="0"/>
    <xf numFmtId="0" fontId="3" fillId="0" borderId="0"/>
    <xf numFmtId="0" fontId="3" fillId="0" borderId="0"/>
    <xf numFmtId="239" fontId="3" fillId="0" borderId="0"/>
    <xf numFmtId="0" fontId="75" fillId="0" borderId="0"/>
    <xf numFmtId="0" fontId="1" fillId="0" borderId="0"/>
    <xf numFmtId="0" fontId="75" fillId="0" borderId="0"/>
    <xf numFmtId="0" fontId="68" fillId="0" borderId="0"/>
    <xf numFmtId="239" fontId="3"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39" fontId="3"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39" fontId="3"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39" fontId="3"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39" fontId="3" fillId="0" borderId="0"/>
    <xf numFmtId="0" fontId="68" fillId="0" borderId="0"/>
    <xf numFmtId="0" fontId="1" fillId="0" borderId="0"/>
    <xf numFmtId="0" fontId="1" fillId="0" borderId="0"/>
    <xf numFmtId="0" fontId="1" fillId="0" borderId="0"/>
    <xf numFmtId="239" fontId="3" fillId="0" borderId="0"/>
    <xf numFmtId="0" fontId="68" fillId="0" borderId="0"/>
    <xf numFmtId="239" fontId="3" fillId="0" borderId="0"/>
    <xf numFmtId="0" fontId="68" fillId="0" borderId="0"/>
    <xf numFmtId="0" fontId="1" fillId="0" borderId="0"/>
    <xf numFmtId="0" fontId="1" fillId="0" borderId="0"/>
    <xf numFmtId="0" fontId="1" fillId="0" borderId="0"/>
    <xf numFmtId="239" fontId="3" fillId="0" borderId="0"/>
    <xf numFmtId="0" fontId="68" fillId="0" borderId="0"/>
    <xf numFmtId="0" fontId="1" fillId="0" borderId="0"/>
    <xf numFmtId="239" fontId="3" fillId="0" borderId="0"/>
    <xf numFmtId="0" fontId="68" fillId="0" borderId="0"/>
    <xf numFmtId="239" fontId="3" fillId="0" borderId="0"/>
    <xf numFmtId="0" fontId="3" fillId="0" borderId="0"/>
    <xf numFmtId="0" fontId="3" fillId="0" borderId="0"/>
    <xf numFmtId="0" fontId="3" fillId="0" borderId="0"/>
    <xf numFmtId="0" fontId="3" fillId="0" borderId="0"/>
    <xf numFmtId="0" fontId="3" fillId="0" borderId="0"/>
    <xf numFmtId="239" fontId="3" fillId="0" borderId="0"/>
    <xf numFmtId="0" fontId="3" fillId="0" borderId="0"/>
    <xf numFmtId="0" fontId="68" fillId="0" borderId="0"/>
    <xf numFmtId="0" fontId="3" fillId="0" borderId="0"/>
    <xf numFmtId="239" fontId="3" fillId="0" borderId="0"/>
    <xf numFmtId="0" fontId="3" fillId="0" borderId="0"/>
    <xf numFmtId="239" fontId="3" fillId="0" borderId="0"/>
    <xf numFmtId="0" fontId="3" fillId="0" borderId="0"/>
    <xf numFmtId="239" fontId="3" fillId="0" borderId="0"/>
    <xf numFmtId="0" fontId="1"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3" fillId="0" borderId="0"/>
    <xf numFmtId="239" fontId="3" fillId="0" borderId="0"/>
    <xf numFmtId="0"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0"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5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4" fontId="9" fillId="0" borderId="0" applyFont="0" applyFill="0" applyBorder="0" applyAlignment="0" applyProtection="0">
      <alignment horizontal="right"/>
    </xf>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0" fontId="41" fillId="0" borderId="0"/>
    <xf numFmtId="0" fontId="3" fillId="0" borderId="0">
      <alignment wrapText="1"/>
    </xf>
    <xf numFmtId="0" fontId="3" fillId="0" borderId="0">
      <alignment wrapText="1"/>
    </xf>
    <xf numFmtId="0" fontId="12"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3" fillId="0" borderId="0"/>
    <xf numFmtId="239" fontId="3" fillId="0" borderId="0"/>
    <xf numFmtId="0" fontId="1" fillId="0" borderId="0"/>
    <xf numFmtId="0" fontId="3" fillId="0" borderId="0"/>
    <xf numFmtId="0" fontId="1" fillId="0" borderId="0"/>
    <xf numFmtId="0" fontId="68" fillId="0" borderId="0"/>
    <xf numFmtId="239" fontId="3" fillId="0" borderId="0"/>
    <xf numFmtId="0" fontId="68" fillId="0" borderId="0"/>
    <xf numFmtId="239" fontId="3" fillId="0" borderId="0"/>
    <xf numFmtId="0" fontId="3" fillId="0" borderId="0"/>
    <xf numFmtId="0" fontId="1" fillId="0" borderId="0"/>
    <xf numFmtId="0" fontId="1" fillId="0" borderId="0"/>
    <xf numFmtId="0" fontId="1"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3" fillId="0" borderId="0"/>
    <xf numFmtId="239" fontId="3" fillId="0" borderId="0"/>
    <xf numFmtId="0" fontId="3" fillId="0" borderId="0"/>
    <xf numFmtId="239" fontId="3" fillId="0" borderId="0"/>
    <xf numFmtId="0" fontId="3" fillId="0" borderId="0"/>
    <xf numFmtId="239" fontId="3" fillId="0" borderId="0"/>
    <xf numFmtId="0" fontId="3" fillId="0" borderId="0"/>
    <xf numFmtId="239" fontId="3" fillId="0" borderId="0"/>
    <xf numFmtId="0" fontId="3" fillId="0" borderId="0"/>
    <xf numFmtId="239" fontId="3" fillId="0" borderId="0"/>
    <xf numFmtId="0"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7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39"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254" fontId="9" fillId="0" borderId="0" applyFont="0" applyFill="0" applyBorder="0" applyAlignment="0" applyProtection="0">
      <alignment horizontal="right"/>
    </xf>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0" fontId="3" fillId="0" borderId="0">
      <alignment wrapText="1"/>
    </xf>
    <xf numFmtId="0" fontId="33" fillId="0" borderId="0"/>
    <xf numFmtId="0" fontId="33" fillId="0" borderId="0"/>
    <xf numFmtId="0" fontId="3" fillId="0" borderId="0">
      <alignment wrapText="1"/>
    </xf>
    <xf numFmtId="0" fontId="3" fillId="0" borderId="0">
      <alignment wrapText="1"/>
    </xf>
    <xf numFmtId="0" fontId="3" fillId="0" borderId="0">
      <alignment wrapText="1"/>
    </xf>
    <xf numFmtId="0" fontId="33" fillId="0" borderId="0"/>
    <xf numFmtId="0" fontId="3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1" fillId="0" borderId="0"/>
    <xf numFmtId="239" fontId="3" fillId="0" borderId="0"/>
    <xf numFmtId="0" fontId="3" fillId="0" borderId="0">
      <alignment wrapText="1"/>
    </xf>
    <xf numFmtId="0" fontId="68" fillId="0" borderId="0"/>
    <xf numFmtId="0" fontId="3" fillId="0" borderId="0">
      <alignment wrapText="1"/>
    </xf>
    <xf numFmtId="0" fontId="68" fillId="0" borderId="0"/>
    <xf numFmtId="239" fontId="3" fillId="0" borderId="0"/>
    <xf numFmtId="0" fontId="68" fillId="0" borderId="0"/>
    <xf numFmtId="0" fontId="1" fillId="0" borderId="0"/>
    <xf numFmtId="0" fontId="1" fillId="0" borderId="0"/>
    <xf numFmtId="0" fontId="1" fillId="0" borderId="0"/>
    <xf numFmtId="239" fontId="3" fillId="0" borderId="0"/>
    <xf numFmtId="0" fontId="68" fillId="0" borderId="0"/>
    <xf numFmtId="0" fontId="1" fillId="0" borderId="0"/>
    <xf numFmtId="0" fontId="1" fillId="0" borderId="0"/>
    <xf numFmtId="0" fontId="1"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3" fillId="0" borderId="0">
      <alignment wrapText="1"/>
    </xf>
    <xf numFmtId="239" fontId="3" fillId="0" borderId="0"/>
    <xf numFmtId="0" fontId="3" fillId="0" borderId="0">
      <alignment wrapText="1"/>
    </xf>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4" fontId="9" fillId="0" borderId="0" applyFont="0" applyFill="0" applyBorder="0" applyAlignment="0" applyProtection="0">
      <alignment horizontal="right"/>
    </xf>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3" fillId="0" borderId="0"/>
    <xf numFmtId="0" fontId="3" fillId="0" borderId="0"/>
    <xf numFmtId="0" fontId="41" fillId="0" borderId="0"/>
    <xf numFmtId="0" fontId="8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3" fillId="0" borderId="0"/>
    <xf numFmtId="0" fontId="3" fillId="0" borderId="0"/>
    <xf numFmtId="0" fontId="3" fillId="0" borderId="0"/>
    <xf numFmtId="0" fontId="3" fillId="0" borderId="0"/>
    <xf numFmtId="0" fontId="3" fillId="0" borderId="0"/>
    <xf numFmtId="0" fontId="82" fillId="0" borderId="0"/>
    <xf numFmtId="0" fontId="82" fillId="0" borderId="0"/>
    <xf numFmtId="239" fontId="3"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75" fillId="0" borderId="0"/>
    <xf numFmtId="0" fontId="3" fillId="0" borderId="0"/>
    <xf numFmtId="254" fontId="9" fillId="0" borderId="0" applyFont="0" applyFill="0" applyBorder="0" applyAlignment="0" applyProtection="0">
      <alignment horizontal="right"/>
    </xf>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68" fillId="0" borderId="0"/>
    <xf numFmtId="0" fontId="1" fillId="0" borderId="0"/>
    <xf numFmtId="0" fontId="68" fillId="0" borderId="0"/>
    <xf numFmtId="0" fontId="68" fillId="0" borderId="0"/>
    <xf numFmtId="0" fontId="68" fillId="0" borderId="0"/>
    <xf numFmtId="0" fontId="68" fillId="0" borderId="0"/>
    <xf numFmtId="0" fontId="68" fillId="0" borderId="0"/>
    <xf numFmtId="0" fontId="3"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3" fillId="0" borderId="0"/>
    <xf numFmtId="0" fontId="1" fillId="0" borderId="0"/>
    <xf numFmtId="0" fontId="3" fillId="0" borderId="0"/>
    <xf numFmtId="0" fontId="1" fillId="0" borderId="0"/>
    <xf numFmtId="0" fontId="1" fillId="0" borderId="0"/>
    <xf numFmtId="0" fontId="1" fillId="0" borderId="0"/>
    <xf numFmtId="0" fontId="68" fillId="0" borderId="0"/>
    <xf numFmtId="0" fontId="136" fillId="0" borderId="0"/>
    <xf numFmtId="0" fontId="3" fillId="0" borderId="0"/>
    <xf numFmtId="0" fontId="137" fillId="0" borderId="0"/>
    <xf numFmtId="258" fontId="9" fillId="0" borderId="0" applyFont="0" applyFill="0" applyBorder="0" applyAlignment="0" applyProtection="0"/>
    <xf numFmtId="0" fontId="2" fillId="80" borderId="57" applyNumberFormat="0" applyFont="0" applyAlignment="0" applyProtection="0"/>
    <xf numFmtId="0" fontId="49" fillId="11" borderId="20" applyNumberFormat="0" applyFont="0" applyAlignment="0" applyProtection="0"/>
    <xf numFmtId="0" fontId="1" fillId="11" borderId="20" applyNumberFormat="0" applyFont="0" applyAlignment="0" applyProtection="0"/>
    <xf numFmtId="0" fontId="2" fillId="80" borderId="57" applyNumberFormat="0" applyFont="0" applyAlignment="0" applyProtection="0"/>
    <xf numFmtId="0" fontId="2" fillId="80" borderId="57" applyNumberFormat="0" applyFont="0" applyAlignment="0" applyProtection="0"/>
    <xf numFmtId="0" fontId="2" fillId="80" borderId="57" applyNumberFormat="0" applyFont="0" applyAlignment="0" applyProtection="0"/>
    <xf numFmtId="0" fontId="138" fillId="11" borderId="20" applyNumberFormat="0" applyFont="0" applyAlignment="0" applyProtection="0"/>
    <xf numFmtId="0" fontId="33" fillId="11" borderId="20" applyNumberFormat="0" applyFont="0" applyAlignment="0" applyProtection="0"/>
    <xf numFmtId="0" fontId="1" fillId="11" borderId="20" applyNumberFormat="0" applyFont="0" applyAlignment="0" applyProtection="0"/>
    <xf numFmtId="0" fontId="33" fillId="11" borderId="20" applyNumberFormat="0" applyFont="0" applyAlignment="0" applyProtection="0"/>
    <xf numFmtId="0" fontId="1" fillId="11" borderId="20" applyNumberFormat="0" applyFont="0" applyAlignment="0" applyProtection="0"/>
    <xf numFmtId="0" fontId="2" fillId="80" borderId="57" applyNumberFormat="0" applyFont="0" applyAlignment="0" applyProtection="0"/>
    <xf numFmtId="0" fontId="2" fillId="80" borderId="57" applyNumberFormat="0" applyFont="0" applyAlignment="0" applyProtection="0"/>
    <xf numFmtId="0" fontId="138" fillId="11" borderId="20" applyNumberFormat="0" applyFont="0" applyAlignment="0" applyProtection="0"/>
    <xf numFmtId="0" fontId="1" fillId="11" borderId="20" applyNumberFormat="0" applyFont="0" applyAlignment="0" applyProtection="0"/>
    <xf numFmtId="0" fontId="138" fillId="11" borderId="20" applyNumberFormat="0" applyFont="0" applyAlignment="0" applyProtection="0"/>
    <xf numFmtId="0" fontId="138" fillId="11" borderId="20" applyNumberFormat="0" applyFont="0" applyAlignment="0" applyProtection="0"/>
    <xf numFmtId="0" fontId="138" fillId="11" borderId="20" applyNumberFormat="0" applyFont="0" applyAlignment="0" applyProtection="0"/>
    <xf numFmtId="0" fontId="138" fillId="11" borderId="20" applyNumberFormat="0" applyFont="0" applyAlignment="0" applyProtection="0"/>
    <xf numFmtId="0" fontId="138" fillId="11" borderId="20" applyNumberFormat="0" applyFont="0" applyAlignment="0" applyProtection="0"/>
    <xf numFmtId="0" fontId="138" fillId="11" borderId="20" applyNumberFormat="0" applyFont="0" applyAlignment="0" applyProtection="0"/>
    <xf numFmtId="0" fontId="49"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49" fillId="11" borderId="20" applyNumberFormat="0" applyFont="0" applyAlignment="0" applyProtection="0"/>
    <xf numFmtId="0" fontId="1" fillId="11" borderId="20" applyNumberFormat="0" applyFont="0" applyAlignment="0" applyProtection="0"/>
    <xf numFmtId="0" fontId="49" fillId="11" borderId="20" applyNumberFormat="0" applyFont="0" applyAlignment="0" applyProtection="0"/>
    <xf numFmtId="0" fontId="1" fillId="11" borderId="20" applyNumberFormat="0" applyFont="0" applyAlignment="0" applyProtection="0"/>
    <xf numFmtId="0" fontId="49" fillId="11" borderId="20" applyNumberFormat="0" applyFont="0" applyAlignment="0" applyProtection="0"/>
    <xf numFmtId="0" fontId="1" fillId="11" borderId="20" applyNumberFormat="0" applyFont="0" applyAlignment="0" applyProtection="0"/>
    <xf numFmtId="0" fontId="49"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259" fontId="139" fillId="0" borderId="0" applyBorder="0" applyProtection="0">
      <alignment horizontal="right"/>
    </xf>
    <xf numFmtId="259" fontId="140" fillId="81" borderId="0" applyBorder="0" applyProtection="0">
      <alignment horizontal="right"/>
    </xf>
    <xf numFmtId="259" fontId="141" fillId="0" borderId="4" applyBorder="0"/>
    <xf numFmtId="259" fontId="142" fillId="0" borderId="0" applyBorder="0" applyProtection="0">
      <alignment horizontal="right"/>
    </xf>
    <xf numFmtId="260" fontId="142" fillId="0" borderId="0" applyBorder="0" applyProtection="0">
      <alignment horizontal="right"/>
    </xf>
    <xf numFmtId="260" fontId="143" fillId="81" borderId="0" applyProtection="0">
      <alignment horizontal="right"/>
    </xf>
    <xf numFmtId="37" fontId="47" fillId="0" borderId="0" applyFill="0" applyBorder="0" applyProtection="0">
      <alignment horizontal="right"/>
    </xf>
    <xf numFmtId="192" fontId="42" fillId="0" borderId="0" applyFont="0" applyFill="0" applyBorder="0" applyProtection="0">
      <alignment horizontal="right"/>
    </xf>
    <xf numFmtId="261" fontId="139" fillId="0" borderId="0" applyFill="0" applyBorder="0" applyProtection="0"/>
    <xf numFmtId="0" fontId="61" fillId="64" borderId="0">
      <alignment horizontal="right"/>
    </xf>
    <xf numFmtId="0" fontId="3" fillId="0" borderId="0">
      <alignment horizontal="right"/>
    </xf>
    <xf numFmtId="0" fontId="144" fillId="65" borderId="58" applyNumberFormat="0" applyAlignment="0" applyProtection="0"/>
    <xf numFmtId="0" fontId="144" fillId="65" borderId="58" applyNumberFormat="0" applyAlignment="0" applyProtection="0"/>
    <xf numFmtId="0" fontId="144" fillId="65" borderId="58" applyNumberFormat="0" applyAlignment="0" applyProtection="0"/>
    <xf numFmtId="0" fontId="144" fillId="65" borderId="58" applyNumberFormat="0" applyAlignment="0" applyProtection="0"/>
    <xf numFmtId="0" fontId="145" fillId="9" borderId="17" applyNumberFormat="0" applyAlignment="0" applyProtection="0"/>
    <xf numFmtId="0" fontId="144" fillId="65" borderId="58" applyNumberFormat="0" applyAlignment="0" applyProtection="0"/>
    <xf numFmtId="0" fontId="144" fillId="65" borderId="58" applyNumberFormat="0" applyAlignment="0" applyProtection="0"/>
    <xf numFmtId="0" fontId="145" fillId="9" borderId="17" applyNumberFormat="0" applyAlignment="0" applyProtection="0"/>
    <xf numFmtId="0" fontId="145" fillId="9" borderId="17" applyNumberFormat="0" applyAlignment="0" applyProtection="0"/>
    <xf numFmtId="0" fontId="145" fillId="9" borderId="17" applyNumberFormat="0" applyAlignment="0" applyProtection="0"/>
    <xf numFmtId="0" fontId="145" fillId="9" borderId="17" applyNumberFormat="0" applyAlignment="0" applyProtection="0"/>
    <xf numFmtId="0" fontId="145" fillId="9" borderId="17" applyNumberFormat="0" applyAlignment="0" applyProtection="0"/>
    <xf numFmtId="0" fontId="145" fillId="9" borderId="17" applyNumberFormat="0" applyAlignment="0" applyProtection="0"/>
    <xf numFmtId="0" fontId="24" fillId="9" borderId="17" applyNumberFormat="0" applyAlignment="0" applyProtection="0"/>
    <xf numFmtId="0" fontId="146" fillId="0" borderId="0" applyProtection="0">
      <alignment horizontal="left"/>
    </xf>
    <xf numFmtId="0" fontId="146" fillId="0" borderId="0" applyFill="0" applyBorder="0" applyProtection="0">
      <alignment horizontal="left"/>
    </xf>
    <xf numFmtId="0" fontId="147" fillId="0" borderId="0" applyFill="0" applyBorder="0" applyProtection="0">
      <alignment horizontal="left"/>
    </xf>
    <xf numFmtId="1" fontId="148" fillId="0" borderId="0" applyProtection="0">
      <alignment horizontal="right" vertical="center"/>
    </xf>
    <xf numFmtId="241" fontId="149" fillId="0" borderId="5">
      <alignment vertical="center"/>
    </xf>
    <xf numFmtId="2" fontId="54" fillId="0" borderId="0"/>
    <xf numFmtId="168" fontId="150" fillId="0" borderId="0" applyFill="0" applyBorder="0" applyAlignment="0" applyProtection="0"/>
    <xf numFmtId="213" fontId="3" fillId="0" borderId="0" applyFont="0" applyFill="0" applyBorder="0" applyAlignment="0" applyProtection="0"/>
    <xf numFmtId="262" fontId="10" fillId="0" borderId="0" applyFont="0" applyFill="0" applyBorder="0" applyAlignment="0" applyProtection="0"/>
    <xf numFmtId="263" fontId="13" fillId="64" borderId="1" applyFill="0" applyBorder="0" applyAlignment="0" applyProtection="0">
      <alignment horizontal="right"/>
      <protection locked="0"/>
    </xf>
    <xf numFmtId="264" fontId="13" fillId="71" borderId="0" applyFill="0" applyBorder="0" applyAlignment="0" applyProtection="0">
      <protection hidden="1"/>
    </xf>
    <xf numFmtId="10" fontId="3" fillId="0" borderId="0" applyFont="0" applyFill="0" applyBorder="0" applyAlignment="0" applyProtection="0"/>
    <xf numFmtId="10" fontId="3" fillId="0" borderId="0" applyFont="0" applyFill="0" applyBorder="0" applyAlignment="0" applyProtection="0"/>
    <xf numFmtId="265" fontId="139" fillId="0" borderId="0" applyBorder="0" applyProtection="0">
      <alignment horizontal="right"/>
    </xf>
    <xf numFmtId="265" fontId="140" fillId="81" borderId="0" applyProtection="0">
      <alignment horizontal="right"/>
    </xf>
    <xf numFmtId="265" fontId="142" fillId="0" borderId="0" applyFont="0" applyBorder="0" applyProtection="0">
      <alignment horizontal="right"/>
    </xf>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8"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2" fillId="0" borderId="0" applyFont="0" applyFill="0" applyBorder="0" applyAlignment="0" applyProtection="0"/>
    <xf numFmtId="9" fontId="3"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6" fontId="54" fillId="0" borderId="0" applyFont="0" applyFill="0" applyBorder="0" applyProtection="0">
      <alignment horizontal="right"/>
    </xf>
    <xf numFmtId="9" fontId="3" fillId="0" borderId="0"/>
    <xf numFmtId="267" fontId="3" fillId="0" borderId="0" applyFill="0" applyBorder="0">
      <alignment horizontal="right"/>
      <protection locked="0"/>
    </xf>
    <xf numFmtId="1" fontId="48" fillId="0" borderId="0"/>
    <xf numFmtId="251" fontId="3" fillId="0" borderId="0">
      <protection locked="0"/>
    </xf>
    <xf numFmtId="168" fontId="3" fillId="0" borderId="0" applyFont="0" applyFill="0" applyBorder="0" applyAlignment="0" applyProtection="0"/>
    <xf numFmtId="211" fontId="10" fillId="0" borderId="0" applyFill="0" applyBorder="0" applyAlignment="0"/>
    <xf numFmtId="212" fontId="10" fillId="0" borderId="0" applyFill="0" applyBorder="0" applyAlignment="0"/>
    <xf numFmtId="211" fontId="10" fillId="0" borderId="0" applyFill="0" applyBorder="0" applyAlignment="0"/>
    <xf numFmtId="214" fontId="3" fillId="0" borderId="0" applyFill="0" applyBorder="0" applyAlignment="0"/>
    <xf numFmtId="212" fontId="10" fillId="0" borderId="0" applyFill="0" applyBorder="0" applyAlignment="0"/>
    <xf numFmtId="10" fontId="54" fillId="0" borderId="0"/>
    <xf numFmtId="10" fontId="54" fillId="75" borderId="0"/>
    <xf numFmtId="9" fontId="54" fillId="0" borderId="0" applyFont="0" applyFill="0" applyBorder="0" applyAlignment="0" applyProtection="0"/>
    <xf numFmtId="175" fontId="82" fillId="0" borderId="0"/>
    <xf numFmtId="268" fontId="151" fillId="71" borderId="0" applyBorder="0" applyAlignment="0">
      <protection hidden="1"/>
    </xf>
    <xf numFmtId="1" fontId="151" fillId="71" borderId="0">
      <alignment horizontal="center"/>
    </xf>
    <xf numFmtId="0" fontId="68" fillId="0" borderId="0" applyNumberFormat="0" applyFont="0" applyFill="0" applyBorder="0" applyAlignment="0" applyProtection="0">
      <alignment horizontal="left"/>
    </xf>
    <xf numFmtId="15" fontId="68" fillId="0" borderId="0" applyFont="0" applyFill="0" applyBorder="0" applyAlignment="0" applyProtection="0"/>
    <xf numFmtId="4" fontId="68" fillId="0" borderId="0" applyFont="0" applyFill="0" applyBorder="0" applyAlignment="0" applyProtection="0"/>
    <xf numFmtId="0" fontId="122" fillId="0" borderId="2">
      <alignment horizontal="center"/>
    </xf>
    <xf numFmtId="3" fontId="68" fillId="0" borderId="0" applyFont="0" applyFill="0" applyBorder="0" applyAlignment="0" applyProtection="0"/>
    <xf numFmtId="0" fontId="68" fillId="82" borderId="0" applyNumberFormat="0" applyFont="0" applyBorder="0" applyAlignment="0" applyProtection="0"/>
    <xf numFmtId="0" fontId="68" fillId="0" borderId="0">
      <alignment horizontal="right"/>
      <protection locked="0"/>
    </xf>
    <xf numFmtId="234" fontId="152" fillId="0" borderId="0" applyNumberFormat="0" applyFill="0" applyBorder="0" applyAlignment="0" applyProtection="0">
      <alignment horizontal="left"/>
    </xf>
    <xf numFmtId="0" fontId="153" fillId="69" borderId="0"/>
    <xf numFmtId="0" fontId="48" fillId="0" borderId="0" applyNumberFormat="0" applyFill="0" applyBorder="0" applyProtection="0">
      <alignment horizontal="right" vertical="center"/>
    </xf>
    <xf numFmtId="0" fontId="154" fillId="0" borderId="59">
      <alignment vertical="center"/>
    </xf>
    <xf numFmtId="171" fontId="3" fillId="0" borderId="0" applyFill="0" applyBorder="0">
      <alignment horizontal="right"/>
      <protection hidden="1"/>
    </xf>
    <xf numFmtId="0" fontId="155" fillId="68" borderId="1">
      <alignment horizontal="center" vertical="center" wrapText="1"/>
      <protection hidden="1"/>
    </xf>
    <xf numFmtId="0" fontId="68" fillId="83" borderId="60"/>
    <xf numFmtId="0" fontId="10" fillId="84" borderId="0" applyNumberFormat="0" applyFont="0" applyBorder="0" applyAlignment="0" applyProtection="0"/>
    <xf numFmtId="42" fontId="156" fillId="0" borderId="0" applyFill="0" applyBorder="0" applyAlignment="0" applyProtection="0"/>
    <xf numFmtId="41" fontId="157" fillId="0" borderId="0"/>
    <xf numFmtId="0" fontId="9" fillId="0" borderId="0"/>
    <xf numFmtId="0" fontId="158" fillId="0" borderId="0">
      <alignment horizontal="right"/>
    </xf>
    <xf numFmtId="0" fontId="85" fillId="0" borderId="0">
      <alignment horizontal="left"/>
    </xf>
    <xf numFmtId="168" fontId="159" fillId="0" borderId="51"/>
    <xf numFmtId="269" fontId="53" fillId="77" borderId="0" applyFont="0" applyBorder="0"/>
    <xf numFmtId="201" fontId="47" fillId="0" borderId="0" applyNumberFormat="0" applyFill="0">
      <alignment horizontal="left" vertical="center" wrapText="1"/>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3" fillId="0" borderId="0">
      <alignment vertical="top"/>
    </xf>
    <xf numFmtId="41" fontId="3" fillId="0" borderId="0" applyFont="0" applyFill="0" applyBorder="0" applyAlignment="0" applyProtection="0"/>
    <xf numFmtId="0" fontId="80" fillId="0" borderId="0">
      <alignment vertical="top"/>
    </xf>
    <xf numFmtId="0" fontId="10" fillId="0" borderId="0">
      <alignment vertical="top"/>
    </xf>
    <xf numFmtId="0" fontId="10" fillId="0" borderId="0">
      <alignment vertical="top"/>
    </xf>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0" fillId="0" borderId="0">
      <alignment vertical="top"/>
    </xf>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0" fillId="0" borderId="0">
      <alignment vertical="top"/>
    </xf>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44" fontId="3" fillId="0" borderId="0" applyFont="0" applyFill="0" applyBorder="0" applyAlignment="0" applyProtection="0"/>
    <xf numFmtId="0" fontId="10" fillId="0" borderId="0">
      <alignment vertical="top"/>
    </xf>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60" fillId="84" borderId="1" applyNumberFormat="0" applyProtection="0">
      <alignment horizontal="center" vertical="center"/>
    </xf>
    <xf numFmtId="0" fontId="10" fillId="0" borderId="0">
      <alignment vertical="top"/>
    </xf>
    <xf numFmtId="0" fontId="6" fillId="84" borderId="1" applyNumberFormat="0" applyProtection="0">
      <alignment horizontal="center" vertical="center"/>
    </xf>
    <xf numFmtId="0" fontId="10" fillId="0" borderId="0">
      <alignment vertical="top"/>
    </xf>
    <xf numFmtId="0" fontId="10" fillId="0" borderId="0">
      <alignment vertical="top"/>
    </xf>
    <xf numFmtId="0" fontId="39" fillId="0" borderId="0" applyNumberFormat="0" applyFill="0" applyBorder="0" applyAlignment="0" applyProtection="0"/>
    <xf numFmtId="0" fontId="3" fillId="42" borderId="1" applyNumberFormat="0" applyProtection="0">
      <alignment horizontal="left" vertical="center"/>
    </xf>
    <xf numFmtId="0" fontId="3" fillId="42" borderId="1" applyNumberFormat="0" applyProtection="0">
      <alignment horizontal="left" vertical="center"/>
    </xf>
    <xf numFmtId="0" fontId="10" fillId="0" borderId="0">
      <alignment vertical="top"/>
    </xf>
    <xf numFmtId="0" fontId="6" fillId="40" borderId="1" applyNumberFormat="0" applyProtection="0">
      <alignment horizontal="left" vertical="center" wrapText="1"/>
    </xf>
    <xf numFmtId="0" fontId="10" fillId="0" borderId="0">
      <alignment vertical="top"/>
    </xf>
    <xf numFmtId="0" fontId="10" fillId="0" borderId="0">
      <alignment vertical="top"/>
    </xf>
    <xf numFmtId="0" fontId="7" fillId="0" borderId="0" applyNumberFormat="0" applyFill="0" applyBorder="0" applyAlignment="0" applyProtection="0"/>
    <xf numFmtId="0" fontId="3" fillId="42" borderId="1" applyNumberFormat="0" applyProtection="0">
      <alignment horizontal="left" vertical="center" wrapText="1"/>
    </xf>
    <xf numFmtId="0" fontId="3" fillId="42" borderId="1" applyNumberFormat="0" applyProtection="0">
      <alignment horizontal="left" vertical="center" wrapText="1"/>
    </xf>
    <xf numFmtId="0" fontId="10" fillId="0" borderId="0">
      <alignment vertical="top"/>
    </xf>
    <xf numFmtId="0" fontId="6" fillId="40" borderId="1" applyNumberFormat="0" applyProtection="0">
      <alignment horizontal="left" vertical="center" wrapText="1"/>
    </xf>
    <xf numFmtId="0" fontId="10" fillId="0" borderId="0">
      <alignment vertical="top"/>
    </xf>
    <xf numFmtId="0" fontId="10" fillId="0" borderId="0">
      <alignment vertical="top"/>
    </xf>
    <xf numFmtId="0" fontId="161" fillId="85" borderId="0" applyNumberFormat="0" applyBorder="0" applyAlignment="0" applyProtection="0"/>
    <xf numFmtId="0" fontId="10" fillId="0" borderId="0">
      <alignment vertical="top"/>
    </xf>
    <xf numFmtId="0" fontId="10" fillId="0" borderId="0">
      <alignment vertical="top"/>
    </xf>
    <xf numFmtId="0" fontId="10" fillId="0" borderId="0">
      <alignment vertical="top"/>
    </xf>
    <xf numFmtId="43" fontId="46" fillId="0" borderId="0" applyFont="0" applyFill="0" applyBorder="0" applyAlignment="0" applyProtection="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185" fontId="3" fillId="0" borderId="0" applyFont="0" applyFill="0" applyBorder="0" applyAlignment="0" applyProtection="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44" fontId="3" fillId="0" borderId="0" applyFont="0" applyFill="0" applyBorder="0" applyAlignment="0" applyProtection="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270" fontId="54" fillId="0" borderId="0" applyFont="0" applyFill="0" applyBorder="0" applyAlignment="0" applyProtection="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270" fontId="54" fillId="0" borderId="0" applyFont="0" applyFill="0" applyBorder="0" applyAlignment="0" applyProtection="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82" fillId="0" borderId="0" applyNumberFormat="0" applyBorder="0" applyAlignment="0"/>
    <xf numFmtId="0" fontId="162" fillId="0" borderId="0" applyNumberFormat="0" applyBorder="0" applyAlignment="0"/>
    <xf numFmtId="0" fontId="163" fillId="0" borderId="0" applyNumberFormat="0" applyBorder="0" applyAlignment="0"/>
    <xf numFmtId="0" fontId="63" fillId="0" borderId="0" applyNumberFormat="0" applyFill="0" applyBorder="0" applyProtection="0">
      <alignment horizontal="left" vertical="center"/>
    </xf>
    <xf numFmtId="0" fontId="63" fillId="0" borderId="4" applyNumberFormat="0" applyFill="0" applyProtection="0">
      <alignment horizontal="left" vertical="center"/>
    </xf>
    <xf numFmtId="271" fontId="53" fillId="86" borderId="0" applyNumberFormat="0" applyFont="0" applyBorder="0">
      <alignment horizontal="center" vertical="center"/>
      <protection locked="0"/>
    </xf>
    <xf numFmtId="9" fontId="3" fillId="0" borderId="0"/>
    <xf numFmtId="0" fontId="64" fillId="0" borderId="0" applyFill="0" applyBorder="0" applyProtection="0">
      <alignment horizontal="center" vertical="center"/>
    </xf>
    <xf numFmtId="0" fontId="164" fillId="0" borderId="0" applyBorder="0" applyProtection="0">
      <alignment vertical="center"/>
    </xf>
    <xf numFmtId="175" fontId="3" fillId="0" borderId="5" applyBorder="0" applyProtection="0">
      <alignment horizontal="right" vertical="center"/>
    </xf>
    <xf numFmtId="0" fontId="165" fillId="87" borderId="0" applyBorder="0" applyProtection="0">
      <alignment horizontal="centerContinuous" vertical="center"/>
    </xf>
    <xf numFmtId="0" fontId="165" fillId="85" borderId="5" applyBorder="0" applyProtection="0">
      <alignment horizontal="centerContinuous" vertical="center"/>
    </xf>
    <xf numFmtId="0" fontId="166" fillId="0" borderId="0"/>
    <xf numFmtId="0" fontId="64" fillId="0" borderId="0" applyFill="0" applyBorder="0" applyProtection="0"/>
    <xf numFmtId="0" fontId="137" fillId="0" borderId="0"/>
    <xf numFmtId="0" fontId="167" fillId="0" borderId="0" applyFill="0" applyBorder="0" applyProtection="0">
      <alignment horizontal="left"/>
    </xf>
    <xf numFmtId="0" fontId="168" fillId="0" borderId="0" applyFill="0" applyBorder="0" applyProtection="0">
      <alignment horizontal="left" vertical="top"/>
    </xf>
    <xf numFmtId="0" fontId="169" fillId="0" borderId="0">
      <alignment horizontal="centerContinuous"/>
    </xf>
    <xf numFmtId="241" fontId="3" fillId="42" borderId="61" applyNumberFormat="0" applyAlignment="0">
      <alignment vertical="center"/>
    </xf>
    <xf numFmtId="241" fontId="170" fillId="88" borderId="62" applyNumberFormat="0" applyBorder="0" applyAlignment="0" applyProtection="0">
      <alignment vertical="center"/>
    </xf>
    <xf numFmtId="241" fontId="170" fillId="88" borderId="62" applyNumberFormat="0" applyBorder="0" applyAlignment="0" applyProtection="0">
      <alignment vertical="center"/>
    </xf>
    <xf numFmtId="241" fontId="170" fillId="88" borderId="62" applyNumberFormat="0" applyBorder="0" applyAlignment="0" applyProtection="0">
      <alignment vertical="center"/>
    </xf>
    <xf numFmtId="241" fontId="3" fillId="42" borderId="61" applyNumberFormat="0" applyProtection="0">
      <alignment horizontal="centerContinuous" vertical="center"/>
    </xf>
    <xf numFmtId="241" fontId="171" fillId="89" borderId="0" applyNumberFormat="0" applyBorder="0" applyAlignment="0" applyProtection="0">
      <alignment vertical="center"/>
    </xf>
    <xf numFmtId="241" fontId="3" fillId="88" borderId="0" applyBorder="0" applyAlignment="0" applyProtection="0">
      <alignment vertical="center"/>
    </xf>
    <xf numFmtId="49" fontId="47" fillId="0" borderId="5">
      <alignment vertical="center"/>
    </xf>
    <xf numFmtId="0" fontId="172" fillId="0" borderId="0"/>
    <xf numFmtId="0" fontId="173" fillId="0" borderId="0"/>
    <xf numFmtId="49" fontId="82" fillId="0" borderId="0" applyFill="0" applyBorder="0" applyAlignment="0"/>
    <xf numFmtId="272" fontId="10" fillId="0" borderId="0" applyFill="0" applyBorder="0" applyAlignment="0"/>
    <xf numFmtId="273" fontId="10" fillId="0" borderId="0" applyFill="0" applyBorder="0" applyAlignment="0"/>
    <xf numFmtId="0" fontId="43" fillId="0" borderId="0" applyNumberFormat="0" applyFont="0" applyFill="0" applyBorder="0" applyProtection="0">
      <alignment horizontal="left" vertical="top" wrapText="1"/>
    </xf>
    <xf numFmtId="18" fontId="9" fillId="0" borderId="0" applyFill="0" applyBorder="0" applyAlignment="0" applyProtection="0"/>
    <xf numFmtId="0" fontId="10" fillId="0" borderId="0" applyNumberFormat="0" applyFill="0" applyBorder="0" applyAlignment="0" applyProtection="0"/>
    <xf numFmtId="0" fontId="48" fillId="0" borderId="0" applyNumberFormat="0" applyFill="0" applyBorder="0" applyAlignment="0" applyProtection="0"/>
    <xf numFmtId="40" fontId="174" fillId="0" borderId="0"/>
    <xf numFmtId="0" fontId="175" fillId="0" borderId="0" applyNumberFormat="0" applyFill="0" applyBorder="0" applyAlignment="0" applyProtection="0"/>
    <xf numFmtId="0" fontId="176" fillId="0" borderId="0" applyNumberFormat="0" applyBorder="0" applyAlignment="0" applyProtection="0"/>
    <xf numFmtId="0" fontId="176" fillId="0" borderId="0" applyNumberFormat="0" applyBorder="0" applyAlignment="0" applyProtection="0"/>
    <xf numFmtId="274" fontId="177" fillId="85" borderId="0" applyNumberFormat="0" applyProtection="0">
      <alignment horizontal="left" vertical="center"/>
    </xf>
    <xf numFmtId="0" fontId="178" fillId="0" borderId="0" applyNumberFormat="0" applyProtection="0">
      <alignment horizontal="left" vertical="center"/>
    </xf>
    <xf numFmtId="0" fontId="179" fillId="0" borderId="0">
      <alignment horizontal="left"/>
    </xf>
    <xf numFmtId="0" fontId="68" fillId="0" borderId="0" applyBorder="0"/>
    <xf numFmtId="1" fontId="10" fillId="73" borderId="0" applyNumberFormat="0" applyFont="0" applyBorder="0" applyProtection="0">
      <alignment horizontal="left"/>
    </xf>
    <xf numFmtId="275" fontId="3" fillId="0" borderId="0" applyNumberFormat="0" applyFill="0" applyBorder="0" applyProtection="0">
      <alignment vertical="top"/>
    </xf>
    <xf numFmtId="0" fontId="180" fillId="0" borderId="63" applyNumberFormat="0" applyFill="0" applyAlignment="0" applyProtection="0"/>
    <xf numFmtId="0" fontId="30" fillId="0" borderId="21" applyNumberFormat="0" applyFill="0" applyAlignment="0" applyProtection="0"/>
    <xf numFmtId="0" fontId="180" fillId="0" borderId="63" applyNumberFormat="0" applyFill="0" applyAlignment="0" applyProtection="0"/>
    <xf numFmtId="0" fontId="180" fillId="0" borderId="63" applyNumberFormat="0" applyFill="0" applyAlignment="0" applyProtection="0"/>
    <xf numFmtId="0" fontId="180" fillId="0" borderId="63" applyNumberFormat="0" applyFill="0" applyAlignment="0" applyProtection="0"/>
    <xf numFmtId="0" fontId="34" fillId="0" borderId="21" applyNumberFormat="0" applyFill="0" applyAlignment="0" applyProtection="0"/>
    <xf numFmtId="0" fontId="180" fillId="0" borderId="63" applyNumberFormat="0" applyFill="0" applyAlignment="0" applyProtection="0"/>
    <xf numFmtId="0" fontId="180" fillId="0" borderId="63" applyNumberFormat="0" applyFill="0" applyAlignment="0" applyProtection="0"/>
    <xf numFmtId="0" fontId="34" fillId="0" borderId="21" applyNumberFormat="0" applyFill="0" applyAlignment="0" applyProtection="0"/>
    <xf numFmtId="0" fontId="34" fillId="0" borderId="21" applyNumberFormat="0" applyFill="0" applyAlignment="0" applyProtection="0"/>
    <xf numFmtId="0" fontId="34" fillId="0" borderId="21" applyNumberFormat="0" applyFill="0" applyAlignment="0" applyProtection="0"/>
    <xf numFmtId="0" fontId="34" fillId="0" borderId="21" applyNumberFormat="0" applyFill="0" applyAlignment="0" applyProtection="0"/>
    <xf numFmtId="0" fontId="34" fillId="0" borderId="21" applyNumberFormat="0" applyFill="0" applyAlignment="0" applyProtection="0"/>
    <xf numFmtId="0" fontId="34" fillId="0" borderId="21" applyNumberFormat="0" applyFill="0" applyAlignment="0" applyProtection="0"/>
    <xf numFmtId="0" fontId="181" fillId="0" borderId="21" applyNumberFormat="0" applyFill="0" applyAlignment="0" applyProtection="0"/>
    <xf numFmtId="39" fontId="3" fillId="0" borderId="29">
      <protection locked="0"/>
    </xf>
    <xf numFmtId="6" fontId="169" fillId="0" borderId="29" applyFill="0" applyAlignment="0" applyProtection="0"/>
    <xf numFmtId="175" fontId="15" fillId="0" borderId="64"/>
    <xf numFmtId="0" fontId="182" fillId="0" borderId="0">
      <alignment horizontal="fill"/>
    </xf>
    <xf numFmtId="276" fontId="151" fillId="71" borderId="34" applyBorder="0">
      <alignment horizontal="right" vertical="center"/>
      <protection locked="0"/>
    </xf>
    <xf numFmtId="42" fontId="3" fillId="0" borderId="0" applyFont="0" applyFill="0" applyBorder="0" applyAlignment="0" applyProtection="0"/>
    <xf numFmtId="277"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275" fontId="183" fillId="88" borderId="0" applyNumberFormat="0" applyBorder="0" applyProtection="0">
      <alignment horizontal="centerContinuous" vertical="center"/>
    </xf>
    <xf numFmtId="0" fontId="184"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28" fillId="0" borderId="0" applyNumberFormat="0" applyFill="0" applyBorder="0" applyAlignment="0" applyProtection="0"/>
    <xf numFmtId="0" fontId="186" fillId="0" borderId="0"/>
    <xf numFmtId="1" fontId="186" fillId="0" borderId="0"/>
    <xf numFmtId="278" fontId="54" fillId="0" borderId="0" applyFont="0" applyFill="0" applyBorder="0" applyProtection="0">
      <alignment horizontal="right"/>
    </xf>
    <xf numFmtId="279" fontId="3" fillId="0" borderId="0"/>
    <xf numFmtId="280" fontId="139" fillId="0" borderId="0" applyFill="0" applyBorder="0" applyProtection="0"/>
    <xf numFmtId="0" fontId="3" fillId="0" borderId="0">
      <alignment horizontal="center"/>
    </xf>
    <xf numFmtId="281" fontId="47" fillId="0" borderId="5">
      <alignment horizontal="right"/>
    </xf>
    <xf numFmtId="282" fontId="3" fillId="0" borderId="0" applyFont="0" applyFill="0" applyBorder="0" applyAlignment="0" applyProtection="0"/>
    <xf numFmtId="283" fontId="56" fillId="0" borderId="0" applyFont="0" applyFill="0" applyBorder="0" applyProtection="0">
      <alignment horizontal="right"/>
    </xf>
    <xf numFmtId="0" fontId="3" fillId="0" borderId="0"/>
    <xf numFmtId="284" fontId="3" fillId="0" borderId="0"/>
    <xf numFmtId="0" fontId="11" fillId="0" borderId="0"/>
    <xf numFmtId="0" fontId="12" fillId="0" borderId="0"/>
    <xf numFmtId="0" fontId="3" fillId="0" borderId="0"/>
    <xf numFmtId="44" fontId="192" fillId="0" borderId="0" applyFont="0" applyFill="0" applyBorder="0" applyAlignment="0" applyProtection="0"/>
    <xf numFmtId="0" fontId="25" fillId="9" borderId="16" applyNumberFormat="0" applyAlignment="0" applyProtection="0"/>
    <xf numFmtId="0" fontId="27" fillId="10" borderId="19" applyNumberFormat="0" applyAlignment="0" applyProtection="0"/>
    <xf numFmtId="0" fontId="31" fillId="20" borderId="0" applyNumberFormat="0" applyBorder="0" applyAlignment="0" applyProtection="0"/>
    <xf numFmtId="0" fontId="31" fillId="28" borderId="0" applyNumberFormat="0" applyBorder="0" applyAlignment="0" applyProtection="0"/>
    <xf numFmtId="0" fontId="31" fillId="35"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cellStyleXfs>
  <cellXfs count="620">
    <xf numFmtId="0" fontId="0" fillId="0" borderId="0" xfId="0"/>
    <xf numFmtId="0" fontId="0" fillId="0" borderId="0" xfId="0" applyAlignment="1">
      <alignment horizontal="center"/>
    </xf>
    <xf numFmtId="17" fontId="0" fillId="0" borderId="0" xfId="0" applyNumberFormat="1"/>
    <xf numFmtId="0" fontId="0" fillId="0" borderId="0" xfId="0" applyAlignment="1">
      <alignment horizontal="right"/>
    </xf>
    <xf numFmtId="168" fontId="0" fillId="0" borderId="0" xfId="0" applyNumberFormat="1" applyAlignment="1">
      <alignment horizontal="center"/>
    </xf>
    <xf numFmtId="3" fontId="0" fillId="0" borderId="0" xfId="0" applyNumberFormat="1" applyAlignment="1">
      <alignment horizontal="center"/>
    </xf>
    <xf numFmtId="3" fontId="5" fillId="0" borderId="0" xfId="0" applyNumberFormat="1" applyFont="1" applyAlignment="1">
      <alignment horizontal="center"/>
    </xf>
    <xf numFmtId="3" fontId="4" fillId="0" borderId="0" xfId="0" applyNumberFormat="1" applyFont="1" applyAlignment="1">
      <alignment horizontal="center" wrapText="1"/>
    </xf>
    <xf numFmtId="3" fontId="5" fillId="0" borderId="0" xfId="0" applyNumberFormat="1" applyFont="1" applyAlignment="1">
      <alignment horizontal="center" wrapText="1"/>
    </xf>
    <xf numFmtId="37" fontId="4" fillId="0" borderId="0" xfId="0" applyNumberFormat="1" applyFont="1" applyAlignment="1">
      <alignment horizontal="center"/>
    </xf>
    <xf numFmtId="3" fontId="4" fillId="0" borderId="0" xfId="0" applyNumberFormat="1" applyFont="1" applyAlignment="1">
      <alignment horizontal="center"/>
    </xf>
    <xf numFmtId="0" fontId="5" fillId="0" borderId="0" xfId="0" applyFont="1" applyAlignment="1">
      <alignment horizontal="center" wrapText="1"/>
    </xf>
    <xf numFmtId="3" fontId="3" fillId="0" borderId="0" xfId="1" applyNumberFormat="1" applyAlignment="1">
      <alignment horizontal="center"/>
    </xf>
    <xf numFmtId="17" fontId="4" fillId="0" borderId="0" xfId="0" applyNumberFormat="1" applyFont="1"/>
    <xf numFmtId="168" fontId="4" fillId="0" borderId="0" xfId="0" applyNumberFormat="1" applyFont="1" applyAlignment="1">
      <alignment horizontal="center"/>
    </xf>
    <xf numFmtId="0" fontId="4" fillId="0" borderId="0" xfId="0" applyFont="1"/>
    <xf numFmtId="10" fontId="0" fillId="0" borderId="0" xfId="0" applyNumberFormat="1" applyAlignment="1">
      <alignment horizontal="center"/>
    </xf>
    <xf numFmtId="1" fontId="0" fillId="0" borderId="0" xfId="0" applyNumberFormat="1"/>
    <xf numFmtId="37" fontId="4" fillId="0" borderId="0" xfId="0" applyNumberFormat="1" applyFont="1" applyFill="1" applyAlignment="1">
      <alignment horizontal="center"/>
    </xf>
    <xf numFmtId="0" fontId="0" fillId="2" borderId="0" xfId="0" applyFill="1" applyAlignment="1">
      <alignment horizontal="center"/>
    </xf>
    <xf numFmtId="0" fontId="6" fillId="0" borderId="0" xfId="0" applyFont="1"/>
    <xf numFmtId="0" fontId="6" fillId="0" borderId="0" xfId="0" applyFont="1" applyAlignment="1"/>
    <xf numFmtId="3" fontId="0" fillId="2" borderId="0" xfId="0" applyNumberFormat="1" applyFill="1" applyAlignment="1">
      <alignment horizontal="center"/>
    </xf>
    <xf numFmtId="17" fontId="6" fillId="0" borderId="0" xfId="0" applyNumberFormat="1" applyFont="1"/>
    <xf numFmtId="0" fontId="0" fillId="0" borderId="0" xfId="0" applyFill="1" applyAlignment="1">
      <alignment horizontal="center"/>
    </xf>
    <xf numFmtId="170" fontId="0" fillId="0" borderId="0" xfId="0" applyNumberFormat="1" applyAlignment="1">
      <alignment horizontal="center"/>
    </xf>
    <xf numFmtId="171" fontId="0" fillId="0" borderId="0" xfId="0" applyNumberFormat="1" applyAlignment="1">
      <alignment horizontal="center"/>
    </xf>
    <xf numFmtId="9" fontId="0" fillId="0" borderId="0" xfId="0" applyNumberFormat="1" applyAlignment="1">
      <alignment horizontal="center"/>
    </xf>
    <xf numFmtId="3" fontId="0" fillId="0" borderId="0" xfId="0" applyNumberFormat="1" applyFill="1" applyAlignment="1">
      <alignment horizontal="center"/>
    </xf>
    <xf numFmtId="172" fontId="0" fillId="0" borderId="0" xfId="0" applyNumberFormat="1" applyAlignment="1">
      <alignment horizontal="center"/>
    </xf>
    <xf numFmtId="3" fontId="0" fillId="0" borderId="0" xfId="0" applyNumberFormat="1" applyAlignment="1">
      <alignment horizontal="center" wrapText="1"/>
    </xf>
    <xf numFmtId="0" fontId="0" fillId="0" borderId="1" xfId="0" applyBorder="1" applyAlignment="1">
      <alignment horizontal="right"/>
    </xf>
    <xf numFmtId="3" fontId="4" fillId="2" borderId="1" xfId="0" applyNumberFormat="1" applyFont="1" applyFill="1" applyBorder="1" applyAlignment="1">
      <alignment horizontal="center"/>
    </xf>
    <xf numFmtId="168" fontId="4" fillId="0" borderId="0" xfId="0" applyNumberFormat="1" applyFont="1" applyFill="1" applyAlignment="1">
      <alignment horizontal="center"/>
    </xf>
    <xf numFmtId="17" fontId="0" fillId="0" borderId="0" xfId="0" applyNumberFormat="1" applyFill="1"/>
    <xf numFmtId="0" fontId="0" fillId="0" borderId="0" xfId="0" applyFill="1"/>
    <xf numFmtId="4" fontId="5" fillId="0" borderId="0" xfId="0" applyNumberFormat="1" applyFont="1" applyAlignment="1">
      <alignment horizontal="center" wrapText="1"/>
    </xf>
    <xf numFmtId="4" fontId="4" fillId="0" borderId="0" xfId="0" applyNumberFormat="1" applyFont="1" applyFill="1" applyAlignment="1">
      <alignment horizontal="center"/>
    </xf>
    <xf numFmtId="4" fontId="0" fillId="0" borderId="0" xfId="0" applyNumberFormat="1" applyAlignment="1">
      <alignment horizontal="center"/>
    </xf>
    <xf numFmtId="4" fontId="0" fillId="0" borderId="0" xfId="0" applyNumberFormat="1" applyFill="1" applyAlignment="1">
      <alignment horizontal="center"/>
    </xf>
    <xf numFmtId="0" fontId="0" fillId="0" borderId="0" xfId="0" applyFill="1" applyBorder="1" applyAlignment="1"/>
    <xf numFmtId="169" fontId="0" fillId="0" borderId="0" xfId="0" applyNumberFormat="1" applyAlignment="1">
      <alignment horizontal="center"/>
    </xf>
    <xf numFmtId="0" fontId="0" fillId="0" borderId="0" xfId="0" applyNumberFormat="1" applyBorder="1"/>
    <xf numFmtId="3" fontId="0" fillId="3" borderId="0" xfId="0" applyNumberFormat="1" applyFill="1" applyAlignment="1">
      <alignment horizontal="center"/>
    </xf>
    <xf numFmtId="3" fontId="6" fillId="0" borderId="0" xfId="0" applyNumberFormat="1" applyFont="1"/>
    <xf numFmtId="0" fontId="7" fillId="0" borderId="0" xfId="0" applyFont="1"/>
    <xf numFmtId="0" fontId="6" fillId="0" borderId="0" xfId="0" applyFont="1" applyAlignment="1">
      <alignment horizontal="center" wrapText="1"/>
    </xf>
    <xf numFmtId="3" fontId="5" fillId="3" borderId="0" xfId="0" applyNumberFormat="1" applyFont="1" applyFill="1" applyAlignment="1">
      <alignment horizontal="center"/>
    </xf>
    <xf numFmtId="3" fontId="5" fillId="3" borderId="0" xfId="0" applyNumberFormat="1" applyFont="1" applyFill="1" applyAlignment="1">
      <alignment horizontal="center" wrapText="1"/>
    </xf>
    <xf numFmtId="37" fontId="0" fillId="0" borderId="0" xfId="0" applyNumberFormat="1" applyAlignment="1">
      <alignment horizontal="center"/>
    </xf>
    <xf numFmtId="0" fontId="0" fillId="0" borderId="0" xfId="0" applyFill="1" applyAlignment="1">
      <alignment horizontal="left"/>
    </xf>
    <xf numFmtId="0" fontId="0" fillId="0" borderId="2" xfId="0" applyFill="1" applyBorder="1" applyAlignment="1"/>
    <xf numFmtId="0" fontId="8" fillId="0" borderId="3" xfId="0" applyFont="1" applyFill="1" applyBorder="1" applyAlignment="1">
      <alignment horizontal="center"/>
    </xf>
    <xf numFmtId="0" fontId="8" fillId="0" borderId="3" xfId="0" applyFont="1" applyFill="1" applyBorder="1" applyAlignment="1">
      <alignment horizontal="centerContinuous"/>
    </xf>
    <xf numFmtId="167" fontId="0" fillId="0" borderId="0" xfId="1" applyFont="1" applyFill="1" applyBorder="1" applyAlignment="1"/>
    <xf numFmtId="167" fontId="0" fillId="0" borderId="2" xfId="1" applyFont="1" applyFill="1" applyBorder="1" applyAlignment="1"/>
    <xf numFmtId="9" fontId="0" fillId="0" borderId="0" xfId="21" applyFont="1" applyFill="1" applyBorder="1" applyAlignment="1"/>
    <xf numFmtId="0" fontId="0" fillId="0" borderId="0" xfId="0" applyAlignment="1">
      <alignment wrapText="1"/>
    </xf>
    <xf numFmtId="0" fontId="0" fillId="0" borderId="1" xfId="0" applyBorder="1" applyAlignment="1">
      <alignment horizontal="center"/>
    </xf>
    <xf numFmtId="3" fontId="0" fillId="0" borderId="0" xfId="0" applyNumberFormat="1" applyAlignment="1">
      <alignment wrapText="1"/>
    </xf>
    <xf numFmtId="176" fontId="3" fillId="0" borderId="0" xfId="8" applyNumberFormat="1"/>
    <xf numFmtId="176" fontId="0" fillId="0" borderId="0" xfId="0" applyNumberFormat="1"/>
    <xf numFmtId="1" fontId="4" fillId="0" borderId="0" xfId="0" applyNumberFormat="1" applyFont="1" applyFill="1" applyAlignment="1">
      <alignment horizontal="center"/>
    </xf>
    <xf numFmtId="174" fontId="0" fillId="0" borderId="0" xfId="1" applyNumberFormat="1" applyFont="1" applyFill="1" applyBorder="1" applyAlignment="1"/>
    <xf numFmtId="0" fontId="0" fillId="0" borderId="0" xfId="0" applyFill="1" applyAlignment="1"/>
    <xf numFmtId="177" fontId="4" fillId="0" borderId="0" xfId="0" applyNumberFormat="1" applyFont="1" applyAlignment="1">
      <alignment horizontal="center"/>
    </xf>
    <xf numFmtId="177" fontId="0" fillId="0" borderId="0" xfId="0" applyNumberFormat="1" applyAlignment="1">
      <alignment horizontal="center"/>
    </xf>
    <xf numFmtId="172" fontId="0" fillId="0" borderId="0" xfId="21" applyNumberFormat="1" applyFont="1" applyAlignment="1">
      <alignment horizontal="center"/>
    </xf>
    <xf numFmtId="3" fontId="0" fillId="3" borderId="1" xfId="0" applyNumberFormat="1" applyFill="1" applyBorder="1" applyAlignment="1">
      <alignment horizontal="center"/>
    </xf>
    <xf numFmtId="3" fontId="0" fillId="0" borderId="0" xfId="0" applyNumberFormat="1"/>
    <xf numFmtId="174" fontId="0" fillId="0" borderId="0" xfId="0" applyNumberFormat="1"/>
    <xf numFmtId="174" fontId="0" fillId="0" borderId="0" xfId="1" applyNumberFormat="1" applyFont="1"/>
    <xf numFmtId="0" fontId="3" fillId="0" borderId="0" xfId="0" applyFont="1"/>
    <xf numFmtId="17" fontId="3" fillId="0" borderId="0" xfId="0" applyNumberFormat="1" applyFont="1"/>
    <xf numFmtId="0" fontId="13" fillId="0" borderId="0" xfId="0" applyFont="1"/>
    <xf numFmtId="167" fontId="3" fillId="0" borderId="0" xfId="9" applyFont="1"/>
    <xf numFmtId="0" fontId="14" fillId="0" borderId="0" xfId="0" applyFont="1"/>
    <xf numFmtId="167" fontId="9" fillId="0" borderId="0" xfId="9" applyFont="1"/>
    <xf numFmtId="0" fontId="9" fillId="0" borderId="0" xfId="0" applyFont="1"/>
    <xf numFmtId="167" fontId="15" fillId="0" borderId="0" xfId="9" applyFont="1" applyAlignment="1">
      <alignment horizontal="right"/>
    </xf>
    <xf numFmtId="0" fontId="15" fillId="0" borderId="5" xfId="0" applyFont="1" applyBorder="1" applyAlignment="1">
      <alignment horizontal="right"/>
    </xf>
    <xf numFmtId="0" fontId="15" fillId="2" borderId="0" xfId="0" applyFont="1" applyFill="1"/>
    <xf numFmtId="0" fontId="9" fillId="0" borderId="0" xfId="0" applyFont="1" applyAlignment="1">
      <alignment horizontal="right"/>
    </xf>
    <xf numFmtId="167" fontId="9" fillId="0" borderId="0" xfId="0" applyNumberFormat="1" applyFont="1" applyAlignment="1">
      <alignment horizontal="right"/>
    </xf>
    <xf numFmtId="2" fontId="9" fillId="2" borderId="0" xfId="0" applyNumberFormat="1" applyFont="1" applyFill="1"/>
    <xf numFmtId="4" fontId="9" fillId="2" borderId="0" xfId="0" applyNumberFormat="1" applyFont="1" applyFill="1"/>
    <xf numFmtId="0" fontId="0" fillId="2" borderId="0" xfId="0" applyFill="1"/>
    <xf numFmtId="2" fontId="0" fillId="0" borderId="0" xfId="0" applyNumberFormat="1"/>
    <xf numFmtId="167" fontId="0" fillId="0" borderId="0" xfId="0" applyNumberFormat="1"/>
    <xf numFmtId="3" fontId="3" fillId="3" borderId="0" xfId="0" applyNumberFormat="1" applyFont="1" applyFill="1" applyAlignment="1">
      <alignment horizontal="center" wrapText="1"/>
    </xf>
    <xf numFmtId="3" fontId="3" fillId="0" borderId="0" xfId="0" applyNumberFormat="1" applyFont="1" applyAlignment="1">
      <alignment horizontal="center"/>
    </xf>
    <xf numFmtId="3" fontId="5" fillId="0" borderId="0" xfId="0" applyNumberFormat="1" applyFont="1" applyFill="1" applyAlignment="1">
      <alignment horizontal="center"/>
    </xf>
    <xf numFmtId="0" fontId="5" fillId="0" borderId="0" xfId="0" applyFont="1" applyFill="1" applyAlignment="1">
      <alignment horizontal="center" wrapText="1"/>
    </xf>
    <xf numFmtId="4" fontId="5" fillId="0" borderId="0" xfId="0" applyNumberFormat="1" applyFont="1" applyFill="1" applyAlignment="1">
      <alignment horizontal="center" wrapText="1"/>
    </xf>
    <xf numFmtId="3" fontId="3" fillId="0" borderId="0" xfId="1" applyNumberFormat="1" applyFill="1" applyAlignment="1">
      <alignment horizontal="center"/>
    </xf>
    <xf numFmtId="17" fontId="4" fillId="0" borderId="0" xfId="0" applyNumberFormat="1" applyFont="1" applyFill="1"/>
    <xf numFmtId="37" fontId="0" fillId="0" borderId="0" xfId="0" applyNumberFormat="1" applyFill="1" applyAlignment="1">
      <alignment horizontal="center"/>
    </xf>
    <xf numFmtId="0" fontId="4" fillId="0" borderId="0" xfId="0" applyFont="1" applyFill="1"/>
    <xf numFmtId="177" fontId="4" fillId="0" borderId="0" xfId="0" applyNumberFormat="1" applyFont="1" applyFill="1" applyAlignment="1">
      <alignment horizontal="center"/>
    </xf>
    <xf numFmtId="0" fontId="0" fillId="0" borderId="0" xfId="0" applyAlignment="1">
      <alignment horizontal="center"/>
    </xf>
    <xf numFmtId="3" fontId="0" fillId="3" borderId="0" xfId="0" applyNumberFormat="1" applyFill="1" applyAlignment="1">
      <alignment horizontal="center"/>
    </xf>
    <xf numFmtId="0" fontId="0" fillId="0" borderId="0" xfId="0" applyAlignment="1">
      <alignment horizontal="center"/>
    </xf>
    <xf numFmtId="0" fontId="3" fillId="0" borderId="0" xfId="0" applyFont="1" applyAlignment="1">
      <alignment wrapText="1"/>
    </xf>
    <xf numFmtId="0" fontId="32" fillId="0" borderId="0" xfId="24" applyFont="1"/>
    <xf numFmtId="0" fontId="33" fillId="0" borderId="0" xfId="24" applyFont="1"/>
    <xf numFmtId="0" fontId="33" fillId="36" borderId="0" xfId="24" applyFont="1" applyFill="1"/>
    <xf numFmtId="0" fontId="33" fillId="0" borderId="0" xfId="24" applyFont="1" applyFill="1"/>
    <xf numFmtId="0" fontId="33" fillId="0" borderId="0" xfId="24" applyFont="1" applyBorder="1" applyAlignment="1">
      <alignment vertical="center"/>
    </xf>
    <xf numFmtId="0" fontId="34" fillId="0" borderId="0" xfId="24" applyFont="1" applyBorder="1" applyAlignment="1">
      <alignment horizontal="center" vertical="center"/>
    </xf>
    <xf numFmtId="0" fontId="34" fillId="37" borderId="0" xfId="24" applyFont="1" applyFill="1" applyBorder="1" applyAlignment="1">
      <alignment horizontal="center" vertical="center"/>
    </xf>
    <xf numFmtId="0" fontId="35" fillId="0" borderId="22" xfId="24" applyFont="1" applyBorder="1"/>
    <xf numFmtId="0" fontId="33" fillId="0" borderId="0" xfId="24" applyFont="1" applyBorder="1"/>
    <xf numFmtId="0" fontId="34" fillId="0" borderId="0" xfId="24" applyFont="1" applyBorder="1"/>
    <xf numFmtId="0" fontId="33" fillId="0" borderId="22" xfId="24" applyFont="1" applyBorder="1"/>
    <xf numFmtId="0" fontId="36" fillId="0" borderId="0" xfId="24" applyFont="1" applyAlignment="1">
      <alignment horizontal="center" vertical="center"/>
    </xf>
    <xf numFmtId="0" fontId="37" fillId="0" borderId="1" xfId="24" applyFont="1" applyFill="1" applyBorder="1" applyAlignment="1">
      <alignment horizontal="center" vertical="center" wrapText="1"/>
    </xf>
    <xf numFmtId="0" fontId="37" fillId="36" borderId="1" xfId="24" applyFont="1" applyFill="1" applyBorder="1" applyAlignment="1">
      <alignment horizontal="center" vertical="center" wrapText="1"/>
    </xf>
    <xf numFmtId="0" fontId="33" fillId="0" borderId="2" xfId="24" applyFont="1" applyBorder="1"/>
    <xf numFmtId="3" fontId="6" fillId="0" borderId="23" xfId="24" applyNumberFormat="1" applyFont="1" applyFill="1" applyBorder="1" applyAlignment="1">
      <alignment vertical="center"/>
    </xf>
    <xf numFmtId="3" fontId="6" fillId="0" borderId="2" xfId="24" applyNumberFormat="1" applyFont="1" applyFill="1" applyBorder="1" applyAlignment="1">
      <alignment vertical="center"/>
    </xf>
    <xf numFmtId="0" fontId="11" fillId="0" borderId="2" xfId="24" applyFont="1" applyBorder="1"/>
    <xf numFmtId="0" fontId="33" fillId="0" borderId="22" xfId="24" applyFont="1" applyBorder="1" applyAlignment="1">
      <alignment vertical="center"/>
    </xf>
    <xf numFmtId="3" fontId="3" fillId="0" borderId="24" xfId="23" applyNumberFormat="1" applyFont="1" applyFill="1" applyBorder="1" applyAlignment="1">
      <alignment horizontal="left" vertical="center"/>
    </xf>
    <xf numFmtId="3" fontId="3" fillId="0" borderId="24" xfId="23" applyNumberFormat="1" applyFont="1" applyFill="1" applyBorder="1" applyAlignment="1">
      <alignment horizontal="center" vertical="center"/>
    </xf>
    <xf numFmtId="0" fontId="3" fillId="0" borderId="0" xfId="24" applyFont="1" applyFill="1" applyBorder="1" applyAlignment="1">
      <alignment vertical="center"/>
    </xf>
    <xf numFmtId="3" fontId="3" fillId="0" borderId="25" xfId="23" applyNumberFormat="1" applyFont="1" applyFill="1" applyBorder="1" applyAlignment="1">
      <alignment horizontal="center" vertical="center"/>
    </xf>
    <xf numFmtId="3" fontId="3" fillId="0" borderId="26" xfId="23" applyNumberFormat="1" applyFont="1" applyFill="1" applyBorder="1" applyAlignment="1">
      <alignment horizontal="center" vertical="center"/>
    </xf>
    <xf numFmtId="3" fontId="3" fillId="0" borderId="27" xfId="23" applyNumberFormat="1" applyFont="1" applyFill="1" applyBorder="1" applyAlignment="1">
      <alignment horizontal="left" vertical="center"/>
    </xf>
    <xf numFmtId="3" fontId="6" fillId="0" borderId="7" xfId="24" applyNumberFormat="1" applyFont="1" applyFill="1" applyBorder="1" applyAlignment="1">
      <alignment vertical="center"/>
    </xf>
    <xf numFmtId="3" fontId="6" fillId="0" borderId="4" xfId="24" applyNumberFormat="1" applyFont="1" applyFill="1" applyBorder="1" applyAlignment="1">
      <alignment vertical="center"/>
    </xf>
    <xf numFmtId="3" fontId="6" fillId="0" borderId="4" xfId="24" applyNumberFormat="1" applyFont="1" applyFill="1" applyBorder="1" applyAlignment="1">
      <alignment horizontal="center" vertical="center"/>
    </xf>
    <xf numFmtId="3" fontId="6" fillId="0" borderId="28" xfId="24" applyNumberFormat="1" applyFont="1" applyFill="1" applyBorder="1" applyAlignment="1">
      <alignment horizontal="center" vertical="center"/>
    </xf>
    <xf numFmtId="0" fontId="6" fillId="0" borderId="0" xfId="24" applyFont="1" applyFill="1" applyBorder="1" applyAlignment="1">
      <alignment vertical="center"/>
    </xf>
    <xf numFmtId="0" fontId="33" fillId="0" borderId="4" xfId="24" applyFont="1" applyBorder="1" applyAlignment="1">
      <alignment vertical="center"/>
    </xf>
    <xf numFmtId="3" fontId="33" fillId="36" borderId="4" xfId="24" applyNumberFormat="1" applyFont="1" applyFill="1" applyBorder="1" applyAlignment="1">
      <alignment horizontal="center" vertical="center"/>
    </xf>
    <xf numFmtId="4" fontId="3" fillId="0" borderId="24" xfId="23" applyNumberFormat="1" applyFont="1" applyFill="1" applyBorder="1" applyAlignment="1">
      <alignment horizontal="center" vertical="center"/>
    </xf>
    <xf numFmtId="3" fontId="3" fillId="0" borderId="0" xfId="24" applyNumberFormat="1" applyFont="1" applyFill="1" applyAlignment="1">
      <alignment vertical="center"/>
    </xf>
    <xf numFmtId="0" fontId="33" fillId="0" borderId="0" xfId="24" applyFont="1" applyAlignment="1">
      <alignment vertical="center"/>
    </xf>
    <xf numFmtId="3" fontId="34" fillId="36" borderId="29" xfId="24" applyNumberFormat="1" applyFont="1" applyFill="1" applyBorder="1" applyAlignment="1">
      <alignment horizontal="center" vertical="center"/>
    </xf>
    <xf numFmtId="0" fontId="33" fillId="0" borderId="0" xfId="24" applyFont="1" applyFill="1" applyAlignment="1">
      <alignment vertical="center"/>
    </xf>
    <xf numFmtId="0" fontId="33" fillId="36" borderId="0" xfId="24" applyFont="1" applyFill="1" applyAlignment="1">
      <alignment vertical="center"/>
    </xf>
    <xf numFmtId="179" fontId="3" fillId="0" borderId="24" xfId="23" applyNumberFormat="1" applyFont="1" applyFill="1" applyBorder="1" applyAlignment="1">
      <alignment horizontal="center" vertical="center"/>
    </xf>
    <xf numFmtId="38" fontId="38" fillId="0" borderId="18" xfId="25" applyNumberFormat="1" applyFont="1" applyAlignment="1">
      <alignment horizontal="center"/>
    </xf>
    <xf numFmtId="178" fontId="3" fillId="0" borderId="24" xfId="23" applyNumberFormat="1" applyFont="1" applyFill="1" applyBorder="1" applyAlignment="1">
      <alignment horizontal="center" vertical="center"/>
    </xf>
    <xf numFmtId="3" fontId="33" fillId="36" borderId="0" xfId="24" applyNumberFormat="1" applyFont="1" applyFill="1"/>
    <xf numFmtId="173" fontId="3" fillId="0" borderId="24" xfId="23" applyNumberFormat="1" applyFont="1" applyFill="1" applyBorder="1" applyAlignment="1">
      <alignment horizontal="center" vertical="center"/>
    </xf>
    <xf numFmtId="3" fontId="3" fillId="0" borderId="0" xfId="24" applyNumberFormat="1" applyFont="1" applyFill="1" applyBorder="1" applyAlignment="1">
      <alignment vertical="center"/>
    </xf>
    <xf numFmtId="3" fontId="3" fillId="38" borderId="30" xfId="24" applyNumberFormat="1" applyFont="1" applyFill="1" applyBorder="1" applyAlignment="1">
      <alignment horizontal="center" vertical="center"/>
    </xf>
    <xf numFmtId="3" fontId="3" fillId="0" borderId="30" xfId="24" applyNumberFormat="1" applyFont="1" applyFill="1" applyBorder="1" applyAlignment="1">
      <alignment horizontal="center" vertical="center"/>
    </xf>
    <xf numFmtId="171" fontId="3" fillId="0" borderId="24" xfId="23" applyNumberFormat="1" applyFont="1" applyFill="1" applyBorder="1" applyAlignment="1">
      <alignment horizontal="center" vertical="center"/>
    </xf>
    <xf numFmtId="180" fontId="3" fillId="38" borderId="30" xfId="24" applyNumberFormat="1" applyFont="1" applyFill="1" applyBorder="1" applyAlignment="1">
      <alignment horizontal="center" vertical="center"/>
    </xf>
    <xf numFmtId="3" fontId="3" fillId="38" borderId="31" xfId="24" applyNumberFormat="1" applyFont="1" applyFill="1" applyBorder="1" applyAlignment="1">
      <alignment horizontal="center" vertical="center"/>
    </xf>
    <xf numFmtId="3" fontId="3" fillId="38" borderId="32" xfId="24" applyNumberFormat="1" applyFont="1" applyFill="1" applyBorder="1" applyAlignment="1">
      <alignment horizontal="center" vertical="center"/>
    </xf>
    <xf numFmtId="3" fontId="33" fillId="0" borderId="0" xfId="24" applyNumberFormat="1" applyFont="1"/>
    <xf numFmtId="3" fontId="33" fillId="36" borderId="0" xfId="24" applyNumberFormat="1" applyFont="1" applyFill="1" applyAlignment="1">
      <alignment horizontal="center"/>
    </xf>
    <xf numFmtId="0" fontId="39" fillId="36" borderId="0" xfId="24" applyFont="1" applyFill="1"/>
    <xf numFmtId="0" fontId="40" fillId="36" borderId="0" xfId="24" applyFont="1" applyFill="1"/>
    <xf numFmtId="0" fontId="40" fillId="0" borderId="0" xfId="24" applyFont="1" applyFill="1"/>
    <xf numFmtId="0" fontId="33" fillId="36" borderId="0" xfId="24" applyFont="1" applyFill="1" applyBorder="1" applyAlignment="1">
      <alignment vertical="center"/>
    </xf>
    <xf numFmtId="0" fontId="34" fillId="36" borderId="0" xfId="24" applyFont="1" applyFill="1" applyBorder="1" applyAlignment="1">
      <alignment horizontal="center" vertical="center"/>
    </xf>
    <xf numFmtId="0" fontId="33" fillId="36" borderId="22" xfId="24" applyFont="1" applyFill="1" applyBorder="1"/>
    <xf numFmtId="0" fontId="33" fillId="36" borderId="0" xfId="24" applyFont="1" applyFill="1" applyBorder="1"/>
    <xf numFmtId="0" fontId="36" fillId="36" borderId="0" xfId="24" applyFont="1" applyFill="1" applyAlignment="1">
      <alignment horizontal="center" vertical="center"/>
    </xf>
    <xf numFmtId="0" fontId="33" fillId="36" borderId="2" xfId="24" applyFont="1" applyFill="1" applyBorder="1"/>
    <xf numFmtId="3" fontId="6" fillId="36" borderId="23" xfId="24" applyNumberFormat="1" applyFont="1" applyFill="1" applyBorder="1" applyAlignment="1">
      <alignment vertical="center"/>
    </xf>
    <xf numFmtId="3" fontId="6" fillId="36" borderId="2" xfId="24" applyNumberFormat="1" applyFont="1" applyFill="1" applyBorder="1" applyAlignment="1">
      <alignment vertical="center"/>
    </xf>
    <xf numFmtId="0" fontId="11" fillId="36" borderId="2" xfId="24" applyFont="1" applyFill="1" applyBorder="1"/>
    <xf numFmtId="0" fontId="33" fillId="36" borderId="22" xfId="24" applyFont="1" applyFill="1" applyBorder="1" applyAlignment="1">
      <alignment vertical="center"/>
    </xf>
    <xf numFmtId="3" fontId="3" fillId="36" borderId="24" xfId="23" applyNumberFormat="1" applyFont="1" applyFill="1" applyBorder="1" applyAlignment="1">
      <alignment horizontal="left" vertical="center"/>
    </xf>
    <xf numFmtId="3" fontId="3" fillId="36" borderId="24" xfId="23" applyNumberFormat="1" applyFont="1" applyFill="1" applyBorder="1" applyAlignment="1">
      <alignment horizontal="center" vertical="center"/>
    </xf>
    <xf numFmtId="0" fontId="3" fillId="36" borderId="0" xfId="24" applyFont="1" applyFill="1" applyBorder="1" applyAlignment="1">
      <alignment vertical="center"/>
    </xf>
    <xf numFmtId="3" fontId="3" fillId="36" borderId="27" xfId="23" applyNumberFormat="1" applyFont="1" applyFill="1" applyBorder="1" applyAlignment="1">
      <alignment horizontal="left" vertical="center"/>
    </xf>
    <xf numFmtId="3" fontId="6" fillId="36" borderId="7" xfId="24" applyNumberFormat="1" applyFont="1" applyFill="1" applyBorder="1" applyAlignment="1">
      <alignment vertical="center"/>
    </xf>
    <xf numFmtId="3" fontId="6" fillId="36" borderId="4" xfId="24" applyNumberFormat="1" applyFont="1" applyFill="1" applyBorder="1" applyAlignment="1">
      <alignment vertical="center"/>
    </xf>
    <xf numFmtId="3" fontId="6" fillId="36" borderId="4" xfId="24" applyNumberFormat="1" applyFont="1" applyFill="1" applyBorder="1" applyAlignment="1">
      <alignment horizontal="center" vertical="center"/>
    </xf>
    <xf numFmtId="3" fontId="6" fillId="36" borderId="28" xfId="24" applyNumberFormat="1" applyFont="1" applyFill="1" applyBorder="1" applyAlignment="1">
      <alignment horizontal="center" vertical="center"/>
    </xf>
    <xf numFmtId="0" fontId="6" fillId="36" borderId="0" xfId="24" applyFont="1" applyFill="1" applyBorder="1" applyAlignment="1">
      <alignment vertical="center"/>
    </xf>
    <xf numFmtId="0" fontId="33" fillId="36" borderId="4" xfId="24" applyFont="1" applyFill="1" applyBorder="1" applyAlignment="1">
      <alignment vertical="center"/>
    </xf>
    <xf numFmtId="4" fontId="3" fillId="36" borderId="24" xfId="23" applyNumberFormat="1" applyFont="1" applyFill="1" applyBorder="1" applyAlignment="1">
      <alignment horizontal="center" vertical="center"/>
    </xf>
    <xf numFmtId="4" fontId="3" fillId="36" borderId="0" xfId="24" applyNumberFormat="1" applyFont="1" applyFill="1" applyBorder="1" applyAlignment="1">
      <alignment vertical="center"/>
    </xf>
    <xf numFmtId="3" fontId="3" fillId="36" borderId="0" xfId="24" applyNumberFormat="1" applyFont="1" applyFill="1" applyAlignment="1">
      <alignment vertical="center"/>
    </xf>
    <xf numFmtId="3" fontId="34" fillId="36" borderId="29" xfId="24" applyNumberFormat="1" applyFont="1" applyFill="1" applyBorder="1" applyAlignment="1">
      <alignment horizontal="center"/>
    </xf>
    <xf numFmtId="0" fontId="34" fillId="36" borderId="29" xfId="24" applyFont="1" applyFill="1" applyBorder="1"/>
    <xf numFmtId="0" fontId="35" fillId="36" borderId="0" xfId="24" applyFont="1" applyFill="1"/>
    <xf numFmtId="0" fontId="33" fillId="39" borderId="11" xfId="24" applyFont="1" applyFill="1" applyBorder="1"/>
    <xf numFmtId="0" fontId="33" fillId="39" borderId="12" xfId="24" applyFont="1" applyFill="1" applyBorder="1"/>
    <xf numFmtId="0" fontId="33" fillId="39" borderId="33" xfId="24" applyFont="1" applyFill="1" applyBorder="1" applyAlignment="1">
      <alignment horizontal="center"/>
    </xf>
    <xf numFmtId="0" fontId="33" fillId="39" borderId="34" xfId="24" applyFont="1" applyFill="1" applyBorder="1"/>
    <xf numFmtId="0" fontId="33" fillId="39" borderId="0" xfId="24" applyFont="1" applyFill="1" applyBorder="1"/>
    <xf numFmtId="0" fontId="33" fillId="39" borderId="9" xfId="24" applyFont="1" applyFill="1" applyBorder="1"/>
    <xf numFmtId="0" fontId="33" fillId="39" borderId="9" xfId="24" applyFont="1" applyFill="1" applyBorder="1" applyAlignment="1">
      <alignment horizontal="center"/>
    </xf>
    <xf numFmtId="0" fontId="34" fillId="36" borderId="0" xfId="24" applyFont="1" applyFill="1" applyAlignment="1">
      <alignment horizontal="center"/>
    </xf>
    <xf numFmtId="38" fontId="34" fillId="39" borderId="9" xfId="24" applyNumberFormat="1" applyFont="1" applyFill="1" applyBorder="1" applyAlignment="1">
      <alignment horizontal="center"/>
    </xf>
    <xf numFmtId="0" fontId="34" fillId="39" borderId="34" xfId="24" applyFont="1" applyFill="1" applyBorder="1"/>
    <xf numFmtId="0" fontId="34" fillId="39" borderId="0" xfId="24" applyFont="1" applyFill="1" applyBorder="1"/>
    <xf numFmtId="0" fontId="34" fillId="39" borderId="9" xfId="24" applyFont="1" applyFill="1" applyBorder="1"/>
    <xf numFmtId="0" fontId="41" fillId="36" borderId="1" xfId="24" applyFont="1" applyFill="1" applyBorder="1" applyAlignment="1">
      <alignment horizontal="left"/>
    </xf>
    <xf numFmtId="3" fontId="41" fillId="36" borderId="25" xfId="23" applyNumberFormat="1" applyFont="1" applyFill="1" applyBorder="1" applyAlignment="1">
      <alignment horizontal="center" vertical="center"/>
    </xf>
    <xf numFmtId="9" fontId="33" fillId="36" borderId="0" xfId="26" applyFont="1" applyFill="1" applyAlignment="1">
      <alignment horizontal="left"/>
    </xf>
    <xf numFmtId="0" fontId="33" fillId="39" borderId="34" xfId="24" applyFont="1" applyFill="1" applyBorder="1" applyAlignment="1">
      <alignment horizontal="right"/>
    </xf>
    <xf numFmtId="38" fontId="33" fillId="39" borderId="9" xfId="24" applyNumberFormat="1" applyFont="1" applyFill="1" applyBorder="1" applyAlignment="1">
      <alignment horizontal="center"/>
    </xf>
    <xf numFmtId="0" fontId="33" fillId="39" borderId="0" xfId="24" applyFont="1" applyFill="1" applyBorder="1" applyAlignment="1">
      <alignment horizontal="right"/>
    </xf>
    <xf numFmtId="0" fontId="33" fillId="39" borderId="10" xfId="24" applyFont="1" applyFill="1" applyBorder="1" applyAlignment="1">
      <alignment horizontal="right"/>
    </xf>
    <xf numFmtId="0" fontId="33" fillId="39" borderId="5" xfId="24" applyFont="1" applyFill="1" applyBorder="1"/>
    <xf numFmtId="38" fontId="33" fillId="39" borderId="35" xfId="24" applyNumberFormat="1" applyFont="1" applyFill="1" applyBorder="1" applyAlignment="1">
      <alignment horizontal="center"/>
    </xf>
    <xf numFmtId="0" fontId="33" fillId="39" borderId="0" xfId="24" applyFont="1" applyFill="1"/>
    <xf numFmtId="0" fontId="33" fillId="39" borderId="10" xfId="24" applyFont="1" applyFill="1" applyBorder="1"/>
    <xf numFmtId="0" fontId="33" fillId="39" borderId="35" xfId="24" applyFont="1" applyFill="1" applyBorder="1"/>
    <xf numFmtId="0" fontId="33" fillId="39" borderId="33" xfId="24" applyFont="1" applyFill="1" applyBorder="1"/>
    <xf numFmtId="38" fontId="33" fillId="39" borderId="8" xfId="24" applyNumberFormat="1" applyFont="1" applyFill="1" applyBorder="1" applyAlignment="1">
      <alignment horizontal="center"/>
    </xf>
    <xf numFmtId="3" fontId="37" fillId="36" borderId="36" xfId="23" applyNumberFormat="1" applyFont="1" applyFill="1" applyBorder="1" applyAlignment="1">
      <alignment horizontal="center" vertical="center"/>
    </xf>
    <xf numFmtId="0" fontId="33" fillId="36" borderId="0" xfId="24" applyFont="1" applyFill="1" applyAlignment="1">
      <alignment horizontal="left"/>
    </xf>
    <xf numFmtId="38" fontId="0" fillId="0" borderId="0" xfId="0" applyNumberFormat="1"/>
    <xf numFmtId="0" fontId="3" fillId="0" borderId="0" xfId="0" applyFont="1" applyAlignment="1">
      <alignment horizontal="center"/>
    </xf>
    <xf numFmtId="9" fontId="4" fillId="0" borderId="0" xfId="21" applyFont="1" applyAlignment="1">
      <alignment horizontal="center"/>
    </xf>
    <xf numFmtId="0" fontId="3" fillId="0" borderId="0" xfId="0" applyFont="1" applyFill="1" applyBorder="1" applyAlignment="1">
      <alignment horizontal="center" wrapText="1"/>
    </xf>
    <xf numFmtId="0" fontId="3" fillId="0" borderId="0" xfId="0" applyFont="1" applyAlignment="1">
      <alignment horizontal="center" wrapText="1"/>
    </xf>
    <xf numFmtId="4" fontId="3" fillId="0" borderId="0" xfId="0" applyNumberFormat="1" applyFont="1" applyAlignment="1">
      <alignment horizontal="center" wrapText="1"/>
    </xf>
    <xf numFmtId="37" fontId="3" fillId="0" borderId="0" xfId="0" applyNumberFormat="1" applyFont="1" applyAlignment="1">
      <alignment horizontal="center" wrapText="1"/>
    </xf>
    <xf numFmtId="1" fontId="0" fillId="0" borderId="0" xfId="0" applyNumberFormat="1" applyAlignment="1">
      <alignment horizontal="center"/>
    </xf>
    <xf numFmtId="1" fontId="5" fillId="0" borderId="0" xfId="0" applyNumberFormat="1" applyFont="1" applyAlignment="1">
      <alignment horizontal="center" wrapText="1"/>
    </xf>
    <xf numFmtId="1" fontId="3" fillId="0" borderId="0" xfId="0" applyNumberFormat="1" applyFont="1" applyAlignment="1">
      <alignment horizontal="center" wrapText="1"/>
    </xf>
    <xf numFmtId="171" fontId="0" fillId="0" borderId="0" xfId="0" applyNumberFormat="1" applyFill="1" applyAlignment="1">
      <alignment horizontal="center"/>
    </xf>
    <xf numFmtId="3" fontId="0" fillId="4" borderId="0" xfId="0" applyNumberFormat="1" applyFill="1" applyAlignment="1">
      <alignment horizontal="center"/>
    </xf>
    <xf numFmtId="0" fontId="0" fillId="0" borderId="0" xfId="0" applyAlignment="1">
      <alignment horizontal="center"/>
    </xf>
    <xf numFmtId="37" fontId="3" fillId="0" borderId="0" xfId="0" applyNumberFormat="1" applyFont="1" applyAlignment="1">
      <alignment horizontal="center"/>
    </xf>
    <xf numFmtId="1" fontId="3" fillId="0" borderId="0" xfId="0" applyNumberFormat="1" applyFont="1" applyFill="1" applyAlignment="1">
      <alignment horizontal="center"/>
    </xf>
    <xf numFmtId="0" fontId="0" fillId="0" borderId="2" xfId="0" applyBorder="1"/>
    <xf numFmtId="0" fontId="0" fillId="0" borderId="0" xfId="0" applyAlignment="1">
      <alignment horizontal="center"/>
    </xf>
    <xf numFmtId="3" fontId="0" fillId="0" borderId="1" xfId="0" applyNumberFormat="1" applyBorder="1" applyAlignment="1">
      <alignment horizontal="center"/>
    </xf>
    <xf numFmtId="0" fontId="3" fillId="0" borderId="1" xfId="0" applyFont="1" applyBorder="1"/>
    <xf numFmtId="0" fontId="0" fillId="0" borderId="1" xfId="0" applyBorder="1"/>
    <xf numFmtId="37" fontId="3" fillId="0" borderId="0" xfId="0" applyNumberFormat="1" applyFont="1" applyFill="1" applyAlignment="1">
      <alignment horizontal="center"/>
    </xf>
    <xf numFmtId="168" fontId="3" fillId="0" borderId="0" xfId="0" applyNumberFormat="1" applyFont="1" applyFill="1" applyAlignment="1">
      <alignment horizontal="center"/>
    </xf>
    <xf numFmtId="0" fontId="3" fillId="0" borderId="7" xfId="0" applyFont="1" applyFill="1" applyBorder="1" applyAlignment="1">
      <alignment horizontal="left" vertical="center"/>
    </xf>
    <xf numFmtId="290" fontId="0" fillId="0" borderId="0" xfId="0" applyNumberFormat="1" applyAlignment="1">
      <alignment horizontal="center"/>
    </xf>
    <xf numFmtId="0" fontId="6" fillId="0" borderId="4" xfId="0" applyFont="1" applyFill="1" applyBorder="1" applyAlignment="1">
      <alignment vertical="center"/>
    </xf>
    <xf numFmtId="0" fontId="6" fillId="0" borderId="8" xfId="0" applyFont="1" applyFill="1" applyBorder="1" applyAlignment="1">
      <alignment vertical="center"/>
    </xf>
    <xf numFmtId="3" fontId="3" fillId="0" borderId="1" xfId="0" applyNumberFormat="1" applyFont="1" applyFill="1" applyBorder="1" applyAlignment="1">
      <alignment horizontal="center" vertical="center"/>
    </xf>
    <xf numFmtId="286" fontId="3" fillId="0" borderId="1" xfId="4516" applyNumberFormat="1" applyFont="1" applyFill="1" applyBorder="1" applyAlignment="1">
      <alignment horizontal="center" vertical="center"/>
    </xf>
    <xf numFmtId="0" fontId="3" fillId="0" borderId="1" xfId="0" applyFont="1" applyFill="1" applyBorder="1" applyAlignment="1">
      <alignment vertical="center"/>
    </xf>
    <xf numFmtId="0" fontId="3" fillId="0" borderId="7" xfId="0" applyFont="1" applyFill="1" applyBorder="1" applyAlignment="1">
      <alignment horizontal="center" vertical="center"/>
    </xf>
    <xf numFmtId="175" fontId="3" fillId="0" borderId="1" xfId="4516" applyNumberFormat="1" applyFont="1" applyFill="1" applyBorder="1" applyAlignment="1">
      <alignment horizontal="center" vertical="center"/>
    </xf>
    <xf numFmtId="3" fontId="3" fillId="0" borderId="1" xfId="0" applyNumberFormat="1" applyFont="1" applyFill="1" applyBorder="1" applyAlignment="1">
      <alignment horizontal="left" vertical="center"/>
    </xf>
    <xf numFmtId="3" fontId="3" fillId="0" borderId="1" xfId="4516" applyNumberFormat="1" applyFont="1" applyFill="1" applyBorder="1" applyAlignment="1">
      <alignment horizontal="center" vertical="center"/>
    </xf>
    <xf numFmtId="3" fontId="3" fillId="0" borderId="1" xfId="0" applyNumberFormat="1" applyFont="1" applyFill="1" applyBorder="1" applyAlignment="1">
      <alignment vertical="center"/>
    </xf>
    <xf numFmtId="0" fontId="3" fillId="0" borderId="1" xfId="0" applyFont="1" applyFill="1" applyBorder="1" applyAlignment="1">
      <alignment horizontal="left" vertical="center"/>
    </xf>
    <xf numFmtId="3" fontId="3" fillId="0" borderId="7" xfId="4516" applyNumberFormat="1" applyFont="1" applyFill="1" applyBorder="1" applyAlignment="1">
      <alignment horizontal="center" vertical="center"/>
    </xf>
    <xf numFmtId="3" fontId="3" fillId="0" borderId="7" xfId="0" applyNumberFormat="1" applyFont="1" applyBorder="1" applyAlignment="1">
      <alignment horizontal="left"/>
    </xf>
    <xf numFmtId="3" fontId="3" fillId="0" borderId="1" xfId="0" applyNumberFormat="1" applyFont="1" applyBorder="1" applyAlignment="1">
      <alignment horizontal="center"/>
    </xf>
    <xf numFmtId="0" fontId="0" fillId="0" borderId="1" xfId="0" applyFill="1" applyBorder="1"/>
    <xf numFmtId="3" fontId="5" fillId="0" borderId="1" xfId="0" applyNumberFormat="1" applyFont="1" applyFill="1" applyBorder="1" applyAlignment="1">
      <alignment horizontal="center"/>
    </xf>
    <xf numFmtId="0" fontId="5" fillId="0" borderId="1" xfId="0" applyFont="1" applyFill="1" applyBorder="1" applyAlignment="1">
      <alignment horizontal="center" wrapText="1"/>
    </xf>
    <xf numFmtId="4" fontId="5" fillId="0" borderId="1" xfId="0" applyNumberFormat="1" applyFont="1" applyFill="1" applyBorder="1" applyAlignment="1">
      <alignment horizontal="center" wrapText="1"/>
    </xf>
    <xf numFmtId="17" fontId="0" fillId="0" borderId="1" xfId="0" applyNumberFormat="1" applyFill="1" applyBorder="1"/>
    <xf numFmtId="3" fontId="3" fillId="0" borderId="1" xfId="1" applyNumberFormat="1" applyFill="1" applyBorder="1" applyAlignment="1">
      <alignment horizontal="center"/>
    </xf>
    <xf numFmtId="37" fontId="4" fillId="0" borderId="1" xfId="0" applyNumberFormat="1" applyFont="1" applyFill="1" applyBorder="1" applyAlignment="1">
      <alignment horizontal="center"/>
    </xf>
    <xf numFmtId="4" fontId="0" fillId="0" borderId="1" xfId="0" applyNumberFormat="1" applyFill="1" applyBorder="1" applyAlignment="1">
      <alignment horizontal="center"/>
    </xf>
    <xf numFmtId="17" fontId="4" fillId="0" borderId="1" xfId="0" applyNumberFormat="1" applyFont="1" applyFill="1" applyBorder="1"/>
    <xf numFmtId="4" fontId="4" fillId="0" borderId="1" xfId="0" applyNumberFormat="1" applyFont="1" applyFill="1" applyBorder="1" applyAlignment="1">
      <alignment horizontal="center"/>
    </xf>
    <xf numFmtId="0" fontId="0" fillId="0" borderId="1" xfId="0" applyFill="1" applyBorder="1" applyAlignment="1">
      <alignment horizontal="center"/>
    </xf>
    <xf numFmtId="37" fontId="0" fillId="0" borderId="1" xfId="0" applyNumberFormat="1" applyFill="1" applyBorder="1" applyAlignment="1">
      <alignment horizontal="center"/>
    </xf>
    <xf numFmtId="3" fontId="0" fillId="0" borderId="1" xfId="0" applyNumberFormat="1" applyFill="1" applyBorder="1" applyAlignment="1">
      <alignment horizontal="center"/>
    </xf>
    <xf numFmtId="1" fontId="4" fillId="0" borderId="1" xfId="0" applyNumberFormat="1" applyFont="1" applyFill="1" applyBorder="1" applyAlignment="1">
      <alignment horizontal="center"/>
    </xf>
    <xf numFmtId="3" fontId="5" fillId="0" borderId="1" xfId="0" applyNumberFormat="1" applyFont="1" applyBorder="1" applyAlignment="1">
      <alignment horizontal="center"/>
    </xf>
    <xf numFmtId="1" fontId="5" fillId="0" borderId="1" xfId="0" applyNumberFormat="1" applyFont="1" applyBorder="1" applyAlignment="1">
      <alignment horizontal="center" wrapText="1"/>
    </xf>
    <xf numFmtId="0" fontId="5" fillId="0" borderId="1" xfId="0" applyFont="1" applyBorder="1" applyAlignment="1">
      <alignment horizontal="center" wrapText="1"/>
    </xf>
    <xf numFmtId="4" fontId="5" fillId="0" borderId="1" xfId="0" applyNumberFormat="1" applyFont="1" applyBorder="1" applyAlignment="1">
      <alignment horizontal="center" wrapText="1"/>
    </xf>
    <xf numFmtId="17" fontId="0" fillId="0" borderId="1" xfId="0" applyNumberFormat="1" applyBorder="1"/>
    <xf numFmtId="1" fontId="3" fillId="0" borderId="1" xfId="0" applyNumberFormat="1" applyFont="1" applyBorder="1" applyAlignment="1">
      <alignment horizontal="center" wrapText="1"/>
    </xf>
    <xf numFmtId="0" fontId="3" fillId="0" borderId="1" xfId="0" applyFont="1" applyBorder="1" applyAlignment="1">
      <alignment horizontal="center" wrapText="1"/>
    </xf>
    <xf numFmtId="4" fontId="3" fillId="0" borderId="1" xfId="0" applyNumberFormat="1" applyFont="1" applyBorder="1" applyAlignment="1">
      <alignment horizontal="center" wrapText="1"/>
    </xf>
    <xf numFmtId="37" fontId="3" fillId="0" borderId="1" xfId="0" applyNumberFormat="1" applyFont="1" applyBorder="1" applyAlignment="1">
      <alignment horizontal="center" wrapText="1"/>
    </xf>
    <xf numFmtId="37" fontId="4" fillId="0" borderId="1" xfId="0" applyNumberFormat="1" applyFont="1" applyBorder="1" applyAlignment="1">
      <alignment horizontal="center"/>
    </xf>
    <xf numFmtId="4" fontId="0" fillId="0" borderId="1" xfId="0" applyNumberFormat="1" applyBorder="1" applyAlignment="1">
      <alignment horizontal="center"/>
    </xf>
    <xf numFmtId="17" fontId="4" fillId="0" borderId="1" xfId="0" applyNumberFormat="1" applyFont="1" applyBorder="1"/>
    <xf numFmtId="0" fontId="3" fillId="0" borderId="1" xfId="0" applyFont="1" applyFill="1" applyBorder="1" applyAlignment="1">
      <alignment horizontal="center" wrapText="1"/>
    </xf>
    <xf numFmtId="0" fontId="3" fillId="0" borderId="0" xfId="0" applyFont="1" applyBorder="1"/>
    <xf numFmtId="3" fontId="3" fillId="0" borderId="1" xfId="0" applyNumberFormat="1" applyFont="1" applyBorder="1" applyAlignment="1">
      <alignment horizontal="center" wrapText="1"/>
    </xf>
    <xf numFmtId="17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3" fontId="3" fillId="0" borderId="1" xfId="4138" applyNumberFormat="1" applyFont="1" applyBorder="1" applyAlignment="1">
      <alignment horizontal="center"/>
    </xf>
    <xf numFmtId="3" fontId="3" fillId="0" borderId="0" xfId="0" applyNumberFormat="1" applyFont="1" applyBorder="1"/>
    <xf numFmtId="169" fontId="3" fillId="0" borderId="0" xfId="0" applyNumberFormat="1" applyFont="1" applyBorder="1" applyAlignment="1">
      <alignment horizontal="center"/>
    </xf>
    <xf numFmtId="3" fontId="3" fillId="0" borderId="0" xfId="0" applyNumberFormat="1" applyFont="1" applyBorder="1" applyAlignment="1">
      <alignment horizontal="center" wrapText="1"/>
    </xf>
    <xf numFmtId="0" fontId="3" fillId="0" borderId="0" xfId="0" applyFont="1" applyBorder="1" applyAlignment="1">
      <alignment horizontal="left"/>
    </xf>
    <xf numFmtId="291" fontId="3" fillId="0" borderId="0" xfId="0" applyNumberFormat="1" applyFont="1" applyBorder="1" applyAlignment="1">
      <alignment horizontal="center"/>
    </xf>
    <xf numFmtId="0" fontId="0" fillId="0" borderId="0" xfId="0" applyAlignment="1">
      <alignment horizontal="center"/>
    </xf>
    <xf numFmtId="0" fontId="6" fillId="0" borderId="4" xfId="0" applyFont="1" applyFill="1" applyBorder="1" applyAlignment="1">
      <alignment horizontal="left" vertical="center"/>
    </xf>
    <xf numFmtId="0" fontId="6" fillId="0" borderId="8" xfId="0" applyFont="1" applyFill="1" applyBorder="1" applyAlignment="1">
      <alignment horizontal="left" vertical="center"/>
    </xf>
    <xf numFmtId="0" fontId="6" fillId="0" borderId="1" xfId="0" applyFont="1" applyFill="1" applyBorder="1" applyAlignment="1">
      <alignment horizontal="left" vertical="center"/>
    </xf>
    <xf numFmtId="0" fontId="189" fillId="0" borderId="1" xfId="0" applyFont="1" applyBorder="1" applyAlignment="1">
      <alignment horizontal="left" vertical="center"/>
    </xf>
    <xf numFmtId="9" fontId="189" fillId="0" borderId="1" xfId="4516" applyNumberFormat="1" applyFont="1" applyFill="1" applyBorder="1" applyAlignment="1">
      <alignment horizontal="center" vertical="center"/>
    </xf>
    <xf numFmtId="3" fontId="189" fillId="0" borderId="0" xfId="0" applyNumberFormat="1" applyFont="1" applyBorder="1" applyAlignment="1">
      <alignment horizontal="left" vertical="center"/>
    </xf>
    <xf numFmtId="0" fontId="189" fillId="0" borderId="0" xfId="0" applyFont="1" applyBorder="1" applyAlignment="1">
      <alignment horizontal="left" vertical="center"/>
    </xf>
    <xf numFmtId="9" fontId="189" fillId="0" borderId="0" xfId="4516" applyNumberFormat="1" applyFont="1" applyFill="1" applyBorder="1" applyAlignment="1">
      <alignment horizontal="center" vertical="center"/>
    </xf>
    <xf numFmtId="9" fontId="3" fillId="0" borderId="1" xfId="0" applyNumberFormat="1" applyFont="1" applyBorder="1" applyAlignment="1">
      <alignment horizontal="center"/>
    </xf>
    <xf numFmtId="0" fontId="6" fillId="0" borderId="1" xfId="0" applyFont="1" applyFill="1" applyBorder="1" applyAlignment="1">
      <alignment horizontal="center"/>
    </xf>
    <xf numFmtId="169" fontId="3" fillId="0" borderId="1" xfId="1" applyNumberFormat="1" applyFont="1" applyFill="1" applyBorder="1" applyAlignment="1">
      <alignment horizontal="center"/>
    </xf>
    <xf numFmtId="285" fontId="3" fillId="0" borderId="1" xfId="1" applyNumberFormat="1" applyFont="1" applyFill="1" applyBorder="1" applyAlignment="1">
      <alignment horizontal="center"/>
    </xf>
    <xf numFmtId="0" fontId="3" fillId="0" borderId="0" xfId="0" applyFont="1" applyFill="1"/>
    <xf numFmtId="0" fontId="3" fillId="0" borderId="0" xfId="0" applyFont="1" applyFill="1" applyAlignment="1">
      <alignment vertical="center"/>
    </xf>
    <xf numFmtId="173" fontId="3" fillId="0" borderId="1" xfId="4516" applyNumberFormat="1" applyFont="1" applyFill="1" applyBorder="1" applyAlignment="1">
      <alignment horizontal="center" vertical="center"/>
    </xf>
    <xf numFmtId="175" fontId="3" fillId="0" borderId="1" xfId="0" applyNumberFormat="1" applyFont="1" applyBorder="1" applyAlignment="1">
      <alignment horizontal="center"/>
    </xf>
    <xf numFmtId="0" fontId="3" fillId="0" borderId="4" xfId="0" applyFont="1" applyFill="1" applyBorder="1" applyAlignment="1">
      <alignment horizontal="left" vertical="center"/>
    </xf>
    <xf numFmtId="173" fontId="3" fillId="0" borderId="0" xfId="0" applyNumberFormat="1" applyFont="1"/>
    <xf numFmtId="173" fontId="3" fillId="0" borderId="1" xfId="0" applyNumberFormat="1" applyFont="1" applyFill="1" applyBorder="1" applyAlignment="1">
      <alignment horizontal="center" vertical="center"/>
    </xf>
    <xf numFmtId="175" fontId="3" fillId="0" borderId="1" xfId="0" applyNumberFormat="1" applyFont="1" applyFill="1" applyBorder="1" applyAlignment="1">
      <alignment horizontal="center"/>
    </xf>
    <xf numFmtId="0" fontId="3" fillId="0" borderId="8" xfId="0" applyFont="1" applyFill="1" applyBorder="1" applyAlignment="1">
      <alignment horizontal="left" vertical="center" wrapText="1"/>
    </xf>
    <xf numFmtId="3" fontId="3" fillId="0" borderId="0" xfId="0" applyNumberFormat="1" applyFont="1"/>
    <xf numFmtId="0" fontId="6" fillId="0" borderId="4" xfId="0" applyFont="1" applyFill="1" applyBorder="1" applyAlignment="1">
      <alignment horizontal="left" vertical="center" wrapText="1"/>
    </xf>
    <xf numFmtId="0" fontId="6" fillId="0" borderId="0" xfId="0" applyFont="1" applyFill="1" applyBorder="1" applyAlignment="1">
      <alignment horizontal="left" vertical="center"/>
    </xf>
    <xf numFmtId="286" fontId="3" fillId="0" borderId="0" xfId="0" applyNumberFormat="1" applyFont="1" applyFill="1" applyBorder="1" applyAlignment="1">
      <alignment horizontal="left" vertical="center"/>
    </xf>
    <xf numFmtId="286" fontId="6" fillId="0" borderId="0" xfId="0" applyNumberFormat="1" applyFont="1" applyFill="1" applyBorder="1" applyAlignment="1">
      <alignment horizontal="left" vertical="center"/>
    </xf>
    <xf numFmtId="286" fontId="3" fillId="0" borderId="0" xfId="0" applyNumberFormat="1" applyFont="1" applyFill="1" applyBorder="1" applyAlignment="1">
      <alignment horizontal="center" vertical="center"/>
    </xf>
    <xf numFmtId="3" fontId="3" fillId="0" borderId="0" xfId="0" applyNumberFormat="1" applyFont="1" applyBorder="1" applyAlignment="1">
      <alignment horizontal="center"/>
    </xf>
    <xf numFmtId="9" fontId="3" fillId="0" borderId="1" xfId="4516" applyNumberFormat="1" applyFont="1" applyFill="1" applyBorder="1" applyAlignment="1">
      <alignment horizontal="center" vertical="center"/>
    </xf>
    <xf numFmtId="168" fontId="3" fillId="0" borderId="1" xfId="4516" applyNumberFormat="1" applyFont="1" applyFill="1" applyBorder="1" applyAlignment="1">
      <alignment horizontal="center" vertical="center"/>
    </xf>
    <xf numFmtId="287" fontId="3" fillId="0" borderId="1" xfId="4516" applyNumberFormat="1" applyFont="1" applyFill="1" applyBorder="1" applyAlignment="1">
      <alignment horizontal="center" vertical="center"/>
    </xf>
    <xf numFmtId="1" fontId="3" fillId="0" borderId="34" xfId="0" applyNumberFormat="1" applyFont="1" applyFill="1" applyBorder="1" applyAlignment="1">
      <alignment horizontal="left" vertical="center" indent="1"/>
    </xf>
    <xf numFmtId="286" fontId="3" fillId="0" borderId="8" xfId="4516" applyNumberFormat="1" applyFont="1" applyFill="1" applyBorder="1" applyAlignment="1">
      <alignment horizontal="center" vertical="center"/>
    </xf>
    <xf numFmtId="170" fontId="3" fillId="0" borderId="1" xfId="0" applyNumberFormat="1" applyFont="1" applyBorder="1" applyAlignment="1">
      <alignment horizontal="center"/>
    </xf>
    <xf numFmtId="0" fontId="6" fillId="0" borderId="8" xfId="0" applyFont="1" applyFill="1" applyBorder="1" applyAlignment="1">
      <alignment horizontal="left" vertical="center" wrapText="1"/>
    </xf>
    <xf numFmtId="0" fontId="3" fillId="0" borderId="1" xfId="0" applyFont="1" applyFill="1" applyBorder="1"/>
    <xf numFmtId="0" fontId="3" fillId="0" borderId="9" xfId="0" applyFont="1" applyFill="1" applyBorder="1" applyAlignment="1">
      <alignment vertical="center"/>
    </xf>
    <xf numFmtId="0" fontId="3" fillId="0" borderId="0" xfId="0" applyFont="1" applyFill="1" applyBorder="1" applyAlignment="1">
      <alignment horizontal="left" vertical="center"/>
    </xf>
    <xf numFmtId="175" fontId="3" fillId="0" borderId="0" xfId="4516" applyNumberFormat="1" applyFont="1" applyFill="1" applyBorder="1" applyAlignment="1">
      <alignment horizontal="center" vertical="center"/>
    </xf>
    <xf numFmtId="173" fontId="6" fillId="0" borderId="0" xfId="4516" applyNumberFormat="1" applyFont="1" applyFill="1" applyBorder="1" applyAlignment="1">
      <alignment horizontal="center" vertical="center"/>
    </xf>
    <xf numFmtId="286" fontId="3" fillId="0" borderId="0" xfId="4516" applyNumberFormat="1" applyFont="1" applyFill="1" applyBorder="1" applyAlignment="1">
      <alignment horizontal="center" vertical="center"/>
    </xf>
    <xf numFmtId="3" fontId="3" fillId="0" borderId="1" xfId="0" applyNumberFormat="1" applyFont="1" applyFill="1" applyBorder="1" applyAlignment="1">
      <alignment horizontal="center" vertical="center" wrapText="1"/>
    </xf>
    <xf numFmtId="0" fontId="6" fillId="0" borderId="6" xfId="0" applyFont="1" applyFill="1" applyBorder="1" applyAlignment="1">
      <alignment horizontal="left" vertical="center"/>
    </xf>
    <xf numFmtId="286" fontId="3" fillId="0" borderId="1" xfId="0" applyNumberFormat="1" applyFont="1" applyFill="1" applyBorder="1" applyAlignment="1">
      <alignment horizontal="center" vertical="center" wrapText="1"/>
    </xf>
    <xf numFmtId="10" fontId="3" fillId="0" borderId="0" xfId="0" applyNumberFormat="1" applyFont="1"/>
    <xf numFmtId="0" fontId="3" fillId="0" borderId="6" xfId="0" applyFont="1" applyFill="1" applyBorder="1" applyAlignment="1">
      <alignment horizontal="left" vertical="center" wrapText="1"/>
    </xf>
    <xf numFmtId="3" fontId="3" fillId="0" borderId="6" xfId="0" applyNumberFormat="1" applyFont="1" applyFill="1" applyBorder="1" applyAlignment="1">
      <alignment horizontal="center" vertical="center" wrapText="1"/>
    </xf>
    <xf numFmtId="3" fontId="6" fillId="0" borderId="0" xfId="4515" applyNumberFormat="1" applyFont="1" applyFill="1" applyBorder="1" applyAlignment="1">
      <alignment horizontal="center" vertical="center" wrapText="1"/>
    </xf>
    <xf numFmtId="0" fontId="6" fillId="0" borderId="6" xfId="0" applyFont="1" applyFill="1" applyBorder="1" applyAlignment="1">
      <alignment vertical="center"/>
    </xf>
    <xf numFmtId="0" fontId="6" fillId="0" borderId="1" xfId="0" applyFont="1" applyFill="1" applyBorder="1" applyAlignment="1">
      <alignment vertical="center"/>
    </xf>
    <xf numFmtId="0" fontId="6" fillId="0" borderId="0" xfId="0" applyFont="1" applyFill="1" applyBorder="1" applyAlignment="1">
      <alignment vertical="center"/>
    </xf>
    <xf numFmtId="173" fontId="6" fillId="0" borderId="0" xfId="0" applyNumberFormat="1" applyFont="1" applyFill="1" applyBorder="1" applyAlignment="1">
      <alignment horizontal="center" vertical="center" wrapText="1"/>
    </xf>
    <xf numFmtId="288" fontId="6" fillId="0" borderId="0"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173" fontId="3" fillId="0" borderId="1"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9" fontId="3" fillId="0" borderId="0" xfId="0" applyNumberFormat="1" applyFont="1" applyFill="1" applyBorder="1" applyAlignment="1">
      <alignment horizontal="center" vertical="center" wrapText="1"/>
    </xf>
    <xf numFmtId="0" fontId="3" fillId="0" borderId="6" xfId="0" applyFont="1" applyFill="1" applyBorder="1" applyAlignment="1">
      <alignment horizontal="left" vertical="center"/>
    </xf>
    <xf numFmtId="173" fontId="3" fillId="0" borderId="6" xfId="0" applyNumberFormat="1" applyFont="1" applyFill="1" applyBorder="1" applyAlignment="1">
      <alignment horizontal="center" vertical="center" wrapText="1"/>
    </xf>
    <xf numFmtId="287" fontId="3" fillId="0" borderId="6" xfId="0" applyNumberFormat="1" applyFont="1" applyFill="1" applyBorder="1" applyAlignment="1">
      <alignment horizontal="center" vertical="center" wrapText="1"/>
    </xf>
    <xf numFmtId="287" fontId="3" fillId="0" borderId="1" xfId="0" applyNumberFormat="1" applyFont="1" applyFill="1" applyBorder="1" applyAlignment="1">
      <alignment horizontal="center" vertical="center" wrapText="1"/>
    </xf>
    <xf numFmtId="288" fontId="3" fillId="0" borderId="6" xfId="0" applyNumberFormat="1" applyFont="1" applyFill="1" applyBorder="1" applyAlignment="1">
      <alignment horizontal="center" vertical="center" wrapText="1"/>
    </xf>
    <xf numFmtId="0" fontId="6" fillId="0" borderId="1" xfId="0" applyFont="1" applyBorder="1"/>
    <xf numFmtId="3" fontId="3" fillId="0" borderId="6" xfId="0" applyNumberFormat="1" applyFont="1" applyBorder="1" applyAlignment="1">
      <alignment horizontal="center"/>
    </xf>
    <xf numFmtId="289" fontId="3" fillId="0" borderId="1" xfId="0" applyNumberFormat="1" applyFont="1" applyFill="1" applyBorder="1" applyAlignment="1">
      <alignment horizontal="center" vertical="center" wrapText="1"/>
    </xf>
    <xf numFmtId="3" fontId="6" fillId="0" borderId="0" xfId="0" applyNumberFormat="1" applyFont="1" applyFill="1" applyBorder="1" applyAlignment="1">
      <alignment horizontal="center" vertical="center" wrapText="1"/>
    </xf>
    <xf numFmtId="0" fontId="3" fillId="0" borderId="5" xfId="0" applyFont="1" applyFill="1" applyBorder="1" applyAlignment="1">
      <alignment horizontal="left" vertical="center"/>
    </xf>
    <xf numFmtId="0" fontId="6" fillId="0" borderId="5" xfId="0" applyFont="1" applyFill="1" applyBorder="1" applyAlignment="1">
      <alignment horizontal="left" vertical="center"/>
    </xf>
    <xf numFmtId="173" fontId="3" fillId="0" borderId="6" xfId="4516" applyNumberFormat="1" applyFont="1" applyFill="1" applyBorder="1" applyAlignment="1">
      <alignment horizontal="center" vertical="center"/>
    </xf>
    <xf numFmtId="3" fontId="190" fillId="37" borderId="67" xfId="4515" applyNumberFormat="1" applyFont="1" applyFill="1" applyBorder="1" applyAlignment="1">
      <alignment horizontal="center" vertical="center" wrapText="1"/>
    </xf>
    <xf numFmtId="3" fontId="190" fillId="37" borderId="68" xfId="4515" applyNumberFormat="1" applyFont="1" applyFill="1" applyBorder="1" applyAlignment="1">
      <alignment horizontal="center" vertical="center" wrapText="1"/>
    </xf>
    <xf numFmtId="0" fontId="189" fillId="0" borderId="6" xfId="0" applyFont="1" applyBorder="1" applyAlignment="1">
      <alignment horizontal="left" vertical="center"/>
    </xf>
    <xf numFmtId="9" fontId="189" fillId="0" borderId="6" xfId="4516" applyNumberFormat="1" applyFont="1" applyFill="1" applyBorder="1" applyAlignment="1">
      <alignment horizontal="center" vertical="center"/>
    </xf>
    <xf numFmtId="3" fontId="189" fillId="0" borderId="7" xfId="0" applyNumberFormat="1" applyFont="1" applyBorder="1" applyAlignment="1">
      <alignment vertical="center"/>
    </xf>
    <xf numFmtId="3" fontId="189" fillId="0" borderId="8" xfId="0" applyNumberFormat="1" applyFont="1" applyBorder="1" applyAlignment="1">
      <alignment vertical="center"/>
    </xf>
    <xf numFmtId="9" fontId="3" fillId="0" borderId="6" xfId="4516" applyNumberFormat="1" applyFont="1" applyFill="1" applyBorder="1" applyAlignment="1">
      <alignment horizontal="center" vertical="center"/>
    </xf>
    <xf numFmtId="0" fontId="190" fillId="37" borderId="67" xfId="4515" applyFont="1" applyFill="1" applyBorder="1" applyAlignment="1">
      <alignment horizontal="center" vertical="center"/>
    </xf>
    <xf numFmtId="0" fontId="3" fillId="0" borderId="35" xfId="0" applyFont="1" applyFill="1" applyBorder="1" applyAlignment="1">
      <alignment horizontal="left" vertical="center"/>
    </xf>
    <xf numFmtId="0" fontId="3" fillId="0" borderId="8" xfId="0" applyFont="1" applyFill="1" applyBorder="1" applyAlignment="1">
      <alignment horizontal="left" vertical="center"/>
    </xf>
    <xf numFmtId="0" fontId="3" fillId="0" borderId="8" xfId="0" applyFont="1" applyBorder="1"/>
    <xf numFmtId="0" fontId="190" fillId="37" borderId="67" xfId="4515" applyFont="1" applyFill="1" applyBorder="1" applyAlignment="1">
      <alignment horizontal="center" vertical="center" wrapText="1"/>
    </xf>
    <xf numFmtId="0" fontId="190" fillId="37" borderId="68" xfId="4515" applyFont="1" applyFill="1" applyBorder="1" applyAlignment="1">
      <alignment horizontal="center" vertical="center" wrapText="1"/>
    </xf>
    <xf numFmtId="0" fontId="190" fillId="37" borderId="67" xfId="4515" applyFont="1" applyFill="1" applyBorder="1" applyAlignment="1">
      <alignment horizontal="left" vertical="center"/>
    </xf>
    <xf numFmtId="3" fontId="15" fillId="37" borderId="67" xfId="4515" applyNumberFormat="1" applyFont="1" applyFill="1" applyBorder="1" applyAlignment="1">
      <alignment horizontal="center" vertical="center" wrapText="1"/>
    </xf>
    <xf numFmtId="3" fontId="15" fillId="37" borderId="68" xfId="4515" applyNumberFormat="1" applyFont="1" applyFill="1" applyBorder="1" applyAlignment="1">
      <alignment horizontal="center" vertical="center" wrapText="1"/>
    </xf>
    <xf numFmtId="0" fontId="15" fillId="37" borderId="67" xfId="4515" applyFont="1" applyFill="1" applyBorder="1" applyAlignment="1">
      <alignment horizontal="center" vertical="center" wrapText="1"/>
    </xf>
    <xf numFmtId="0" fontId="15" fillId="37" borderId="68" xfId="4515" applyFont="1" applyFill="1" applyBorder="1" applyAlignment="1">
      <alignment horizontal="center" vertical="center" wrapText="1"/>
    </xf>
    <xf numFmtId="0" fontId="15" fillId="37" borderId="71" xfId="0" applyFont="1" applyFill="1" applyBorder="1" applyAlignment="1">
      <alignment horizontal="left" vertical="center" wrapText="1"/>
    </xf>
    <xf numFmtId="0" fontId="9" fillId="37" borderId="67" xfId="0" applyFont="1" applyFill="1" applyBorder="1" applyAlignment="1">
      <alignment horizontal="center" vertical="center" wrapText="1"/>
    </xf>
    <xf numFmtId="3" fontId="9" fillId="37" borderId="67" xfId="0" applyNumberFormat="1" applyFont="1" applyFill="1" applyBorder="1" applyAlignment="1">
      <alignment horizontal="center" vertical="center" wrapText="1"/>
    </xf>
    <xf numFmtId="291" fontId="80" fillId="0" borderId="6" xfId="0" applyNumberFormat="1" applyFont="1" applyBorder="1" applyAlignment="1">
      <alignment horizontal="center"/>
    </xf>
    <xf numFmtId="291" fontId="80" fillId="0" borderId="1" xfId="0" applyNumberFormat="1" applyFont="1" applyBorder="1" applyAlignment="1">
      <alignment horizontal="center"/>
    </xf>
    <xf numFmtId="291" fontId="190" fillId="37" borderId="1" xfId="0" applyNumberFormat="1" applyFont="1" applyFill="1" applyBorder="1" applyAlignment="1">
      <alignment horizontal="center"/>
    </xf>
    <xf numFmtId="3" fontId="80" fillId="0" borderId="72" xfId="0" applyNumberFormat="1" applyFont="1" applyBorder="1" applyAlignment="1">
      <alignment horizontal="left"/>
    </xf>
    <xf numFmtId="3" fontId="80" fillId="0" borderId="74" xfId="0" applyNumberFormat="1" applyFont="1" applyBorder="1" applyAlignment="1">
      <alignment horizontal="left"/>
    </xf>
    <xf numFmtId="0" fontId="190" fillId="37" borderId="75" xfId="0" applyFont="1" applyFill="1" applyBorder="1" applyAlignment="1">
      <alignment horizontal="left"/>
    </xf>
    <xf numFmtId="291" fontId="190" fillId="37" borderId="76" xfId="0" applyNumberFormat="1" applyFont="1" applyFill="1" applyBorder="1" applyAlignment="1">
      <alignment horizontal="center"/>
    </xf>
    <xf numFmtId="0" fontId="3" fillId="0" borderId="6" xfId="0" applyFont="1" applyFill="1" applyBorder="1" applyAlignment="1">
      <alignment horizontal="center" vertical="center"/>
    </xf>
    <xf numFmtId="170" fontId="3" fillId="0" borderId="6" xfId="0" applyNumberFormat="1" applyFont="1" applyFill="1" applyBorder="1" applyAlignment="1">
      <alignment horizontal="center" vertical="center" wrapText="1"/>
    </xf>
    <xf numFmtId="0" fontId="3" fillId="0" borderId="78" xfId="0" applyFont="1" applyBorder="1" applyAlignment="1">
      <alignment horizontal="center" wrapText="1"/>
    </xf>
    <xf numFmtId="3" fontId="3" fillId="0" borderId="78" xfId="0" applyNumberFormat="1" applyFont="1" applyBorder="1" applyAlignment="1">
      <alignment horizontal="center" wrapText="1"/>
    </xf>
    <xf numFmtId="3" fontId="3" fillId="0" borderId="78" xfId="4138" applyNumberFormat="1" applyFont="1" applyBorder="1" applyAlignment="1">
      <alignment horizontal="center"/>
    </xf>
    <xf numFmtId="3" fontId="3" fillId="0" borderId="76" xfId="0" applyNumberFormat="1" applyFont="1" applyBorder="1" applyAlignment="1">
      <alignment horizontal="center" wrapText="1"/>
    </xf>
    <xf numFmtId="0" fontId="15" fillId="37" borderId="67" xfId="0" applyFont="1" applyFill="1" applyBorder="1" applyAlignment="1">
      <alignment horizontal="center" vertical="center"/>
    </xf>
    <xf numFmtId="165" fontId="80" fillId="0" borderId="6" xfId="0" applyNumberFormat="1" applyFont="1" applyBorder="1" applyAlignment="1">
      <alignment horizontal="center"/>
    </xf>
    <xf numFmtId="10" fontId="3" fillId="0" borderId="0" xfId="21" applyNumberFormat="1" applyFont="1"/>
    <xf numFmtId="0" fontId="191" fillId="0" borderId="0" xfId="0" applyFont="1"/>
    <xf numFmtId="0" fontId="191" fillId="0" borderId="0" xfId="0" applyFont="1" applyAlignment="1">
      <alignment horizontal="right"/>
    </xf>
    <xf numFmtId="291" fontId="191" fillId="0" borderId="0" xfId="0" applyNumberFormat="1" applyFont="1"/>
    <xf numFmtId="213" fontId="80" fillId="0" borderId="1" xfId="0" applyNumberFormat="1" applyFont="1" applyBorder="1" applyAlignment="1">
      <alignment horizontal="center"/>
    </xf>
    <xf numFmtId="0" fontId="6" fillId="0" borderId="7" xfId="0" applyFont="1" applyFill="1" applyBorder="1" applyAlignment="1">
      <alignment horizontal="left" vertical="center"/>
    </xf>
    <xf numFmtId="0" fontId="6" fillId="0" borderId="4" xfId="0" applyFont="1" applyFill="1" applyBorder="1" applyAlignment="1">
      <alignment horizontal="left" vertical="center"/>
    </xf>
    <xf numFmtId="0" fontId="6" fillId="0" borderId="8" xfId="0" applyFont="1" applyFill="1" applyBorder="1" applyAlignment="1">
      <alignment horizontal="left" vertical="center"/>
    </xf>
    <xf numFmtId="0" fontId="6" fillId="0" borderId="0" xfId="0" applyFont="1" applyFill="1" applyBorder="1" applyAlignment="1">
      <alignment horizontal="left" vertical="center"/>
    </xf>
    <xf numFmtId="0" fontId="3" fillId="0" borderId="4" xfId="0" applyFont="1" applyFill="1" applyBorder="1" applyAlignment="1">
      <alignment horizontal="left" vertical="center"/>
    </xf>
    <xf numFmtId="0" fontId="3" fillId="0" borderId="8" xfId="0" applyFont="1" applyFill="1" applyBorder="1" applyAlignment="1">
      <alignment horizontal="left" vertical="center"/>
    </xf>
    <xf numFmtId="0" fontId="6" fillId="0" borderId="6" xfId="0" applyFont="1" applyFill="1" applyBorder="1" applyAlignment="1">
      <alignment horizontal="left" vertical="center"/>
    </xf>
    <xf numFmtId="0" fontId="6" fillId="37" borderId="23" xfId="4515" applyFont="1" applyFill="1" applyBorder="1" applyAlignment="1">
      <alignment horizontal="center" vertical="center"/>
    </xf>
    <xf numFmtId="0" fontId="6" fillId="0" borderId="35" xfId="0" applyFont="1" applyFill="1" applyBorder="1" applyAlignment="1">
      <alignment horizontal="left" vertical="center"/>
    </xf>
    <xf numFmtId="0" fontId="6" fillId="0" borderId="7" xfId="0" applyFont="1" applyFill="1" applyBorder="1" applyAlignment="1">
      <alignment horizontal="left" vertical="center"/>
    </xf>
    <xf numFmtId="0" fontId="6" fillId="0" borderId="4" xfId="0" applyFont="1" applyFill="1" applyBorder="1" applyAlignment="1">
      <alignment horizontal="left" vertical="center"/>
    </xf>
    <xf numFmtId="0" fontId="6" fillId="0" borderId="8" xfId="0" applyFont="1" applyFill="1" applyBorder="1" applyAlignment="1">
      <alignment horizontal="left" vertical="center"/>
    </xf>
    <xf numFmtId="0" fontId="15" fillId="37" borderId="67" xfId="0" applyFont="1" applyFill="1" applyBorder="1" applyAlignment="1">
      <alignment horizontal="center" vertical="center"/>
    </xf>
    <xf numFmtId="0" fontId="3" fillId="0" borderId="6" xfId="0" applyFont="1" applyBorder="1" applyAlignment="1">
      <alignment horizontal="center"/>
    </xf>
    <xf numFmtId="0" fontId="3" fillId="0" borderId="1" xfId="0" applyFont="1" applyBorder="1" applyAlignment="1">
      <alignment horizontal="center"/>
    </xf>
    <xf numFmtId="0" fontId="6" fillId="0" borderId="11" xfId="0" applyFont="1" applyFill="1" applyBorder="1" applyAlignment="1">
      <alignment horizontal="left" vertical="center"/>
    </xf>
    <xf numFmtId="0" fontId="6" fillId="0" borderId="12" xfId="0" applyFont="1" applyFill="1" applyBorder="1" applyAlignment="1">
      <alignment horizontal="left" vertical="center"/>
    </xf>
    <xf numFmtId="0" fontId="6" fillId="0" borderId="33" xfId="0" applyFont="1" applyFill="1" applyBorder="1" applyAlignment="1">
      <alignment horizontal="left" vertical="center"/>
    </xf>
    <xf numFmtId="0" fontId="15" fillId="37" borderId="67" xfId="4515" applyFont="1" applyFill="1" applyBorder="1" applyAlignment="1">
      <alignment horizontal="center" vertical="center"/>
    </xf>
    <xf numFmtId="166" fontId="3" fillId="0" borderId="0" xfId="0" applyNumberFormat="1" applyFont="1"/>
    <xf numFmtId="166" fontId="6" fillId="0" borderId="0" xfId="0" applyNumberFormat="1" applyFont="1"/>
    <xf numFmtId="166" fontId="3" fillId="0" borderId="0" xfId="0" applyNumberFormat="1" applyFont="1" applyFill="1"/>
    <xf numFmtId="166" fontId="9" fillId="37" borderId="68" xfId="0" applyNumberFormat="1" applyFont="1" applyFill="1" applyBorder="1" applyAlignment="1">
      <alignment horizontal="center" vertical="center" wrapText="1"/>
    </xf>
    <xf numFmtId="166" fontId="3" fillId="0" borderId="0" xfId="4138" applyNumberFormat="1" applyFont="1" applyBorder="1" applyAlignment="1">
      <alignment horizontal="center"/>
    </xf>
    <xf numFmtId="166" fontId="3" fillId="0" borderId="0" xfId="0" applyNumberFormat="1" applyFont="1" applyBorder="1"/>
    <xf numFmtId="166" fontId="3" fillId="90" borderId="0" xfId="0" applyNumberFormat="1" applyFont="1" applyFill="1"/>
    <xf numFmtId="166" fontId="3" fillId="90" borderId="0" xfId="0" applyNumberFormat="1" applyFont="1" applyFill="1" applyBorder="1"/>
    <xf numFmtId="15" fontId="3" fillId="0" borderId="0" xfId="0" applyNumberFormat="1" applyFont="1"/>
    <xf numFmtId="170" fontId="3" fillId="0" borderId="0" xfId="0" applyNumberFormat="1" applyFont="1"/>
    <xf numFmtId="2" fontId="3" fillId="0" borderId="0" xfId="0" applyNumberFormat="1" applyFont="1"/>
    <xf numFmtId="225" fontId="3" fillId="90" borderId="0" xfId="0" applyNumberFormat="1" applyFont="1" applyFill="1"/>
    <xf numFmtId="225" fontId="3" fillId="0" borderId="0" xfId="0" applyNumberFormat="1" applyFont="1"/>
    <xf numFmtId="225" fontId="3" fillId="0" borderId="0" xfId="0" applyNumberFormat="1" applyFont="1" applyBorder="1"/>
    <xf numFmtId="10" fontId="80" fillId="0" borderId="73" xfId="21" applyNumberFormat="1" applyFont="1" applyBorder="1" applyAlignment="1">
      <alignment horizontal="center"/>
    </xf>
    <xf numFmtId="10" fontId="190" fillId="37" borderId="77" xfId="21" applyNumberFormat="1" applyFont="1" applyFill="1" applyBorder="1" applyAlignment="1">
      <alignment horizontal="center"/>
    </xf>
    <xf numFmtId="3" fontId="9" fillId="37" borderId="79" xfId="0" applyNumberFormat="1" applyFont="1" applyFill="1" applyBorder="1" applyAlignment="1">
      <alignment horizontal="center" vertical="center" wrapText="1"/>
    </xf>
    <xf numFmtId="165" fontId="80" fillId="0" borderId="10" xfId="0" applyNumberFormat="1" applyFont="1" applyBorder="1" applyAlignment="1">
      <alignment horizontal="center"/>
    </xf>
    <xf numFmtId="293" fontId="3" fillId="0" borderId="0" xfId="4517" applyNumberFormat="1" applyFont="1"/>
    <xf numFmtId="293" fontId="3" fillId="0" borderId="0" xfId="0" applyNumberFormat="1" applyFont="1"/>
    <xf numFmtId="10" fontId="80" fillId="0" borderId="6" xfId="21" applyNumberFormat="1" applyFont="1" applyBorder="1" applyAlignment="1">
      <alignment horizontal="center"/>
    </xf>
    <xf numFmtId="10" fontId="190" fillId="37" borderId="1" xfId="21" applyNumberFormat="1" applyFont="1" applyFill="1" applyBorder="1" applyAlignment="1">
      <alignment horizontal="center"/>
    </xf>
    <xf numFmtId="0" fontId="3" fillId="0" borderId="6" xfId="0" applyFont="1" applyBorder="1"/>
    <xf numFmtId="0" fontId="6" fillId="37" borderId="65" xfId="0" applyFont="1" applyFill="1" applyBorder="1" applyAlignment="1">
      <alignment wrapText="1"/>
    </xf>
    <xf numFmtId="0" fontId="6" fillId="37" borderId="23" xfId="4515" applyFont="1" applyFill="1" applyBorder="1" applyAlignment="1">
      <alignment horizontal="center" vertical="center" wrapText="1"/>
    </xf>
    <xf numFmtId="0" fontId="6" fillId="37" borderId="66" xfId="4515" applyFont="1" applyFill="1" applyBorder="1" applyAlignment="1">
      <alignment horizontal="center" vertical="center" wrapText="1"/>
    </xf>
    <xf numFmtId="9" fontId="3" fillId="0" borderId="6" xfId="0" applyNumberFormat="1" applyFont="1" applyBorder="1" applyAlignment="1">
      <alignment horizontal="center"/>
    </xf>
    <xf numFmtId="0" fontId="189" fillId="37" borderId="23" xfId="0" applyFont="1" applyFill="1" applyBorder="1" applyAlignment="1">
      <alignment horizontal="left" vertical="center"/>
    </xf>
    <xf numFmtId="3" fontId="193" fillId="37" borderId="80" xfId="0" applyNumberFormat="1" applyFont="1" applyFill="1" applyBorder="1" applyAlignment="1">
      <alignment horizontal="left" vertical="center" wrapText="1"/>
    </xf>
    <xf numFmtId="3" fontId="189" fillId="0" borderId="1" xfId="0" applyNumberFormat="1" applyFont="1" applyBorder="1" applyAlignment="1">
      <alignment horizontal="center" vertical="center"/>
    </xf>
    <xf numFmtId="3" fontId="189" fillId="0" borderId="1" xfId="0" applyNumberFormat="1" applyFont="1" applyFill="1" applyBorder="1" applyAlignment="1">
      <alignment horizontal="center" vertical="center"/>
    </xf>
    <xf numFmtId="0" fontId="6" fillId="37" borderId="71" xfId="0" applyFont="1" applyFill="1" applyBorder="1" applyAlignment="1">
      <alignment vertical="center"/>
    </xf>
    <xf numFmtId="0" fontId="6" fillId="37" borderId="81" xfId="0" applyFont="1" applyFill="1" applyBorder="1" applyAlignment="1">
      <alignment vertical="center"/>
    </xf>
    <xf numFmtId="0" fontId="3" fillId="0" borderId="1" xfId="0" applyFont="1" applyFill="1" applyBorder="1" applyAlignment="1">
      <alignment horizontal="center"/>
    </xf>
    <xf numFmtId="0" fontId="6" fillId="37" borderId="71" xfId="0" applyFont="1" applyFill="1" applyBorder="1" applyAlignment="1">
      <alignment vertical="center" wrapText="1"/>
    </xf>
    <xf numFmtId="0" fontId="3" fillId="0" borderId="1" xfId="0" applyFont="1" applyBorder="1" applyAlignment="1">
      <alignment horizontal="center" vertical="center"/>
    </xf>
    <xf numFmtId="0" fontId="3" fillId="0" borderId="6" xfId="0" applyFont="1" applyBorder="1" applyAlignment="1">
      <alignment horizontal="center" vertical="center"/>
    </xf>
    <xf numFmtId="3" fontId="190" fillId="37" borderId="66" xfId="4515" applyNumberFormat="1" applyFont="1" applyFill="1" applyBorder="1" applyAlignment="1">
      <alignment horizontal="center" vertical="center" wrapText="1"/>
    </xf>
    <xf numFmtId="0" fontId="15" fillId="37" borderId="71" xfId="0" applyFont="1" applyFill="1" applyBorder="1" applyAlignment="1">
      <alignment horizontal="center" vertical="center"/>
    </xf>
    <xf numFmtId="0" fontId="3" fillId="0" borderId="38" xfId="0" applyFont="1" applyBorder="1" applyAlignment="1">
      <alignment horizontal="center"/>
    </xf>
    <xf numFmtId="0" fontId="15" fillId="37" borderId="1" xfId="0" applyFont="1" applyFill="1" applyBorder="1" applyAlignment="1">
      <alignment vertical="center"/>
    </xf>
    <xf numFmtId="0" fontId="15" fillId="37" borderId="71" xfId="0" applyFont="1" applyFill="1" applyBorder="1" applyAlignment="1">
      <alignment vertical="center"/>
    </xf>
    <xf numFmtId="0" fontId="15" fillId="37" borderId="81" xfId="0" applyFont="1" applyFill="1" applyBorder="1" applyAlignment="1">
      <alignment vertical="center"/>
    </xf>
    <xf numFmtId="0" fontId="6" fillId="0" borderId="67" xfId="4515" applyFont="1" applyFill="1" applyBorder="1" applyAlignment="1">
      <alignment horizontal="center" vertical="center"/>
    </xf>
    <xf numFmtId="0" fontId="6" fillId="0" borderId="35" xfId="0" applyFont="1" applyFill="1" applyBorder="1" applyAlignment="1">
      <alignment vertical="center"/>
    </xf>
    <xf numFmtId="0" fontId="15" fillId="37" borderId="68" xfId="4515" applyFont="1" applyFill="1" applyBorder="1" applyAlignment="1">
      <alignment horizontal="center" vertical="center"/>
    </xf>
    <xf numFmtId="0" fontId="3" fillId="0" borderId="4" xfId="0" applyFont="1" applyBorder="1" applyAlignment="1">
      <alignment horizontal="left" wrapText="1"/>
    </xf>
    <xf numFmtId="0" fontId="3" fillId="0" borderId="4" xfId="0" applyFont="1" applyFill="1" applyBorder="1" applyAlignment="1">
      <alignment horizontal="center" vertical="center"/>
    </xf>
    <xf numFmtId="3" fontId="3" fillId="0" borderId="8" xfId="0" applyNumberFormat="1" applyFont="1" applyFill="1" applyBorder="1" applyAlignment="1">
      <alignment horizontal="left" vertical="center"/>
    </xf>
    <xf numFmtId="3" fontId="3" fillId="0" borderId="4" xfId="0" applyNumberFormat="1" applyFont="1" applyBorder="1" applyAlignment="1">
      <alignment horizontal="left"/>
    </xf>
    <xf numFmtId="0" fontId="3" fillId="0" borderId="4" xfId="0" applyFont="1" applyBorder="1"/>
    <xf numFmtId="0" fontId="3" fillId="0" borderId="4" xfId="0" applyFont="1" applyBorder="1" applyAlignment="1">
      <alignment horizontal="left"/>
    </xf>
    <xf numFmtId="0" fontId="15" fillId="37" borderId="1" xfId="0" applyFont="1" applyFill="1" applyBorder="1"/>
    <xf numFmtId="0" fontId="6" fillId="0" borderId="11" xfId="0" applyFont="1" applyFill="1" applyBorder="1" applyAlignment="1">
      <alignment vertical="center"/>
    </xf>
    <xf numFmtId="0" fontId="6" fillId="0" borderId="12" xfId="0" applyFont="1" applyFill="1" applyBorder="1" applyAlignment="1">
      <alignment vertical="center"/>
    </xf>
    <xf numFmtId="0" fontId="6" fillId="0" borderId="33" xfId="0" applyFont="1" applyFill="1" applyBorder="1" applyAlignment="1">
      <alignment vertical="center"/>
    </xf>
    <xf numFmtId="0" fontId="6" fillId="0" borderId="5" xfId="0" applyFont="1" applyFill="1" applyBorder="1" applyAlignment="1">
      <alignment vertical="center"/>
    </xf>
    <xf numFmtId="0" fontId="15" fillId="37" borderId="71" xfId="0" applyFont="1" applyFill="1" applyBorder="1"/>
    <xf numFmtId="0" fontId="15" fillId="37" borderId="70" xfId="0" applyFont="1" applyFill="1" applyBorder="1" applyAlignment="1">
      <alignment horizontal="left" vertical="center" wrapText="1"/>
    </xf>
    <xf numFmtId="3" fontId="80" fillId="0" borderId="35" xfId="0" applyNumberFormat="1" applyFont="1" applyBorder="1" applyAlignment="1">
      <alignment horizontal="left"/>
    </xf>
    <xf numFmtId="3" fontId="80" fillId="0" borderId="8" xfId="0" applyNumberFormat="1" applyFont="1" applyBorder="1" applyAlignment="1">
      <alignment horizontal="left"/>
    </xf>
    <xf numFmtId="0" fontId="190" fillId="37" borderId="82" xfId="0" applyFont="1" applyFill="1" applyBorder="1" applyAlignment="1">
      <alignment horizontal="left"/>
    </xf>
    <xf numFmtId="3" fontId="15" fillId="37" borderId="71" xfId="0" applyNumberFormat="1" applyFont="1" applyFill="1" applyBorder="1"/>
    <xf numFmtId="0" fontId="15" fillId="37" borderId="67" xfId="0" applyFont="1" applyFill="1" applyBorder="1" applyAlignment="1">
      <alignment horizontal="left" vertical="center" wrapText="1"/>
    </xf>
    <xf numFmtId="0" fontId="15" fillId="37" borderId="70" xfId="0" applyFont="1" applyFill="1" applyBorder="1" applyAlignment="1">
      <alignment horizontal="left" vertical="center"/>
    </xf>
    <xf numFmtId="0" fontId="6" fillId="0" borderId="8" xfId="0" applyFont="1" applyBorder="1" applyAlignment="1">
      <alignment horizontal="left"/>
    </xf>
    <xf numFmtId="3" fontId="3" fillId="0" borderId="8" xfId="0" applyNumberFormat="1" applyFont="1" applyBorder="1" applyAlignment="1">
      <alignment horizontal="left"/>
    </xf>
    <xf numFmtId="3" fontId="3" fillId="0" borderId="8" xfId="0" applyNumberFormat="1" applyFont="1" applyBorder="1"/>
    <xf numFmtId="3" fontId="3" fillId="0" borderId="82" xfId="0" applyNumberFormat="1" applyFont="1" applyBorder="1"/>
    <xf numFmtId="166" fontId="15" fillId="37" borderId="1" xfId="0" applyNumberFormat="1" applyFont="1" applyFill="1" applyBorder="1" applyAlignment="1">
      <alignment vertical="center"/>
    </xf>
    <xf numFmtId="166" fontId="15" fillId="37" borderId="71" xfId="0" applyNumberFormat="1" applyFont="1" applyFill="1" applyBorder="1" applyAlignment="1">
      <alignment vertical="center"/>
    </xf>
    <xf numFmtId="0" fontId="15" fillId="37" borderId="67" xfId="0" applyFont="1" applyFill="1" applyBorder="1" applyAlignment="1">
      <alignment horizontal="left" vertical="center"/>
    </xf>
    <xf numFmtId="0" fontId="3" fillId="0" borderId="6" xfId="0" applyNumberFormat="1" applyFont="1" applyBorder="1" applyAlignment="1">
      <alignment horizontal="center" vertical="center"/>
    </xf>
    <xf numFmtId="0" fontId="3" fillId="0" borderId="1" xfId="0" applyNumberFormat="1" applyFont="1" applyBorder="1" applyAlignment="1">
      <alignment horizontal="center" vertical="center"/>
    </xf>
    <xf numFmtId="0" fontId="3" fillId="0" borderId="1" xfId="0" applyNumberFormat="1" applyFont="1" applyBorder="1" applyAlignment="1">
      <alignment horizontal="center"/>
    </xf>
    <xf numFmtId="0" fontId="3" fillId="0" borderId="6" xfId="0" applyNumberFormat="1" applyFont="1" applyBorder="1" applyAlignment="1">
      <alignment horizontal="center"/>
    </xf>
    <xf numFmtId="166" fontId="15" fillId="37" borderId="71" xfId="0" applyNumberFormat="1" applyFont="1" applyFill="1" applyBorder="1"/>
    <xf numFmtId="0" fontId="190" fillId="37" borderId="8" xfId="0" applyFont="1" applyFill="1" applyBorder="1" applyAlignment="1">
      <alignment horizontal="left"/>
    </xf>
    <xf numFmtId="167" fontId="3" fillId="91" borderId="0" xfId="1" applyFont="1" applyFill="1"/>
    <xf numFmtId="291" fontId="27" fillId="10" borderId="19" xfId="4519" applyNumberFormat="1"/>
    <xf numFmtId="0" fontId="3" fillId="91" borderId="0" xfId="0" applyFont="1" applyFill="1"/>
    <xf numFmtId="213" fontId="3" fillId="0" borderId="0" xfId="0" applyNumberFormat="1" applyFont="1"/>
    <xf numFmtId="213" fontId="27" fillId="10" borderId="19" xfId="4519" applyNumberFormat="1"/>
    <xf numFmtId="167" fontId="25" fillId="9" borderId="16" xfId="4518" applyNumberFormat="1"/>
    <xf numFmtId="0" fontId="3" fillId="0" borderId="1" xfId="0" applyFont="1" applyBorder="1" applyAlignment="1">
      <alignment horizontal="center"/>
    </xf>
    <xf numFmtId="0" fontId="3" fillId="0" borderId="1" xfId="0" applyFont="1" applyBorder="1" applyAlignment="1">
      <alignment horizontal="center"/>
    </xf>
    <xf numFmtId="0" fontId="6" fillId="0" borderId="0" xfId="0" applyFont="1" applyFill="1" applyBorder="1" applyAlignment="1">
      <alignment horizontal="left" vertical="center"/>
    </xf>
    <xf numFmtId="294" fontId="80" fillId="0" borderId="6" xfId="0" applyNumberFormat="1" applyFont="1" applyBorder="1" applyAlignment="1">
      <alignment horizontal="center" vertical="center"/>
    </xf>
    <xf numFmtId="294" fontId="190" fillId="37" borderId="6" xfId="0" applyNumberFormat="1" applyFont="1" applyFill="1" applyBorder="1" applyAlignment="1">
      <alignment horizontal="center" vertical="center"/>
    </xf>
    <xf numFmtId="294" fontId="80" fillId="37" borderId="6" xfId="0" applyNumberFormat="1" applyFont="1" applyFill="1" applyBorder="1" applyAlignment="1">
      <alignment horizontal="center" vertical="center"/>
    </xf>
    <xf numFmtId="294" fontId="190" fillId="37" borderId="76" xfId="0" applyNumberFormat="1" applyFont="1" applyFill="1" applyBorder="1" applyAlignment="1">
      <alignment horizontal="center" vertical="center"/>
    </xf>
    <xf numFmtId="291" fontId="80" fillId="0" borderId="0" xfId="0" applyNumberFormat="1" applyFont="1" applyBorder="1" applyAlignment="1">
      <alignment horizontal="center"/>
    </xf>
    <xf numFmtId="165" fontId="30" fillId="21" borderId="76" xfId="191" applyNumberFormat="1" applyFont="1" applyBorder="1" applyAlignment="1">
      <alignment horizontal="center"/>
    </xf>
    <xf numFmtId="3" fontId="0" fillId="92" borderId="0" xfId="0" applyNumberFormat="1" applyFill="1" applyAlignment="1">
      <alignment horizontal="center"/>
    </xf>
    <xf numFmtId="0" fontId="194" fillId="0" borderId="0" xfId="4524" applyFont="1" applyFill="1"/>
    <xf numFmtId="0" fontId="195" fillId="0" borderId="0" xfId="0" applyFont="1" applyFill="1"/>
    <xf numFmtId="3" fontId="0" fillId="0" borderId="0" xfId="0" applyNumberFormat="1" applyFill="1"/>
    <xf numFmtId="0" fontId="194" fillId="0" borderId="0" xfId="4522" applyFont="1" applyFill="1"/>
    <xf numFmtId="0" fontId="194" fillId="0" borderId="0" xfId="4521" applyFont="1" applyFill="1"/>
    <xf numFmtId="0" fontId="194" fillId="0" borderId="0" xfId="4523" applyFont="1" applyFill="1"/>
    <xf numFmtId="174" fontId="0" fillId="0" borderId="0" xfId="1" applyNumberFormat="1" applyFont="1" applyFill="1"/>
    <xf numFmtId="174" fontId="0" fillId="0" borderId="0" xfId="0" applyNumberFormat="1" applyFill="1"/>
    <xf numFmtId="174" fontId="194" fillId="0" borderId="0" xfId="4520" applyNumberFormat="1" applyFont="1" applyFill="1"/>
    <xf numFmtId="38" fontId="0" fillId="0" borderId="0" xfId="0" applyNumberFormat="1" applyFill="1"/>
    <xf numFmtId="43" fontId="0" fillId="0" borderId="0" xfId="0" applyNumberFormat="1" applyFill="1"/>
    <xf numFmtId="3" fontId="33" fillId="0" borderId="0" xfId="24" applyNumberFormat="1" applyFont="1" applyFill="1"/>
    <xf numFmtId="4" fontId="33" fillId="0" borderId="0" xfId="24" applyNumberFormat="1" applyFont="1" applyFill="1"/>
    <xf numFmtId="174" fontId="0" fillId="4" borderId="0" xfId="0" applyNumberFormat="1" applyFill="1"/>
    <xf numFmtId="3" fontId="0" fillId="4" borderId="0" xfId="0" applyNumberFormat="1" applyFill="1"/>
    <xf numFmtId="167" fontId="0" fillId="0" borderId="0" xfId="1" applyFont="1" applyFill="1"/>
    <xf numFmtId="3" fontId="6" fillId="93" borderId="0" xfId="0" applyNumberFormat="1" applyFont="1" applyFill="1"/>
    <xf numFmtId="0" fontId="0" fillId="93" borderId="0" xfId="0" applyFill="1" applyAlignment="1">
      <alignment horizontal="center"/>
    </xf>
    <xf numFmtId="3" fontId="0" fillId="93" borderId="0" xfId="0" applyNumberFormat="1" applyFill="1" applyAlignment="1">
      <alignment horizontal="center"/>
    </xf>
    <xf numFmtId="0" fontId="0" fillId="93" borderId="0" xfId="0" applyFill="1"/>
    <xf numFmtId="171" fontId="0" fillId="94" borderId="0" xfId="0" applyNumberFormat="1" applyFill="1" applyAlignment="1">
      <alignment horizontal="center"/>
    </xf>
    <xf numFmtId="0" fontId="0" fillId="94" borderId="0" xfId="0" applyFill="1"/>
    <xf numFmtId="3" fontId="0" fillId="94" borderId="0" xfId="0" applyNumberFormat="1" applyFill="1" applyAlignment="1">
      <alignment horizontal="center"/>
    </xf>
    <xf numFmtId="169" fontId="0" fillId="94" borderId="0" xfId="0" applyNumberFormat="1" applyFill="1" applyAlignment="1">
      <alignment horizontal="center"/>
    </xf>
    <xf numFmtId="3" fontId="0" fillId="91" borderId="0" xfId="0" applyNumberFormat="1" applyFill="1" applyAlignment="1">
      <alignment horizontal="center"/>
    </xf>
    <xf numFmtId="9" fontId="3" fillId="0" borderId="7" xfId="21" applyFont="1" applyFill="1" applyBorder="1" applyAlignment="1">
      <alignment horizontal="left"/>
    </xf>
    <xf numFmtId="9" fontId="3" fillId="0" borderId="8" xfId="21" applyFont="1" applyFill="1" applyBorder="1" applyAlignment="1">
      <alignment horizontal="left"/>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6" fillId="0" borderId="1" xfId="0" applyFont="1" applyFill="1" applyBorder="1" applyAlignment="1">
      <alignment horizontal="left" vertical="center"/>
    </xf>
    <xf numFmtId="0" fontId="190" fillId="37" borderId="67" xfId="4515" applyFont="1" applyFill="1" applyBorder="1" applyAlignment="1">
      <alignment horizontal="left" vertical="center"/>
    </xf>
    <xf numFmtId="0" fontId="3" fillId="0" borderId="8" xfId="0" applyFont="1" applyFill="1" applyBorder="1" applyAlignment="1">
      <alignment horizontal="left" vertical="center"/>
    </xf>
    <xf numFmtId="0" fontId="3" fillId="0" borderId="7" xfId="0" applyFont="1" applyFill="1" applyBorder="1" applyAlignment="1">
      <alignment horizontal="left" vertical="center" wrapText="1"/>
    </xf>
    <xf numFmtId="0" fontId="3" fillId="0" borderId="4"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190" fillId="37" borderId="67" xfId="4515" applyFont="1" applyFill="1" applyBorder="1" applyAlignment="1">
      <alignment horizontal="center" vertical="center"/>
    </xf>
    <xf numFmtId="0" fontId="3" fillId="0" borderId="6" xfId="0" applyFont="1" applyFill="1" applyBorder="1" applyAlignment="1">
      <alignment horizontal="left" vertical="center"/>
    </xf>
    <xf numFmtId="0" fontId="3" fillId="0" borderId="1" xfId="0" applyFont="1" applyFill="1" applyBorder="1" applyAlignment="1">
      <alignment horizontal="left" vertical="center"/>
    </xf>
    <xf numFmtId="0" fontId="6" fillId="0" borderId="69" xfId="0" applyFont="1" applyBorder="1" applyAlignment="1">
      <alignment horizontal="center" wrapText="1"/>
    </xf>
    <xf numFmtId="0" fontId="6" fillId="37" borderId="23" xfId="0" applyFont="1" applyFill="1" applyBorder="1" applyAlignment="1">
      <alignment horizontal="left" wrapText="1"/>
    </xf>
    <xf numFmtId="0" fontId="6" fillId="37" borderId="66" xfId="0" applyFont="1" applyFill="1" applyBorder="1" applyAlignment="1">
      <alignment horizontal="left" wrapText="1"/>
    </xf>
    <xf numFmtId="0" fontId="6" fillId="0" borderId="69" xfId="0" applyFont="1" applyFill="1" applyBorder="1" applyAlignment="1">
      <alignment horizontal="left" vertical="center"/>
    </xf>
    <xf numFmtId="0" fontId="6" fillId="0" borderId="6" xfId="0" applyFont="1" applyFill="1" applyBorder="1" applyAlignment="1">
      <alignment horizontal="left" vertical="center"/>
    </xf>
    <xf numFmtId="0" fontId="6" fillId="37" borderId="23" xfId="4515" applyFont="1" applyFill="1" applyBorder="1" applyAlignment="1">
      <alignment horizontal="center" vertical="center"/>
    </xf>
    <xf numFmtId="3" fontId="189" fillId="0" borderId="10" xfId="0" applyNumberFormat="1" applyFont="1" applyBorder="1" applyAlignment="1">
      <alignment horizontal="center" vertical="center"/>
    </xf>
    <xf numFmtId="3" fontId="189" fillId="0" borderId="5" xfId="0" applyNumberFormat="1" applyFont="1" applyBorder="1" applyAlignment="1">
      <alignment horizontal="center" vertical="center"/>
    </xf>
    <xf numFmtId="3" fontId="189" fillId="0" borderId="35" xfId="0" applyNumberFormat="1" applyFont="1" applyBorder="1" applyAlignment="1">
      <alignment horizontal="center" vertical="center"/>
    </xf>
    <xf numFmtId="9" fontId="3" fillId="0" borderId="10" xfId="21" applyFont="1" applyFill="1" applyBorder="1" applyAlignment="1">
      <alignment horizontal="left"/>
    </xf>
    <xf numFmtId="9" fontId="3" fillId="0" borderId="35" xfId="21" applyFont="1" applyFill="1" applyBorder="1" applyAlignment="1">
      <alignment horizontal="left"/>
    </xf>
    <xf numFmtId="0" fontId="6" fillId="0" borderId="7" xfId="0" applyFont="1" applyFill="1" applyBorder="1" applyAlignment="1">
      <alignment horizontal="left"/>
    </xf>
    <xf numFmtId="0" fontId="6" fillId="0" borderId="8" xfId="0" applyFont="1" applyFill="1" applyBorder="1" applyAlignment="1">
      <alignment horizontal="left"/>
    </xf>
    <xf numFmtId="0" fontId="6" fillId="0" borderId="10" xfId="0" applyFont="1" applyFill="1" applyBorder="1" applyAlignment="1">
      <alignment horizontal="left" vertical="center"/>
    </xf>
    <xf numFmtId="0" fontId="6" fillId="0" borderId="5" xfId="0" applyFont="1" applyFill="1" applyBorder="1" applyAlignment="1">
      <alignment horizontal="left" vertical="center"/>
    </xf>
    <xf numFmtId="0" fontId="6" fillId="0" borderId="35" xfId="0" applyFont="1" applyFill="1" applyBorder="1" applyAlignment="1">
      <alignment horizontal="left" vertical="center"/>
    </xf>
    <xf numFmtId="0" fontId="6" fillId="92" borderId="69" xfId="0" applyFont="1" applyFill="1" applyBorder="1" applyAlignment="1">
      <alignment horizontal="left" vertical="center"/>
    </xf>
    <xf numFmtId="0" fontId="15" fillId="37" borderId="67" xfId="4515" applyFont="1" applyFill="1" applyBorder="1" applyAlignment="1">
      <alignment horizontal="left" vertical="center"/>
    </xf>
    <xf numFmtId="0" fontId="3" fillId="0" borderId="5" xfId="0" applyFont="1" applyFill="1" applyBorder="1" applyAlignment="1">
      <alignment horizontal="left" vertical="center"/>
    </xf>
    <xf numFmtId="0" fontId="3" fillId="0" borderId="35" xfId="0" applyFont="1" applyFill="1" applyBorder="1" applyAlignment="1">
      <alignment horizontal="left" vertical="center"/>
    </xf>
    <xf numFmtId="0" fontId="6" fillId="0" borderId="8" xfId="0" applyFont="1" applyFill="1" applyBorder="1" applyAlignment="1">
      <alignment horizontal="left" vertical="center"/>
    </xf>
    <xf numFmtId="0" fontId="6" fillId="0" borderId="34" xfId="0" applyFont="1" applyFill="1" applyBorder="1" applyAlignment="1">
      <alignment horizontal="left" vertical="center"/>
    </xf>
    <xf numFmtId="0" fontId="6" fillId="0" borderId="0"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3" fillId="0" borderId="8" xfId="0" applyFont="1" applyFill="1" applyBorder="1" applyAlignment="1">
      <alignment horizontal="left" vertical="center" wrapText="1"/>
    </xf>
    <xf numFmtId="0" fontId="15" fillId="37" borderId="70" xfId="4515" applyFont="1" applyFill="1" applyBorder="1" applyAlignment="1">
      <alignment horizontal="left" vertical="center"/>
    </xf>
    <xf numFmtId="0" fontId="3" fillId="0" borderId="1" xfId="0" applyFont="1" applyFill="1" applyBorder="1" applyAlignment="1">
      <alignment horizontal="left" vertical="center" wrapText="1"/>
    </xf>
    <xf numFmtId="0" fontId="6" fillId="0" borderId="11" xfId="0" applyFont="1" applyFill="1" applyBorder="1" applyAlignment="1">
      <alignment horizontal="left" vertical="center"/>
    </xf>
    <xf numFmtId="0" fontId="6" fillId="0" borderId="12" xfId="0" applyFont="1" applyFill="1" applyBorder="1" applyAlignment="1">
      <alignment horizontal="left" vertical="center"/>
    </xf>
    <xf numFmtId="0" fontId="6" fillId="0" borderId="33" xfId="0" applyFont="1" applyFill="1" applyBorder="1" applyAlignment="1">
      <alignment horizontal="left" vertical="center"/>
    </xf>
    <xf numFmtId="0" fontId="15" fillId="37" borderId="67" xfId="4515" applyFont="1" applyFill="1" applyBorder="1" applyAlignment="1">
      <alignment horizontal="center" vertical="center"/>
    </xf>
    <xf numFmtId="0" fontId="15" fillId="37" borderId="67" xfId="0" applyFont="1" applyFill="1" applyBorder="1" applyAlignment="1">
      <alignment horizontal="center" vertical="center"/>
    </xf>
    <xf numFmtId="0" fontId="15" fillId="37" borderId="67" xfId="0" applyFont="1" applyFill="1" applyBorder="1" applyAlignment="1">
      <alignment horizontal="center" vertical="center" wrapText="1"/>
    </xf>
    <xf numFmtId="0" fontId="15" fillId="37" borderId="68" xfId="0" applyFont="1" applyFill="1" applyBorder="1" applyAlignment="1">
      <alignment horizontal="center" vertical="center" wrapText="1"/>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3" fillId="0" borderId="6" xfId="0" applyFont="1" applyBorder="1" applyAlignment="1">
      <alignment horizontal="center"/>
    </xf>
    <xf numFmtId="0" fontId="3" fillId="0" borderId="73" xfId="0" applyFont="1" applyBorder="1" applyAlignment="1">
      <alignment horizontal="center"/>
    </xf>
    <xf numFmtId="0" fontId="3" fillId="0" borderId="1" xfId="0" applyFont="1" applyBorder="1" applyAlignment="1">
      <alignment horizontal="center"/>
    </xf>
    <xf numFmtId="0" fontId="3" fillId="0" borderId="78" xfId="0" applyFont="1" applyBorder="1" applyAlignment="1">
      <alignment horizontal="center"/>
    </xf>
    <xf numFmtId="0" fontId="6" fillId="0" borderId="7"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69" xfId="0" applyFont="1" applyFill="1" applyBorder="1" applyAlignment="1">
      <alignment horizontal="left" vertical="center" wrapText="1"/>
    </xf>
    <xf numFmtId="292" fontId="3" fillId="0" borderId="1" xfId="0" applyNumberFormat="1" applyFont="1" applyBorder="1" applyAlignment="1">
      <alignment horizontal="center"/>
    </xf>
    <xf numFmtId="292" fontId="3" fillId="0" borderId="78" xfId="0" applyNumberFormat="1" applyFont="1" applyBorder="1" applyAlignment="1">
      <alignment horizontal="center"/>
    </xf>
    <xf numFmtId="169" fontId="3" fillId="0" borderId="1" xfId="0" applyNumberFormat="1" applyFont="1" applyBorder="1" applyAlignment="1">
      <alignment horizontal="center"/>
    </xf>
    <xf numFmtId="169" fontId="3" fillId="0" borderId="78" xfId="0" applyNumberFormat="1" applyFont="1" applyBorder="1" applyAlignment="1">
      <alignment horizontal="center"/>
    </xf>
    <xf numFmtId="169" fontId="3" fillId="0" borderId="76" xfId="0" applyNumberFormat="1" applyFont="1" applyBorder="1" applyAlignment="1">
      <alignment horizontal="center"/>
    </xf>
    <xf numFmtId="169" fontId="3" fillId="0" borderId="77" xfId="0" applyNumberFormat="1" applyFont="1" applyBorder="1" applyAlignment="1">
      <alignment horizontal="center"/>
    </xf>
    <xf numFmtId="0" fontId="6" fillId="0" borderId="7" xfId="0" applyFont="1" applyFill="1" applyBorder="1" applyAlignment="1">
      <alignment horizontal="left" vertical="center"/>
    </xf>
    <xf numFmtId="0" fontId="6" fillId="0" borderId="4" xfId="0" applyFont="1" applyFill="1" applyBorder="1" applyAlignment="1">
      <alignment horizontal="left" vertical="center"/>
    </xf>
    <xf numFmtId="0" fontId="0" fillId="3" borderId="0" xfId="0" applyFill="1" applyAlignment="1">
      <alignment horizontal="center"/>
    </xf>
    <xf numFmtId="0" fontId="0" fillId="4" borderId="0" xfId="0" applyFill="1" applyAlignment="1">
      <alignment horizontal="center" wrapText="1"/>
    </xf>
    <xf numFmtId="0" fontId="0" fillId="0" borderId="0" xfId="0" applyAlignment="1">
      <alignment horizontal="left"/>
    </xf>
    <xf numFmtId="0" fontId="0" fillId="0" borderId="65" xfId="0" applyBorder="1" applyAlignment="1">
      <alignment horizontal="center"/>
    </xf>
    <xf numFmtId="0" fontId="0" fillId="0" borderId="23" xfId="0" applyBorder="1" applyAlignment="1">
      <alignment horizontal="center"/>
    </xf>
    <xf numFmtId="0" fontId="0" fillId="0" borderId="66" xfId="0" applyBorder="1" applyAlignment="1">
      <alignment horizontal="center"/>
    </xf>
    <xf numFmtId="0" fontId="0" fillId="0" borderId="65" xfId="0" applyFill="1" applyBorder="1" applyAlignment="1">
      <alignment horizontal="center"/>
    </xf>
    <xf numFmtId="0" fontId="0" fillId="0" borderId="23" xfId="0" applyFill="1" applyBorder="1" applyAlignment="1">
      <alignment horizontal="center"/>
    </xf>
    <xf numFmtId="0" fontId="0" fillId="0" borderId="66" xfId="0" applyFill="1" applyBorder="1" applyAlignment="1">
      <alignment horizontal="center"/>
    </xf>
    <xf numFmtId="0" fontId="0" fillId="0" borderId="0" xfId="0" applyAlignment="1">
      <alignment horizontal="center"/>
    </xf>
    <xf numFmtId="0" fontId="34" fillId="36" borderId="5" xfId="24" applyFont="1" applyFill="1" applyBorder="1" applyAlignment="1">
      <alignment horizontal="center" wrapText="1"/>
    </xf>
    <xf numFmtId="0" fontId="34" fillId="0" borderId="0" xfId="24" applyFont="1" applyBorder="1" applyAlignment="1">
      <alignment horizontal="center" vertical="center"/>
    </xf>
    <xf numFmtId="0" fontId="34" fillId="37" borderId="0" xfId="24" applyFont="1" applyFill="1" applyBorder="1" applyAlignment="1">
      <alignment horizontal="center" vertical="center"/>
    </xf>
    <xf numFmtId="0" fontId="34" fillId="0" borderId="0" xfId="24" applyFont="1" applyBorder="1" applyAlignment="1">
      <alignment horizontal="center"/>
    </xf>
    <xf numFmtId="0" fontId="34" fillId="36" borderId="0" xfId="24" applyFont="1" applyFill="1" applyBorder="1" applyAlignment="1">
      <alignment horizontal="center" vertical="center"/>
    </xf>
    <xf numFmtId="0" fontId="6" fillId="0" borderId="0" xfId="0" applyFont="1" applyAlignment="1">
      <alignment horizontal="center"/>
    </xf>
  </cellXfs>
  <cellStyles count="4525">
    <cellStyle name="-" xfId="27"/>
    <cellStyle name="$" xfId="28"/>
    <cellStyle name="$ &amp; ¢" xfId="29"/>
    <cellStyle name="%" xfId="30"/>
    <cellStyle name="%.00" xfId="31"/>
    <cellStyle name="(Heading)" xfId="32"/>
    <cellStyle name="(Heading) 2" xfId="33"/>
    <cellStyle name="(Heading) 3" xfId="34"/>
    <cellStyle name="(Lefting)" xfId="35"/>
    <cellStyle name="(Lefting) 2" xfId="36"/>
    <cellStyle name="(Lefting) 3" xfId="37"/>
    <cellStyle name="(z*¯_x000f_°(”,¯?À(¢,¯?Ð(°,¯?à(Â,¯?ð(Ô,¯?" xfId="38"/>
    <cellStyle name="******************************************" xfId="39"/>
    <cellStyle name="_CNMD_Valuation Model_20081212_v2" xfId="40"/>
    <cellStyle name="_Comma" xfId="41"/>
    <cellStyle name="_Comps 4" xfId="42"/>
    <cellStyle name="_Cont Analysis" xfId="43"/>
    <cellStyle name="_Currency" xfId="44"/>
    <cellStyle name="_Currency_Analysis" xfId="45"/>
    <cellStyle name="_Currency_Smartportfolio model" xfId="46"/>
    <cellStyle name="_Currency_Smartportfolio model_DB-merged files" xfId="47"/>
    <cellStyle name="_CurrencySpace" xfId="48"/>
    <cellStyle name="_Gamma Valuation - 8" xfId="49"/>
    <cellStyle name="_ITRN" xfId="50"/>
    <cellStyle name="-_Merger Model 17 Nov 04" xfId="51"/>
    <cellStyle name="_Merger Model_KN&amp;Fzio_v2.30 - Street" xfId="52"/>
    <cellStyle name="_Multiple" xfId="53"/>
    <cellStyle name="_Multiple_Analysis" xfId="54"/>
    <cellStyle name="_Multiple_Analysis_DB-merged files" xfId="55"/>
    <cellStyle name="_Multiple_Smartportfolio model" xfId="56"/>
    <cellStyle name="_Multiple_Smartportfolio model_DB-merged files" xfId="57"/>
    <cellStyle name="_MultipleSpace" xfId="58"/>
    <cellStyle name="_MultipleSpace_Analysis" xfId="59"/>
    <cellStyle name="_MultipleSpace_csc" xfId="60"/>
    <cellStyle name="_MultipleSpace_Smartportfolio model" xfId="61"/>
    <cellStyle name="_MultipleSpace_Smartportfolio model_DB-merged files" xfId="62"/>
    <cellStyle name="_Percent" xfId="63"/>
    <cellStyle name="_Percent_Analysis" xfId="64"/>
    <cellStyle name="_Percent_Smartportfolio model" xfId="65"/>
    <cellStyle name="_Percent_Smartportfolio model_DB-merged files" xfId="66"/>
    <cellStyle name="_PercentSpace" xfId="67"/>
    <cellStyle name="_PercentSpace_Analysis" xfId="68"/>
    <cellStyle name="_PercentSpace_Smartportfolio model" xfId="69"/>
    <cellStyle name="_Sepracor Riders_Clean" xfId="70"/>
    <cellStyle name="_SIAL_Model_5.22.09 v71" xfId="71"/>
    <cellStyle name="£ BP" xfId="72"/>
    <cellStyle name="¥ JY" xfId="73"/>
    <cellStyle name="&lt;9#_x000f_¾Èƒé1ƒÃ_x0002_;M_x0014_}$‹E_x0010_‹_x0004_ˆ…Àt_x001b_Pÿ_x0015_ x¦" xfId="74"/>
    <cellStyle name="=C:\WINNT35\SYSTEM32\COMMAND.COM" xfId="75"/>
    <cellStyle name="0752-93035" xfId="76"/>
    <cellStyle name="1,comma" xfId="77"/>
    <cellStyle name="10Q" xfId="78"/>
    <cellStyle name="20% - Accent1 2" xfId="79"/>
    <cellStyle name="20% - Accent1 2 10" xfId="80"/>
    <cellStyle name="20% - Accent1 2 2" xfId="81"/>
    <cellStyle name="20% - Accent1 2 2 2" xfId="82"/>
    <cellStyle name="20% - Accent1 2 2 3" xfId="83"/>
    <cellStyle name="20% - Accent1 2 3" xfId="84"/>
    <cellStyle name="20% - Accent1 2 3 2" xfId="85"/>
    <cellStyle name="20% - Accent1 2 4" xfId="86"/>
    <cellStyle name="20% - Accent1 2 5" xfId="87"/>
    <cellStyle name="20% - Accent1 2 6" xfId="88"/>
    <cellStyle name="20% - Accent1 2 7" xfId="89"/>
    <cellStyle name="20% - Accent1 2 8" xfId="90"/>
    <cellStyle name="20% - Accent1 2 9" xfId="91"/>
    <cellStyle name="20% - Accent1 3" xfId="92"/>
    <cellStyle name="20% - Accent1 3 2" xfId="93"/>
    <cellStyle name="20% - Accent1 3 2 2" xfId="94"/>
    <cellStyle name="20% - Accent1 3 2 2 2" xfId="95"/>
    <cellStyle name="20% - Accent1 3 2 2 2 2" xfId="96"/>
    <cellStyle name="20% - Accent1 3 2 2 3" xfId="97"/>
    <cellStyle name="20% - Accent1 3 2 3" xfId="98"/>
    <cellStyle name="20% - Accent1 3 2 3 2" xfId="99"/>
    <cellStyle name="20% - Accent1 3 2 4" xfId="100"/>
    <cellStyle name="20% - Accent1 3 3" xfId="101"/>
    <cellStyle name="20% - Accent1 3 3 2" xfId="102"/>
    <cellStyle name="20% - Accent1 3 3 2 2" xfId="103"/>
    <cellStyle name="20% - Accent1 3 3 2 2 2" xfId="104"/>
    <cellStyle name="20% - Accent1 3 3 2 3" xfId="105"/>
    <cellStyle name="20% - Accent1 3 3 3" xfId="106"/>
    <cellStyle name="20% - Accent1 3 3 3 2" xfId="107"/>
    <cellStyle name="20% - Accent1 3 3 4" xfId="108"/>
    <cellStyle name="20% - Accent1 3 4" xfId="109"/>
    <cellStyle name="20% - Accent1 3 4 2" xfId="110"/>
    <cellStyle name="20% - Accent1 3 4 2 2" xfId="111"/>
    <cellStyle name="20% - Accent1 3 4 3" xfId="112"/>
    <cellStyle name="20% - Accent1 3 5" xfId="113"/>
    <cellStyle name="20% - Accent1 3 5 2" xfId="114"/>
    <cellStyle name="20% - Accent1 3 6" xfId="115"/>
    <cellStyle name="20% - Accent1 4" xfId="116"/>
    <cellStyle name="20% - Accent1 5" xfId="117"/>
    <cellStyle name="20% - Accent1 6" xfId="118"/>
    <cellStyle name="20% - Accent1 7" xfId="119"/>
    <cellStyle name="20% - Accent1 8" xfId="120"/>
    <cellStyle name="20% - Accent2 2" xfId="121"/>
    <cellStyle name="20% - Accent2 2 10" xfId="122"/>
    <cellStyle name="20% - Accent2 2 2" xfId="123"/>
    <cellStyle name="20% - Accent2 2 2 2" xfId="124"/>
    <cellStyle name="20% - Accent2 2 2 3" xfId="125"/>
    <cellStyle name="20% - Accent2 2 3" xfId="126"/>
    <cellStyle name="20% - Accent2 2 3 2" xfId="127"/>
    <cellStyle name="20% - Accent2 2 4" xfId="128"/>
    <cellStyle name="20% - Accent2 2 5" xfId="129"/>
    <cellStyle name="20% - Accent2 2 6" xfId="130"/>
    <cellStyle name="20% - Accent2 2 7" xfId="131"/>
    <cellStyle name="20% - Accent2 2 8" xfId="132"/>
    <cellStyle name="20% - Accent2 2 9" xfId="133"/>
    <cellStyle name="20% - Accent2 3" xfId="134"/>
    <cellStyle name="20% - Accent2 3 2" xfId="135"/>
    <cellStyle name="20% - Accent2 3 2 2" xfId="136"/>
    <cellStyle name="20% - Accent2 3 2 2 2" xfId="137"/>
    <cellStyle name="20% - Accent2 3 2 2 2 2" xfId="138"/>
    <cellStyle name="20% - Accent2 3 2 2 3" xfId="139"/>
    <cellStyle name="20% - Accent2 3 2 3" xfId="140"/>
    <cellStyle name="20% - Accent2 3 2 3 2" xfId="141"/>
    <cellStyle name="20% - Accent2 3 2 4" xfId="142"/>
    <cellStyle name="20% - Accent2 3 3" xfId="143"/>
    <cellStyle name="20% - Accent2 3 3 2" xfId="144"/>
    <cellStyle name="20% - Accent2 3 3 2 2" xfId="145"/>
    <cellStyle name="20% - Accent2 3 3 2 2 2" xfId="146"/>
    <cellStyle name="20% - Accent2 3 3 2 3" xfId="147"/>
    <cellStyle name="20% - Accent2 3 3 3" xfId="148"/>
    <cellStyle name="20% - Accent2 3 3 3 2" xfId="149"/>
    <cellStyle name="20% - Accent2 3 3 4" xfId="150"/>
    <cellStyle name="20% - Accent2 3 4" xfId="151"/>
    <cellStyle name="20% - Accent2 3 4 2" xfId="152"/>
    <cellStyle name="20% - Accent2 3 4 2 2" xfId="153"/>
    <cellStyle name="20% - Accent2 3 4 3" xfId="154"/>
    <cellStyle name="20% - Accent2 3 5" xfId="155"/>
    <cellStyle name="20% - Accent2 3 5 2" xfId="156"/>
    <cellStyle name="20% - Accent2 3 6" xfId="157"/>
    <cellStyle name="20% - Accent2 4" xfId="158"/>
    <cellStyle name="20% - Accent2 5" xfId="159"/>
    <cellStyle name="20% - Accent2 6" xfId="160"/>
    <cellStyle name="20% - Accent2 7" xfId="161"/>
    <cellStyle name="20% - Accent2 8" xfId="162"/>
    <cellStyle name="20% - Accent3 2" xfId="163"/>
    <cellStyle name="20% - Accent3 2 10" xfId="164"/>
    <cellStyle name="20% - Accent3 2 2" xfId="165"/>
    <cellStyle name="20% - Accent3 2 2 2" xfId="166"/>
    <cellStyle name="20% - Accent3 2 2 3" xfId="167"/>
    <cellStyle name="20% - Accent3 2 3" xfId="168"/>
    <cellStyle name="20% - Accent3 2 3 2" xfId="169"/>
    <cellStyle name="20% - Accent3 2 4" xfId="170"/>
    <cellStyle name="20% - Accent3 2 5" xfId="171"/>
    <cellStyle name="20% - Accent3 2 6" xfId="172"/>
    <cellStyle name="20% - Accent3 2 7" xfId="173"/>
    <cellStyle name="20% - Accent3 2 8" xfId="174"/>
    <cellStyle name="20% - Accent3 2 9" xfId="175"/>
    <cellStyle name="20% - Accent3 3" xfId="176"/>
    <cellStyle name="20% - Accent3 3 2" xfId="177"/>
    <cellStyle name="20% - Accent3 3 2 2" xfId="178"/>
    <cellStyle name="20% - Accent3 3 2 2 2" xfId="179"/>
    <cellStyle name="20% - Accent3 3 2 2 2 2" xfId="180"/>
    <cellStyle name="20% - Accent3 3 2 2 3" xfId="181"/>
    <cellStyle name="20% - Accent3 3 2 3" xfId="182"/>
    <cellStyle name="20% - Accent3 3 2 3 2" xfId="183"/>
    <cellStyle name="20% - Accent3 3 2 4" xfId="184"/>
    <cellStyle name="20% - Accent3 3 3" xfId="185"/>
    <cellStyle name="20% - Accent3 3 3 2" xfId="186"/>
    <cellStyle name="20% - Accent3 3 3 2 2" xfId="187"/>
    <cellStyle name="20% - Accent3 3 3 2 2 2" xfId="188"/>
    <cellStyle name="20% - Accent3 3 3 2 3" xfId="189"/>
    <cellStyle name="20% - Accent3 3 3 3" xfId="190"/>
    <cellStyle name="20% - Accent3 3 3 3 2" xfId="191"/>
    <cellStyle name="20% - Accent3 3 3 4" xfId="192"/>
    <cellStyle name="20% - Accent3 3 4" xfId="193"/>
    <cellStyle name="20% - Accent3 3 4 2" xfId="194"/>
    <cellStyle name="20% - Accent3 3 4 2 2" xfId="195"/>
    <cellStyle name="20% - Accent3 3 4 3" xfId="196"/>
    <cellStyle name="20% - Accent3 3 5" xfId="197"/>
    <cellStyle name="20% - Accent3 3 5 2" xfId="198"/>
    <cellStyle name="20% - Accent3 3 6" xfId="199"/>
    <cellStyle name="20% - Accent3 4" xfId="200"/>
    <cellStyle name="20% - Accent3 5" xfId="201"/>
    <cellStyle name="20% - Accent3 6" xfId="202"/>
    <cellStyle name="20% - Accent3 7" xfId="203"/>
    <cellStyle name="20% - Accent3 8" xfId="204"/>
    <cellStyle name="20% - Accent4 2" xfId="205"/>
    <cellStyle name="20% - Accent4 2 10" xfId="206"/>
    <cellStyle name="20% - Accent4 2 2" xfId="207"/>
    <cellStyle name="20% - Accent4 2 2 2" xfId="208"/>
    <cellStyle name="20% - Accent4 2 2 3" xfId="209"/>
    <cellStyle name="20% - Accent4 2 3" xfId="210"/>
    <cellStyle name="20% - Accent4 2 3 2" xfId="211"/>
    <cellStyle name="20% - Accent4 2 4" xfId="212"/>
    <cellStyle name="20% - Accent4 2 5" xfId="213"/>
    <cellStyle name="20% - Accent4 2 6" xfId="214"/>
    <cellStyle name="20% - Accent4 2 7" xfId="215"/>
    <cellStyle name="20% - Accent4 2 8" xfId="216"/>
    <cellStyle name="20% - Accent4 2 9" xfId="217"/>
    <cellStyle name="20% - Accent4 3" xfId="218"/>
    <cellStyle name="20% - Accent4 3 2" xfId="219"/>
    <cellStyle name="20% - Accent4 3 2 2" xfId="220"/>
    <cellStyle name="20% - Accent4 3 2 2 2" xfId="221"/>
    <cellStyle name="20% - Accent4 3 2 2 2 2" xfId="222"/>
    <cellStyle name="20% - Accent4 3 2 2 3" xfId="223"/>
    <cellStyle name="20% - Accent4 3 2 3" xfId="224"/>
    <cellStyle name="20% - Accent4 3 2 3 2" xfId="225"/>
    <cellStyle name="20% - Accent4 3 2 4" xfId="226"/>
    <cellStyle name="20% - Accent4 3 3" xfId="227"/>
    <cellStyle name="20% - Accent4 3 3 2" xfId="228"/>
    <cellStyle name="20% - Accent4 3 3 2 2" xfId="229"/>
    <cellStyle name="20% - Accent4 3 3 2 2 2" xfId="230"/>
    <cellStyle name="20% - Accent4 3 3 2 3" xfId="231"/>
    <cellStyle name="20% - Accent4 3 3 3" xfId="232"/>
    <cellStyle name="20% - Accent4 3 3 3 2" xfId="233"/>
    <cellStyle name="20% - Accent4 3 3 4" xfId="234"/>
    <cellStyle name="20% - Accent4 3 4" xfId="235"/>
    <cellStyle name="20% - Accent4 3 4 2" xfId="236"/>
    <cellStyle name="20% - Accent4 3 4 2 2" xfId="237"/>
    <cellStyle name="20% - Accent4 3 4 3" xfId="238"/>
    <cellStyle name="20% - Accent4 3 5" xfId="239"/>
    <cellStyle name="20% - Accent4 3 5 2" xfId="240"/>
    <cellStyle name="20% - Accent4 3 6" xfId="241"/>
    <cellStyle name="20% - Accent4 4" xfId="242"/>
    <cellStyle name="20% - Accent4 5" xfId="243"/>
    <cellStyle name="20% - Accent4 6" xfId="244"/>
    <cellStyle name="20% - Accent4 7" xfId="245"/>
    <cellStyle name="20% - Accent4 8" xfId="246"/>
    <cellStyle name="20% - Accent5 2" xfId="247"/>
    <cellStyle name="20% - Accent5 2 10" xfId="248"/>
    <cellStyle name="20% - Accent5 2 2" xfId="249"/>
    <cellStyle name="20% - Accent5 2 2 2" xfId="250"/>
    <cellStyle name="20% - Accent5 2 2 3" xfId="251"/>
    <cellStyle name="20% - Accent5 2 3" xfId="252"/>
    <cellStyle name="20% - Accent5 2 3 2" xfId="253"/>
    <cellStyle name="20% - Accent5 2 4" xfId="254"/>
    <cellStyle name="20% - Accent5 2 5" xfId="255"/>
    <cellStyle name="20% - Accent5 2 6" xfId="256"/>
    <cellStyle name="20% - Accent5 2 7" xfId="257"/>
    <cellStyle name="20% - Accent5 2 8" xfId="258"/>
    <cellStyle name="20% - Accent5 2 9" xfId="259"/>
    <cellStyle name="20% - Accent5 3" xfId="260"/>
    <cellStyle name="20% - Accent5 3 2" xfId="261"/>
    <cellStyle name="20% - Accent5 3 2 2" xfId="262"/>
    <cellStyle name="20% - Accent5 3 2 2 2" xfId="263"/>
    <cellStyle name="20% - Accent5 3 2 2 2 2" xfId="264"/>
    <cellStyle name="20% - Accent5 3 2 2 3" xfId="265"/>
    <cellStyle name="20% - Accent5 3 2 3" xfId="266"/>
    <cellStyle name="20% - Accent5 3 2 3 2" xfId="267"/>
    <cellStyle name="20% - Accent5 3 2 4" xfId="268"/>
    <cellStyle name="20% - Accent5 3 3" xfId="269"/>
    <cellStyle name="20% - Accent5 3 3 2" xfId="270"/>
    <cellStyle name="20% - Accent5 3 3 2 2" xfId="271"/>
    <cellStyle name="20% - Accent5 3 3 2 2 2" xfId="272"/>
    <cellStyle name="20% - Accent5 3 3 2 3" xfId="273"/>
    <cellStyle name="20% - Accent5 3 3 3" xfId="274"/>
    <cellStyle name="20% - Accent5 3 3 3 2" xfId="275"/>
    <cellStyle name="20% - Accent5 3 3 4" xfId="276"/>
    <cellStyle name="20% - Accent5 3 4" xfId="277"/>
    <cellStyle name="20% - Accent5 3 4 2" xfId="278"/>
    <cellStyle name="20% - Accent5 3 4 2 2" xfId="279"/>
    <cellStyle name="20% - Accent5 3 4 3" xfId="280"/>
    <cellStyle name="20% - Accent5 3 5" xfId="281"/>
    <cellStyle name="20% - Accent5 3 5 2" xfId="282"/>
    <cellStyle name="20% - Accent5 3 6" xfId="283"/>
    <cellStyle name="20% - Accent5 4" xfId="284"/>
    <cellStyle name="20% - Accent5 5" xfId="285"/>
    <cellStyle name="20% - Accent5 6" xfId="286"/>
    <cellStyle name="20% - Accent5 7" xfId="287"/>
    <cellStyle name="20% - Accent5 8" xfId="288"/>
    <cellStyle name="20% - Accent6 2" xfId="289"/>
    <cellStyle name="20% - Accent6 2 10" xfId="290"/>
    <cellStyle name="20% - Accent6 2 2" xfId="291"/>
    <cellStyle name="20% - Accent6 2 2 2" xfId="292"/>
    <cellStyle name="20% - Accent6 2 2 3" xfId="293"/>
    <cellStyle name="20% - Accent6 2 3" xfId="294"/>
    <cellStyle name="20% - Accent6 2 3 2" xfId="295"/>
    <cellStyle name="20% - Accent6 2 4" xfId="296"/>
    <cellStyle name="20% - Accent6 2 5" xfId="297"/>
    <cellStyle name="20% - Accent6 2 6" xfId="298"/>
    <cellStyle name="20% - Accent6 2 7" xfId="299"/>
    <cellStyle name="20% - Accent6 2 8" xfId="300"/>
    <cellStyle name="20% - Accent6 2 9" xfId="301"/>
    <cellStyle name="20% - Accent6 3" xfId="302"/>
    <cellStyle name="20% - Accent6 3 2" xfId="303"/>
    <cellStyle name="20% - Accent6 3 2 2" xfId="304"/>
    <cellStyle name="20% - Accent6 3 2 2 2" xfId="305"/>
    <cellStyle name="20% - Accent6 3 2 2 2 2" xfId="306"/>
    <cellStyle name="20% - Accent6 3 2 2 3" xfId="307"/>
    <cellStyle name="20% - Accent6 3 2 3" xfId="308"/>
    <cellStyle name="20% - Accent6 3 2 3 2" xfId="309"/>
    <cellStyle name="20% - Accent6 3 2 4" xfId="310"/>
    <cellStyle name="20% - Accent6 3 3" xfId="311"/>
    <cellStyle name="20% - Accent6 3 3 2" xfId="312"/>
    <cellStyle name="20% - Accent6 3 3 2 2" xfId="313"/>
    <cellStyle name="20% - Accent6 3 3 2 2 2" xfId="314"/>
    <cellStyle name="20% - Accent6 3 3 2 3" xfId="315"/>
    <cellStyle name="20% - Accent6 3 3 3" xfId="316"/>
    <cellStyle name="20% - Accent6 3 3 3 2" xfId="317"/>
    <cellStyle name="20% - Accent6 3 3 4" xfId="318"/>
    <cellStyle name="20% - Accent6 3 4" xfId="319"/>
    <cellStyle name="20% - Accent6 3 4 2" xfId="320"/>
    <cellStyle name="20% - Accent6 3 4 2 2" xfId="321"/>
    <cellStyle name="20% - Accent6 3 4 3" xfId="322"/>
    <cellStyle name="20% - Accent6 3 5" xfId="323"/>
    <cellStyle name="20% - Accent6 3 5 2" xfId="324"/>
    <cellStyle name="20% - Accent6 3 6" xfId="325"/>
    <cellStyle name="20% - Accent6 4" xfId="326"/>
    <cellStyle name="20% - Accent6 5" xfId="327"/>
    <cellStyle name="20% - Accent6 6" xfId="328"/>
    <cellStyle name="20% - Accent6 7" xfId="329"/>
    <cellStyle name="20% - Accent6 8" xfId="330"/>
    <cellStyle name="40% - Accent1 2" xfId="331"/>
    <cellStyle name="40% - Accent1 2 10" xfId="332"/>
    <cellStyle name="40% - Accent1 2 2" xfId="333"/>
    <cellStyle name="40% - Accent1 2 2 2" xfId="334"/>
    <cellStyle name="40% - Accent1 2 2 3" xfId="335"/>
    <cellStyle name="40% - Accent1 2 3" xfId="336"/>
    <cellStyle name="40% - Accent1 2 3 2" xfId="337"/>
    <cellStyle name="40% - Accent1 2 4" xfId="338"/>
    <cellStyle name="40% - Accent1 2 5" xfId="339"/>
    <cellStyle name="40% - Accent1 2 6" xfId="340"/>
    <cellStyle name="40% - Accent1 2 7" xfId="341"/>
    <cellStyle name="40% - Accent1 2 8" xfId="342"/>
    <cellStyle name="40% - Accent1 2 9" xfId="343"/>
    <cellStyle name="40% - Accent1 3" xfId="344"/>
    <cellStyle name="40% - Accent1 3 2" xfId="345"/>
    <cellStyle name="40% - Accent1 3 2 2" xfId="346"/>
    <cellStyle name="40% - Accent1 3 2 2 2" xfId="347"/>
    <cellStyle name="40% - Accent1 3 2 2 2 2" xfId="348"/>
    <cellStyle name="40% - Accent1 3 2 2 3" xfId="349"/>
    <cellStyle name="40% - Accent1 3 2 3" xfId="350"/>
    <cellStyle name="40% - Accent1 3 2 3 2" xfId="351"/>
    <cellStyle name="40% - Accent1 3 2 4" xfId="352"/>
    <cellStyle name="40% - Accent1 3 3" xfId="353"/>
    <cellStyle name="40% - Accent1 3 3 2" xfId="354"/>
    <cellStyle name="40% - Accent1 3 3 2 2" xfId="355"/>
    <cellStyle name="40% - Accent1 3 3 2 2 2" xfId="356"/>
    <cellStyle name="40% - Accent1 3 3 2 3" xfId="357"/>
    <cellStyle name="40% - Accent1 3 3 3" xfId="358"/>
    <cellStyle name="40% - Accent1 3 3 3 2" xfId="359"/>
    <cellStyle name="40% - Accent1 3 3 4" xfId="360"/>
    <cellStyle name="40% - Accent1 3 4" xfId="361"/>
    <cellStyle name="40% - Accent1 3 4 2" xfId="362"/>
    <cellStyle name="40% - Accent1 3 4 2 2" xfId="363"/>
    <cellStyle name="40% - Accent1 3 4 3" xfId="364"/>
    <cellStyle name="40% - Accent1 3 5" xfId="365"/>
    <cellStyle name="40% - Accent1 3 5 2" xfId="366"/>
    <cellStyle name="40% - Accent1 3 6" xfId="367"/>
    <cellStyle name="40% - Accent1 4" xfId="368"/>
    <cellStyle name="40% - Accent1 5" xfId="369"/>
    <cellStyle name="40% - Accent1 6" xfId="370"/>
    <cellStyle name="40% - Accent1 7" xfId="371"/>
    <cellStyle name="40% - Accent1 8" xfId="372"/>
    <cellStyle name="40% - Accent2 2" xfId="373"/>
    <cellStyle name="40% - Accent2 2 10" xfId="374"/>
    <cellStyle name="40% - Accent2 2 2" xfId="375"/>
    <cellStyle name="40% - Accent2 2 2 2" xfId="376"/>
    <cellStyle name="40% - Accent2 2 2 3" xfId="377"/>
    <cellStyle name="40% - Accent2 2 3" xfId="378"/>
    <cellStyle name="40% - Accent2 2 3 2" xfId="379"/>
    <cellStyle name="40% - Accent2 2 4" xfId="380"/>
    <cellStyle name="40% - Accent2 2 5" xfId="381"/>
    <cellStyle name="40% - Accent2 2 6" xfId="382"/>
    <cellStyle name="40% - Accent2 2 7" xfId="383"/>
    <cellStyle name="40% - Accent2 2 8" xfId="384"/>
    <cellStyle name="40% - Accent2 2 9" xfId="385"/>
    <cellStyle name="40% - Accent2 3" xfId="386"/>
    <cellStyle name="40% - Accent2 3 2" xfId="387"/>
    <cellStyle name="40% - Accent2 3 2 2" xfId="388"/>
    <cellStyle name="40% - Accent2 3 2 2 2" xfId="389"/>
    <cellStyle name="40% - Accent2 3 2 2 2 2" xfId="390"/>
    <cellStyle name="40% - Accent2 3 2 2 3" xfId="391"/>
    <cellStyle name="40% - Accent2 3 2 3" xfId="392"/>
    <cellStyle name="40% - Accent2 3 2 3 2" xfId="393"/>
    <cellStyle name="40% - Accent2 3 2 4" xfId="394"/>
    <cellStyle name="40% - Accent2 3 3" xfId="395"/>
    <cellStyle name="40% - Accent2 3 3 2" xfId="396"/>
    <cellStyle name="40% - Accent2 3 3 2 2" xfId="397"/>
    <cellStyle name="40% - Accent2 3 3 2 2 2" xfId="398"/>
    <cellStyle name="40% - Accent2 3 3 2 3" xfId="399"/>
    <cellStyle name="40% - Accent2 3 3 3" xfId="400"/>
    <cellStyle name="40% - Accent2 3 3 3 2" xfId="401"/>
    <cellStyle name="40% - Accent2 3 3 4" xfId="402"/>
    <cellStyle name="40% - Accent2 3 4" xfId="403"/>
    <cellStyle name="40% - Accent2 3 4 2" xfId="404"/>
    <cellStyle name="40% - Accent2 3 4 2 2" xfId="405"/>
    <cellStyle name="40% - Accent2 3 4 3" xfId="406"/>
    <cellStyle name="40% - Accent2 3 5" xfId="407"/>
    <cellStyle name="40% - Accent2 3 5 2" xfId="408"/>
    <cellStyle name="40% - Accent2 3 6" xfId="409"/>
    <cellStyle name="40% - Accent2 4" xfId="410"/>
    <cellStyle name="40% - Accent2 5" xfId="411"/>
    <cellStyle name="40% - Accent2 6" xfId="412"/>
    <cellStyle name="40% - Accent2 7" xfId="413"/>
    <cellStyle name="40% - Accent2 8" xfId="414"/>
    <cellStyle name="40% - Accent3" xfId="23" builtinId="39"/>
    <cellStyle name="40% - Accent3 2" xfId="415"/>
    <cellStyle name="40% - Accent3 2 10" xfId="416"/>
    <cellStyle name="40% - Accent3 2 2" xfId="417"/>
    <cellStyle name="40% - Accent3 2 2 2" xfId="418"/>
    <cellStyle name="40% - Accent3 2 2 3" xfId="419"/>
    <cellStyle name="40% - Accent3 2 3" xfId="420"/>
    <cellStyle name="40% - Accent3 2 3 2" xfId="421"/>
    <cellStyle name="40% - Accent3 2 4" xfId="422"/>
    <cellStyle name="40% - Accent3 2 5" xfId="423"/>
    <cellStyle name="40% - Accent3 2 6" xfId="424"/>
    <cellStyle name="40% - Accent3 2 7" xfId="425"/>
    <cellStyle name="40% - Accent3 2 8" xfId="426"/>
    <cellStyle name="40% - Accent3 2 9" xfId="427"/>
    <cellStyle name="40% - Accent3 3" xfId="428"/>
    <cellStyle name="40% - Accent3 3 2" xfId="429"/>
    <cellStyle name="40% - Accent3 3 2 2" xfId="430"/>
    <cellStyle name="40% - Accent3 3 2 2 2" xfId="431"/>
    <cellStyle name="40% - Accent3 3 2 2 2 2" xfId="432"/>
    <cellStyle name="40% - Accent3 3 2 2 3" xfId="433"/>
    <cellStyle name="40% - Accent3 3 2 3" xfId="434"/>
    <cellStyle name="40% - Accent3 3 2 3 2" xfId="435"/>
    <cellStyle name="40% - Accent3 3 2 4" xfId="436"/>
    <cellStyle name="40% - Accent3 3 3" xfId="437"/>
    <cellStyle name="40% - Accent3 3 3 2" xfId="438"/>
    <cellStyle name="40% - Accent3 3 3 2 2" xfId="439"/>
    <cellStyle name="40% - Accent3 3 3 2 2 2" xfId="440"/>
    <cellStyle name="40% - Accent3 3 3 2 3" xfId="441"/>
    <cellStyle name="40% - Accent3 3 3 3" xfId="442"/>
    <cellStyle name="40% - Accent3 3 3 3 2" xfId="443"/>
    <cellStyle name="40% - Accent3 3 3 4" xfId="444"/>
    <cellStyle name="40% - Accent3 3 4" xfId="445"/>
    <cellStyle name="40% - Accent3 3 4 2" xfId="446"/>
    <cellStyle name="40% - Accent3 3 4 2 2" xfId="447"/>
    <cellStyle name="40% - Accent3 3 4 3" xfId="448"/>
    <cellStyle name="40% - Accent3 3 5" xfId="449"/>
    <cellStyle name="40% - Accent3 3 5 2" xfId="450"/>
    <cellStyle name="40% - Accent3 3 6" xfId="451"/>
    <cellStyle name="40% - Accent3 4" xfId="452"/>
    <cellStyle name="40% - Accent3 5" xfId="453"/>
    <cellStyle name="40% - Accent3 6" xfId="454"/>
    <cellStyle name="40% - Accent3 7" xfId="455"/>
    <cellStyle name="40% - Accent3 8" xfId="456"/>
    <cellStyle name="40% - Accent4 2" xfId="457"/>
    <cellStyle name="40% - Accent4 2 10" xfId="458"/>
    <cellStyle name="40% - Accent4 2 2" xfId="459"/>
    <cellStyle name="40% - Accent4 2 2 2" xfId="460"/>
    <cellStyle name="40% - Accent4 2 2 3" xfId="461"/>
    <cellStyle name="40% - Accent4 2 3" xfId="462"/>
    <cellStyle name="40% - Accent4 2 3 2" xfId="463"/>
    <cellStyle name="40% - Accent4 2 4" xfId="464"/>
    <cellStyle name="40% - Accent4 2 5" xfId="465"/>
    <cellStyle name="40% - Accent4 2 6" xfId="466"/>
    <cellStyle name="40% - Accent4 2 7" xfId="467"/>
    <cellStyle name="40% - Accent4 2 8" xfId="468"/>
    <cellStyle name="40% - Accent4 2 9" xfId="469"/>
    <cellStyle name="40% - Accent4 3" xfId="470"/>
    <cellStyle name="40% - Accent4 3 2" xfId="471"/>
    <cellStyle name="40% - Accent4 3 2 2" xfId="472"/>
    <cellStyle name="40% - Accent4 3 2 2 2" xfId="473"/>
    <cellStyle name="40% - Accent4 3 2 2 2 2" xfId="474"/>
    <cellStyle name="40% - Accent4 3 2 2 3" xfId="475"/>
    <cellStyle name="40% - Accent4 3 2 3" xfId="476"/>
    <cellStyle name="40% - Accent4 3 2 3 2" xfId="477"/>
    <cellStyle name="40% - Accent4 3 2 4" xfId="478"/>
    <cellStyle name="40% - Accent4 3 3" xfId="479"/>
    <cellStyle name="40% - Accent4 3 3 2" xfId="480"/>
    <cellStyle name="40% - Accent4 3 3 2 2" xfId="481"/>
    <cellStyle name="40% - Accent4 3 3 2 2 2" xfId="482"/>
    <cellStyle name="40% - Accent4 3 3 2 3" xfId="483"/>
    <cellStyle name="40% - Accent4 3 3 3" xfId="484"/>
    <cellStyle name="40% - Accent4 3 3 3 2" xfId="485"/>
    <cellStyle name="40% - Accent4 3 3 4" xfId="486"/>
    <cellStyle name="40% - Accent4 3 4" xfId="487"/>
    <cellStyle name="40% - Accent4 3 4 2" xfId="488"/>
    <cellStyle name="40% - Accent4 3 4 2 2" xfId="489"/>
    <cellStyle name="40% - Accent4 3 4 3" xfId="490"/>
    <cellStyle name="40% - Accent4 3 5" xfId="491"/>
    <cellStyle name="40% - Accent4 3 5 2" xfId="492"/>
    <cellStyle name="40% - Accent4 3 6" xfId="493"/>
    <cellStyle name="40% - Accent4 4" xfId="494"/>
    <cellStyle name="40% - Accent4 5" xfId="495"/>
    <cellStyle name="40% - Accent4 6" xfId="496"/>
    <cellStyle name="40% - Accent4 7" xfId="497"/>
    <cellStyle name="40% - Accent4 8" xfId="498"/>
    <cellStyle name="40% - Accent5 2" xfId="499"/>
    <cellStyle name="40% - Accent5 2 10" xfId="500"/>
    <cellStyle name="40% - Accent5 2 2" xfId="501"/>
    <cellStyle name="40% - Accent5 2 2 2" xfId="502"/>
    <cellStyle name="40% - Accent5 2 2 3" xfId="503"/>
    <cellStyle name="40% - Accent5 2 3" xfId="504"/>
    <cellStyle name="40% - Accent5 2 3 2" xfId="505"/>
    <cellStyle name="40% - Accent5 2 4" xfId="506"/>
    <cellStyle name="40% - Accent5 2 5" xfId="507"/>
    <cellStyle name="40% - Accent5 2 6" xfId="508"/>
    <cellStyle name="40% - Accent5 2 7" xfId="509"/>
    <cellStyle name="40% - Accent5 2 8" xfId="510"/>
    <cellStyle name="40% - Accent5 2 9" xfId="511"/>
    <cellStyle name="40% - Accent5 3" xfId="512"/>
    <cellStyle name="40% - Accent5 3 2" xfId="513"/>
    <cellStyle name="40% - Accent5 3 2 2" xfId="514"/>
    <cellStyle name="40% - Accent5 3 2 2 2" xfId="515"/>
    <cellStyle name="40% - Accent5 3 2 2 2 2" xfId="516"/>
    <cellStyle name="40% - Accent5 3 2 2 3" xfId="517"/>
    <cellStyle name="40% - Accent5 3 2 3" xfId="518"/>
    <cellStyle name="40% - Accent5 3 2 3 2" xfId="519"/>
    <cellStyle name="40% - Accent5 3 2 4" xfId="520"/>
    <cellStyle name="40% - Accent5 3 3" xfId="521"/>
    <cellStyle name="40% - Accent5 3 3 2" xfId="522"/>
    <cellStyle name="40% - Accent5 3 3 2 2" xfId="523"/>
    <cellStyle name="40% - Accent5 3 3 2 2 2" xfId="524"/>
    <cellStyle name="40% - Accent5 3 3 2 3" xfId="525"/>
    <cellStyle name="40% - Accent5 3 3 3" xfId="526"/>
    <cellStyle name="40% - Accent5 3 3 3 2" xfId="527"/>
    <cellStyle name="40% - Accent5 3 3 4" xfId="528"/>
    <cellStyle name="40% - Accent5 3 4" xfId="529"/>
    <cellStyle name="40% - Accent5 3 4 2" xfId="530"/>
    <cellStyle name="40% - Accent5 3 4 2 2" xfId="531"/>
    <cellStyle name="40% - Accent5 3 4 3" xfId="532"/>
    <cellStyle name="40% - Accent5 3 5" xfId="533"/>
    <cellStyle name="40% - Accent5 3 5 2" xfId="534"/>
    <cellStyle name="40% - Accent5 3 6" xfId="535"/>
    <cellStyle name="40% - Accent5 4" xfId="536"/>
    <cellStyle name="40% - Accent5 5" xfId="537"/>
    <cellStyle name="40% - Accent5 6" xfId="538"/>
    <cellStyle name="40% - Accent5 7" xfId="539"/>
    <cellStyle name="40% - Accent5 8" xfId="540"/>
    <cellStyle name="40% - Accent6 2" xfId="541"/>
    <cellStyle name="40% - Accent6 2 10" xfId="542"/>
    <cellStyle name="40% - Accent6 2 2" xfId="543"/>
    <cellStyle name="40% - Accent6 2 2 2" xfId="544"/>
    <cellStyle name="40% - Accent6 2 2 3" xfId="545"/>
    <cellStyle name="40% - Accent6 2 3" xfId="546"/>
    <cellStyle name="40% - Accent6 2 3 2" xfId="547"/>
    <cellStyle name="40% - Accent6 2 4" xfId="548"/>
    <cellStyle name="40% - Accent6 2 5" xfId="549"/>
    <cellStyle name="40% - Accent6 2 6" xfId="550"/>
    <cellStyle name="40% - Accent6 2 7" xfId="551"/>
    <cellStyle name="40% - Accent6 2 8" xfId="552"/>
    <cellStyle name="40% - Accent6 2 9" xfId="553"/>
    <cellStyle name="40% - Accent6 3" xfId="554"/>
    <cellStyle name="40% - Accent6 3 2" xfId="555"/>
    <cellStyle name="40% - Accent6 3 2 2" xfId="556"/>
    <cellStyle name="40% - Accent6 3 2 2 2" xfId="557"/>
    <cellStyle name="40% - Accent6 3 2 2 2 2" xfId="558"/>
    <cellStyle name="40% - Accent6 3 2 2 3" xfId="559"/>
    <cellStyle name="40% - Accent6 3 2 3" xfId="560"/>
    <cellStyle name="40% - Accent6 3 2 3 2" xfId="561"/>
    <cellStyle name="40% - Accent6 3 2 4" xfId="562"/>
    <cellStyle name="40% - Accent6 3 3" xfId="563"/>
    <cellStyle name="40% - Accent6 3 3 2" xfId="564"/>
    <cellStyle name="40% - Accent6 3 3 2 2" xfId="565"/>
    <cellStyle name="40% - Accent6 3 3 2 2 2" xfId="566"/>
    <cellStyle name="40% - Accent6 3 3 2 3" xfId="567"/>
    <cellStyle name="40% - Accent6 3 3 3" xfId="568"/>
    <cellStyle name="40% - Accent6 3 3 3 2" xfId="569"/>
    <cellStyle name="40% - Accent6 3 3 4" xfId="570"/>
    <cellStyle name="40% - Accent6 3 4" xfId="571"/>
    <cellStyle name="40% - Accent6 3 4 2" xfId="572"/>
    <cellStyle name="40% - Accent6 3 4 2 2" xfId="573"/>
    <cellStyle name="40% - Accent6 3 4 3" xfId="574"/>
    <cellStyle name="40% - Accent6 3 5" xfId="575"/>
    <cellStyle name="40% - Accent6 3 5 2" xfId="576"/>
    <cellStyle name="40% - Accent6 3 6" xfId="577"/>
    <cellStyle name="40% - Accent6 4" xfId="578"/>
    <cellStyle name="40% - Accent6 5" xfId="579"/>
    <cellStyle name="40% - Accent6 6" xfId="580"/>
    <cellStyle name="40% - Accent6 7" xfId="581"/>
    <cellStyle name="40% - Accent6 8" xfId="582"/>
    <cellStyle name="60% - Accent1 2" xfId="583"/>
    <cellStyle name="60% - Accent1 2 2" xfId="584"/>
    <cellStyle name="60% - Accent1 2 3" xfId="585"/>
    <cellStyle name="60% - Accent1 2 4" xfId="586"/>
    <cellStyle name="60% - Accent1 2 5" xfId="587"/>
    <cellStyle name="60% - Accent1 2 6" xfId="588"/>
    <cellStyle name="60% - Accent1 2 7" xfId="589"/>
    <cellStyle name="60% - Accent1 2 8" xfId="590"/>
    <cellStyle name="60% - Accent1 2 9" xfId="591"/>
    <cellStyle name="60% - Accent2 2" xfId="592"/>
    <cellStyle name="60% - Accent2 2 2" xfId="593"/>
    <cellStyle name="60% - Accent2 2 3" xfId="594"/>
    <cellStyle name="60% - Accent2 2 4" xfId="595"/>
    <cellStyle name="60% - Accent2 2 5" xfId="596"/>
    <cellStyle name="60% - Accent2 2 6" xfId="597"/>
    <cellStyle name="60% - Accent2 2 7" xfId="598"/>
    <cellStyle name="60% - Accent2 2 8" xfId="599"/>
    <cellStyle name="60% - Accent2 2 9" xfId="600"/>
    <cellStyle name="60% - Accent3" xfId="4523" builtinId="40"/>
    <cellStyle name="60% - Accent3 2" xfId="601"/>
    <cellStyle name="60% - Accent3 2 2" xfId="602"/>
    <cellStyle name="60% - Accent3 2 3" xfId="603"/>
    <cellStyle name="60% - Accent3 2 4" xfId="604"/>
    <cellStyle name="60% - Accent3 2 5" xfId="605"/>
    <cellStyle name="60% - Accent3 2 6" xfId="606"/>
    <cellStyle name="60% - Accent3 2 7" xfId="607"/>
    <cellStyle name="60% - Accent3 2 8" xfId="608"/>
    <cellStyle name="60% - Accent3 2 9" xfId="609"/>
    <cellStyle name="60% - Accent4" xfId="4524" builtinId="44"/>
    <cellStyle name="60% - Accent4 2" xfId="610"/>
    <cellStyle name="60% - Accent4 2 2" xfId="611"/>
    <cellStyle name="60% - Accent4 2 3" xfId="612"/>
    <cellStyle name="60% - Accent4 2 4" xfId="613"/>
    <cellStyle name="60% - Accent4 2 5" xfId="614"/>
    <cellStyle name="60% - Accent4 2 6" xfId="615"/>
    <cellStyle name="60% - Accent4 2 7" xfId="616"/>
    <cellStyle name="60% - Accent4 2 8" xfId="617"/>
    <cellStyle name="60% - Accent4 2 9" xfId="618"/>
    <cellStyle name="60% - Accent5 2" xfId="619"/>
    <cellStyle name="60% - Accent5 2 2" xfId="620"/>
    <cellStyle name="60% - Accent5 2 3" xfId="621"/>
    <cellStyle name="60% - Accent5 2 4" xfId="622"/>
    <cellStyle name="60% - Accent5 2 5" xfId="623"/>
    <cellStyle name="60% - Accent5 2 6" xfId="624"/>
    <cellStyle name="60% - Accent5 2 7" xfId="625"/>
    <cellStyle name="60% - Accent5 2 8" xfId="626"/>
    <cellStyle name="60% - Accent5 2 9" xfId="627"/>
    <cellStyle name="60% - Accent6" xfId="4522" builtinId="52"/>
    <cellStyle name="60% - Accent6 2" xfId="628"/>
    <cellStyle name="60% - Accent6 2 2" xfId="629"/>
    <cellStyle name="60% - Accent6 2 3" xfId="630"/>
    <cellStyle name="60% - Accent6 2 4" xfId="631"/>
    <cellStyle name="60% - Accent6 2 5" xfId="632"/>
    <cellStyle name="60% - Accent6 2 6" xfId="633"/>
    <cellStyle name="60% - Accent6 2 7" xfId="634"/>
    <cellStyle name="60% - Accent6 2 8" xfId="635"/>
    <cellStyle name="60% - Accent6 2 9" xfId="636"/>
    <cellStyle name="A%" xfId="637"/>
    <cellStyle name="Accent1 2" xfId="638"/>
    <cellStyle name="Accent1 2 2" xfId="639"/>
    <cellStyle name="Accent1 2 3" xfId="640"/>
    <cellStyle name="Accent1 2 4" xfId="641"/>
    <cellStyle name="Accent1 2 5" xfId="642"/>
    <cellStyle name="Accent1 2 6" xfId="643"/>
    <cellStyle name="Accent1 2 7" xfId="644"/>
    <cellStyle name="Accent1 2 8" xfId="645"/>
    <cellStyle name="Accent1 2 9" xfId="646"/>
    <cellStyle name="Accent2 2" xfId="647"/>
    <cellStyle name="Accent2 2 2" xfId="648"/>
    <cellStyle name="Accent2 2 3" xfId="649"/>
    <cellStyle name="Accent2 2 4" xfId="650"/>
    <cellStyle name="Accent2 2 5" xfId="651"/>
    <cellStyle name="Accent2 2 6" xfId="652"/>
    <cellStyle name="Accent2 2 7" xfId="653"/>
    <cellStyle name="Accent2 2 8" xfId="654"/>
    <cellStyle name="Accent2 2 9" xfId="655"/>
    <cellStyle name="Accent3" xfId="4520" builtinId="37"/>
    <cellStyle name="Accent3 2" xfId="656"/>
    <cellStyle name="Accent3 2 2" xfId="657"/>
    <cellStyle name="Accent3 2 3" xfId="658"/>
    <cellStyle name="Accent3 2 4" xfId="659"/>
    <cellStyle name="Accent3 2 5" xfId="660"/>
    <cellStyle name="Accent3 2 6" xfId="661"/>
    <cellStyle name="Accent3 2 7" xfId="662"/>
    <cellStyle name="Accent3 2 8" xfId="663"/>
    <cellStyle name="Accent3 2 9" xfId="664"/>
    <cellStyle name="Accent4 2" xfId="665"/>
    <cellStyle name="Accent4 2 2" xfId="666"/>
    <cellStyle name="Accent4 2 3" xfId="667"/>
    <cellStyle name="Accent4 2 4" xfId="668"/>
    <cellStyle name="Accent4 2 5" xfId="669"/>
    <cellStyle name="Accent4 2 6" xfId="670"/>
    <cellStyle name="Accent4 2 7" xfId="671"/>
    <cellStyle name="Accent4 2 8" xfId="672"/>
    <cellStyle name="Accent4 2 9" xfId="673"/>
    <cellStyle name="Accent5" xfId="4521" builtinId="45"/>
    <cellStyle name="Accent5 2" xfId="674"/>
    <cellStyle name="Accent5 2 2" xfId="675"/>
    <cellStyle name="Accent5 2 3" xfId="676"/>
    <cellStyle name="Accent5 2 4" xfId="677"/>
    <cellStyle name="Accent5 2 5" xfId="678"/>
    <cellStyle name="Accent5 2 6" xfId="679"/>
    <cellStyle name="Accent5 2 7" xfId="680"/>
    <cellStyle name="Accent5 2 8" xfId="681"/>
    <cellStyle name="Accent5 2 9" xfId="682"/>
    <cellStyle name="Accent6 2" xfId="683"/>
    <cellStyle name="Accent6 2 2" xfId="684"/>
    <cellStyle name="Accent6 2 3" xfId="685"/>
    <cellStyle name="Accent6 2 4" xfId="686"/>
    <cellStyle name="Accent6 2 5" xfId="687"/>
    <cellStyle name="Accent6 2 6" xfId="688"/>
    <cellStyle name="Accent6 2 7" xfId="689"/>
    <cellStyle name="Accent6 2 8" xfId="690"/>
    <cellStyle name="Accent6 2 9" xfId="691"/>
    <cellStyle name="Accounting w/$" xfId="692"/>
    <cellStyle name="Accounting w/$ Total" xfId="693"/>
    <cellStyle name="Accounting w/o $" xfId="694"/>
    <cellStyle name="Acinput" xfId="695"/>
    <cellStyle name="Acinput,," xfId="696"/>
    <cellStyle name="Acinput_Merger Model_KN&amp;Fzio_v2.30 - Street" xfId="697"/>
    <cellStyle name="Acoutput" xfId="698"/>
    <cellStyle name="Acoutput,," xfId="699"/>
    <cellStyle name="Acoutput_CAScomps02" xfId="700"/>
    <cellStyle name="Actual Date" xfId="701"/>
    <cellStyle name="AFE" xfId="702"/>
    <cellStyle name="al" xfId="703"/>
    <cellStyle name="Amount_EQU_RIGH.XLS_Equity market_Preferred Securities " xfId="704"/>
    <cellStyle name="Apershare" xfId="705"/>
    <cellStyle name="Aprice" xfId="706"/>
    <cellStyle name="ar" xfId="707"/>
    <cellStyle name="ar 2" xfId="708"/>
    <cellStyle name="ar 3" xfId="709"/>
    <cellStyle name="Arial 10" xfId="710"/>
    <cellStyle name="Arial 12" xfId="711"/>
    <cellStyle name="Availability" xfId="712"/>
    <cellStyle name="Bad 2" xfId="713"/>
    <cellStyle name="Bad 2 2" xfId="714"/>
    <cellStyle name="Bad 2 3" xfId="715"/>
    <cellStyle name="Bad 2 4" xfId="716"/>
    <cellStyle name="Bad 2 5" xfId="717"/>
    <cellStyle name="Bad 2 6" xfId="718"/>
    <cellStyle name="Bad 2 7" xfId="719"/>
    <cellStyle name="Bad 2 8" xfId="720"/>
    <cellStyle name="Bad 2 9" xfId="721"/>
    <cellStyle name="Band 2" xfId="722"/>
    <cellStyle name="Blank" xfId="723"/>
    <cellStyle name="Blue" xfId="724"/>
    <cellStyle name="Bold/Border" xfId="725"/>
    <cellStyle name="Border Heavy" xfId="726"/>
    <cellStyle name="Border Thin" xfId="727"/>
    <cellStyle name="Border, Bottom" xfId="728"/>
    <cellStyle name="Border, Left" xfId="729"/>
    <cellStyle name="Border, Right" xfId="730"/>
    <cellStyle name="Border, Top" xfId="731"/>
    <cellStyle name="Border, Top 2" xfId="732"/>
    <cellStyle name="Border, Top 3" xfId="733"/>
    <cellStyle name="British Pound" xfId="734"/>
    <cellStyle name="BritPound" xfId="735"/>
    <cellStyle name="Bullet" xfId="736"/>
    <cellStyle name="Calc Currency (0)" xfId="737"/>
    <cellStyle name="Calc Currency (2)" xfId="738"/>
    <cellStyle name="Calc Percent (0)" xfId="739"/>
    <cellStyle name="Calc Percent (1)" xfId="740"/>
    <cellStyle name="Calc Percent (2)" xfId="741"/>
    <cellStyle name="Calc Units (0)" xfId="742"/>
    <cellStyle name="Calc Units (1)" xfId="743"/>
    <cellStyle name="Calc Units (2)" xfId="744"/>
    <cellStyle name="Calculation" xfId="4518" builtinId="22"/>
    <cellStyle name="Calculation 2" xfId="745"/>
    <cellStyle name="Calculation 2 10" xfId="746"/>
    <cellStyle name="Calculation 2 11" xfId="747"/>
    <cellStyle name="Calculation 2 2" xfId="748"/>
    <cellStyle name="Calculation 2 2 2" xfId="749"/>
    <cellStyle name="Calculation 2 2 3" xfId="750"/>
    <cellStyle name="Calculation 2 2 4" xfId="751"/>
    <cellStyle name="Calculation 2 3" xfId="752"/>
    <cellStyle name="Calculation 2 4" xfId="753"/>
    <cellStyle name="Calculation 2 5" xfId="754"/>
    <cellStyle name="Calculation 2 6" xfId="755"/>
    <cellStyle name="Calculation 2 7" xfId="756"/>
    <cellStyle name="Calculation 2 8" xfId="757"/>
    <cellStyle name="Calculation 2 9" xfId="758"/>
    <cellStyle name="Case" xfId="759"/>
    <cellStyle name="Check" xfId="760"/>
    <cellStyle name="Check Cell" xfId="4519" builtinId="23"/>
    <cellStyle name="Check Cell 2" xfId="761"/>
    <cellStyle name="Check Cell 2 2" xfId="762"/>
    <cellStyle name="Check Cell 2 3" xfId="763"/>
    <cellStyle name="Check Cell 2 4" xfId="764"/>
    <cellStyle name="Check Cell 2 5" xfId="765"/>
    <cellStyle name="Check Cell 2 6" xfId="766"/>
    <cellStyle name="Check Cell 2 7" xfId="767"/>
    <cellStyle name="Check Cell 2 8" xfId="768"/>
    <cellStyle name="Check Cell 2 9" xfId="769"/>
    <cellStyle name="Chiffre" xfId="770"/>
    <cellStyle name="Colhead_left" xfId="771"/>
    <cellStyle name="ColHeading" xfId="772"/>
    <cellStyle name="Column Title" xfId="773"/>
    <cellStyle name="ColumnHeadings" xfId="774"/>
    <cellStyle name="ColumnHeadings2" xfId="775"/>
    <cellStyle name="Comma" xfId="1" builtinId="3"/>
    <cellStyle name="Comma  - Style1" xfId="776"/>
    <cellStyle name="Comma  - Style2" xfId="777"/>
    <cellStyle name="Comma  - Style3" xfId="778"/>
    <cellStyle name="Comma  - Style4" xfId="779"/>
    <cellStyle name="Comma  - Style5" xfId="780"/>
    <cellStyle name="Comma  - Style6" xfId="781"/>
    <cellStyle name="Comma  - Style7" xfId="782"/>
    <cellStyle name="Comma  - Style8" xfId="783"/>
    <cellStyle name="Comma ," xfId="784"/>
    <cellStyle name="Comma [00]" xfId="785"/>
    <cellStyle name="Comma [1]" xfId="786"/>
    <cellStyle name="Comma [2]" xfId="787"/>
    <cellStyle name="Comma [3]" xfId="788"/>
    <cellStyle name="Comma 0" xfId="789"/>
    <cellStyle name="Comma 0*" xfId="790"/>
    <cellStyle name="Comma 0_Merger Model_KN&amp;Fzio_v2.30 - Street" xfId="791"/>
    <cellStyle name="Comma 10" xfId="792"/>
    <cellStyle name="Comma 10 2" xfId="793"/>
    <cellStyle name="Comma 10 3" xfId="794"/>
    <cellStyle name="Comma 10 4" xfId="795"/>
    <cellStyle name="Comma 10 5" xfId="796"/>
    <cellStyle name="Comma 11" xfId="797"/>
    <cellStyle name="Comma 12" xfId="798"/>
    <cellStyle name="Comma 2" xfId="2"/>
    <cellStyle name="Comma 2 10" xfId="799"/>
    <cellStyle name="Comma 2 11" xfId="800"/>
    <cellStyle name="Comma 2 11 2" xfId="801"/>
    <cellStyle name="Comma 2 11 2 2" xfId="802"/>
    <cellStyle name="Comma 2 11 3" xfId="803"/>
    <cellStyle name="Comma 2 12" xfId="804"/>
    <cellStyle name="Comma 2 12 2" xfId="805"/>
    <cellStyle name="Comma 2 13" xfId="806"/>
    <cellStyle name="Comma 2 14" xfId="807"/>
    <cellStyle name="Comma 2 15" xfId="808"/>
    <cellStyle name="Comma 2 16" xfId="809"/>
    <cellStyle name="Comma 2 17" xfId="810"/>
    <cellStyle name="Comma 2 18" xfId="811"/>
    <cellStyle name="Comma 2 19" xfId="812"/>
    <cellStyle name="Comma 2 2" xfId="813"/>
    <cellStyle name="Comma 2 2 10" xfId="814"/>
    <cellStyle name="Comma 2 2 11" xfId="815"/>
    <cellStyle name="Comma 2 2 2" xfId="816"/>
    <cellStyle name="Comma 2 2 2 2" xfId="817"/>
    <cellStyle name="Comma 2 2 3" xfId="818"/>
    <cellStyle name="Comma 2 2 4" xfId="819"/>
    <cellStyle name="Comma 2 2 5" xfId="820"/>
    <cellStyle name="Comma 2 2 6" xfId="821"/>
    <cellStyle name="Comma 2 2 7" xfId="822"/>
    <cellStyle name="Comma 2 2 8" xfId="823"/>
    <cellStyle name="Comma 2 2 9" xfId="824"/>
    <cellStyle name="Comma 2 3" xfId="825"/>
    <cellStyle name="Comma 2 3 2" xfId="826"/>
    <cellStyle name="Comma 2 3 3" xfId="827"/>
    <cellStyle name="Comma 2 3 4" xfId="828"/>
    <cellStyle name="Comma 2 3 5" xfId="829"/>
    <cellStyle name="Comma 2 3 6" xfId="830"/>
    <cellStyle name="Comma 2 3 7" xfId="831"/>
    <cellStyle name="Comma 2 3 8" xfId="832"/>
    <cellStyle name="Comma 2 4" xfId="833"/>
    <cellStyle name="Comma 2 4 2" xfId="834"/>
    <cellStyle name="Comma 2 4 3" xfId="835"/>
    <cellStyle name="Comma 2 5" xfId="836"/>
    <cellStyle name="Comma 2 5 2" xfId="837"/>
    <cellStyle name="Comma 2 5 2 2" xfId="838"/>
    <cellStyle name="Comma 2 5 2 2 2" xfId="839"/>
    <cellStyle name="Comma 2 5 2 2 2 2" xfId="840"/>
    <cellStyle name="Comma 2 5 2 2 3" xfId="841"/>
    <cellStyle name="Comma 2 5 2 3" xfId="842"/>
    <cellStyle name="Comma 2 5 2 3 2" xfId="843"/>
    <cellStyle name="Comma 2 5 2 4" xfId="844"/>
    <cellStyle name="Comma 2 5 3" xfId="845"/>
    <cellStyle name="Comma 2 5 3 2" xfId="846"/>
    <cellStyle name="Comma 2 5 3 2 2" xfId="847"/>
    <cellStyle name="Comma 2 5 3 2 2 2" xfId="848"/>
    <cellStyle name="Comma 2 5 3 2 3" xfId="849"/>
    <cellStyle name="Comma 2 5 3 3" xfId="850"/>
    <cellStyle name="Comma 2 5 3 3 2" xfId="851"/>
    <cellStyle name="Comma 2 5 3 4" xfId="852"/>
    <cellStyle name="Comma 2 5 4" xfId="853"/>
    <cellStyle name="Comma 2 5 4 2" xfId="854"/>
    <cellStyle name="Comma 2 5 4 2 2" xfId="855"/>
    <cellStyle name="Comma 2 5 4 3" xfId="856"/>
    <cellStyle name="Comma 2 5 5" xfId="857"/>
    <cellStyle name="Comma 2 5 5 2" xfId="858"/>
    <cellStyle name="Comma 2 5 6" xfId="859"/>
    <cellStyle name="Comma 2 6" xfId="860"/>
    <cellStyle name="Comma 2 6 2" xfId="861"/>
    <cellStyle name="Comma 2 6 2 2" xfId="862"/>
    <cellStyle name="Comma 2 6 2 2 2" xfId="863"/>
    <cellStyle name="Comma 2 6 2 3" xfId="864"/>
    <cellStyle name="Comma 2 6 3" xfId="865"/>
    <cellStyle name="Comma 2 6 3 2" xfId="866"/>
    <cellStyle name="Comma 2 6 4" xfId="867"/>
    <cellStyle name="Comma 2 7" xfId="868"/>
    <cellStyle name="Comma 2 7 2" xfId="869"/>
    <cellStyle name="Comma 2 7 2 2" xfId="870"/>
    <cellStyle name="Comma 2 7 2 2 2" xfId="871"/>
    <cellStyle name="Comma 2 7 2 3" xfId="872"/>
    <cellStyle name="Comma 2 7 3" xfId="873"/>
    <cellStyle name="Comma 2 7 3 2" xfId="874"/>
    <cellStyle name="Comma 2 7 4" xfId="875"/>
    <cellStyle name="Comma 2 8" xfId="876"/>
    <cellStyle name="Comma 2 9" xfId="877"/>
    <cellStyle name="Comma 2 9 2" xfId="878"/>
    <cellStyle name="Comma 2 9 2 2" xfId="879"/>
    <cellStyle name="Comma 2 9 3" xfId="880"/>
    <cellStyle name="Comma 2*" xfId="881"/>
    <cellStyle name="Comma 3" xfId="3"/>
    <cellStyle name="Comma 3 2" xfId="4"/>
    <cellStyle name="Comma 3 2 2" xfId="882"/>
    <cellStyle name="Comma 3 3" xfId="883"/>
    <cellStyle name="Comma 3 3 2" xfId="884"/>
    <cellStyle name="Comma 3 3 2 2" xfId="885"/>
    <cellStyle name="Comma 3 3 3" xfId="886"/>
    <cellStyle name="Comma 3 3 4" xfId="887"/>
    <cellStyle name="Comma 3 4" xfId="888"/>
    <cellStyle name="Comma 3 4 2" xfId="889"/>
    <cellStyle name="Comma 3 4 3" xfId="890"/>
    <cellStyle name="Comma 3 5" xfId="891"/>
    <cellStyle name="Comma 3 6" xfId="892"/>
    <cellStyle name="Comma 3 7" xfId="893"/>
    <cellStyle name="Comma 3 8" xfId="894"/>
    <cellStyle name="Comma 3 9" xfId="895"/>
    <cellStyle name="Comma 4" xfId="5"/>
    <cellStyle name="Comma 4 10" xfId="896"/>
    <cellStyle name="Comma 4 11" xfId="897"/>
    <cellStyle name="Comma 4 12" xfId="898"/>
    <cellStyle name="Comma 4 13" xfId="899"/>
    <cellStyle name="Comma 4 14" xfId="900"/>
    <cellStyle name="Comma 4 2" xfId="901"/>
    <cellStyle name="Comma 4 2 2" xfId="902"/>
    <cellStyle name="Comma 4 2 2 2" xfId="903"/>
    <cellStyle name="Comma 4 2 2 2 2" xfId="904"/>
    <cellStyle name="Comma 4 2 2 3" xfId="905"/>
    <cellStyle name="Comma 4 2 3" xfId="906"/>
    <cellStyle name="Comma 4 2 3 2" xfId="907"/>
    <cellStyle name="Comma 4 2 4" xfId="908"/>
    <cellStyle name="Comma 4 2 5" xfId="909"/>
    <cellStyle name="Comma 4 3" xfId="910"/>
    <cellStyle name="Comma 4 3 2" xfId="911"/>
    <cellStyle name="Comma 4 3 2 2" xfId="912"/>
    <cellStyle name="Comma 4 3 2 2 2" xfId="913"/>
    <cellStyle name="Comma 4 3 2 3" xfId="914"/>
    <cellStyle name="Comma 4 3 3" xfId="915"/>
    <cellStyle name="Comma 4 3 3 2" xfId="916"/>
    <cellStyle name="Comma 4 3 4" xfId="917"/>
    <cellStyle name="Comma 4 4" xfId="918"/>
    <cellStyle name="Comma 4 4 2" xfId="919"/>
    <cellStyle name="Comma 4 4 2 2" xfId="920"/>
    <cellStyle name="Comma 4 4 2 2 2" xfId="921"/>
    <cellStyle name="Comma 4 4 2 3" xfId="922"/>
    <cellStyle name="Comma 4 4 3" xfId="923"/>
    <cellStyle name="Comma 4 4 3 2" xfId="924"/>
    <cellStyle name="Comma 4 4 4" xfId="925"/>
    <cellStyle name="Comma 4 5" xfId="926"/>
    <cellStyle name="Comma 4 5 2" xfId="927"/>
    <cellStyle name="Comma 4 5 2 2" xfId="928"/>
    <cellStyle name="Comma 4 5 3" xfId="929"/>
    <cellStyle name="Comma 4 6" xfId="930"/>
    <cellStyle name="Comma 4 6 2" xfId="931"/>
    <cellStyle name="Comma 4 6 2 2" xfId="932"/>
    <cellStyle name="Comma 4 6 3" xfId="933"/>
    <cellStyle name="Comma 4 7" xfId="934"/>
    <cellStyle name="Comma 4 7 2" xfId="935"/>
    <cellStyle name="Comma 4 8" xfId="936"/>
    <cellStyle name="Comma 4 9" xfId="937"/>
    <cellStyle name="Comma 5" xfId="6"/>
    <cellStyle name="Comma 5 10" xfId="938"/>
    <cellStyle name="Comma 5 11" xfId="939"/>
    <cellStyle name="Comma 5 12" xfId="940"/>
    <cellStyle name="Comma 5 2" xfId="7"/>
    <cellStyle name="Comma 5 2 2" xfId="941"/>
    <cellStyle name="Comma 5 2 2 2" xfId="942"/>
    <cellStyle name="Comma 5 2 2 2 2" xfId="943"/>
    <cellStyle name="Comma 5 2 2 3" xfId="944"/>
    <cellStyle name="Comma 5 2 3" xfId="945"/>
    <cellStyle name="Comma 5 2 3 2" xfId="946"/>
    <cellStyle name="Comma 5 2 4" xfId="947"/>
    <cellStyle name="Comma 5 3" xfId="948"/>
    <cellStyle name="Comma 5 3 2" xfId="949"/>
    <cellStyle name="Comma 5 3 2 2" xfId="950"/>
    <cellStyle name="Comma 5 3 2 2 2" xfId="951"/>
    <cellStyle name="Comma 5 3 2 3" xfId="952"/>
    <cellStyle name="Comma 5 3 3" xfId="953"/>
    <cellStyle name="Comma 5 3 3 2" xfId="954"/>
    <cellStyle name="Comma 5 3 4" xfId="955"/>
    <cellStyle name="Comma 5 4" xfId="956"/>
    <cellStyle name="Comma 5 4 2" xfId="957"/>
    <cellStyle name="Comma 5 4 2 2" xfId="958"/>
    <cellStyle name="Comma 5 4 3" xfId="959"/>
    <cellStyle name="Comma 5 5" xfId="960"/>
    <cellStyle name="Comma 5 5 2" xfId="961"/>
    <cellStyle name="Comma 5 5 2 2" xfId="962"/>
    <cellStyle name="Comma 5 5 3" xfId="963"/>
    <cellStyle name="Comma 5 6" xfId="964"/>
    <cellStyle name="Comma 5 6 2" xfId="965"/>
    <cellStyle name="Comma 5 7" xfId="966"/>
    <cellStyle name="Comma 5 8" xfId="967"/>
    <cellStyle name="Comma 5 9" xfId="968"/>
    <cellStyle name="Comma 6" xfId="969"/>
    <cellStyle name="Comma 6 2" xfId="970"/>
    <cellStyle name="Comma 6 3" xfId="971"/>
    <cellStyle name="Comma 6 4" xfId="972"/>
    <cellStyle name="Comma 6 5" xfId="973"/>
    <cellStyle name="Comma 6 6" xfId="974"/>
    <cellStyle name="Comma 7" xfId="975"/>
    <cellStyle name="Comma 7 2" xfId="976"/>
    <cellStyle name="Comma 7 2 2" xfId="977"/>
    <cellStyle name="Comma 7 2 2 2" xfId="978"/>
    <cellStyle name="Comma 7 2 3" xfId="979"/>
    <cellStyle name="Comma 7 3" xfId="980"/>
    <cellStyle name="Comma 7 3 2" xfId="981"/>
    <cellStyle name="Comma 7 4" xfId="982"/>
    <cellStyle name="Comma 7 5" xfId="983"/>
    <cellStyle name="Comma 7 6" xfId="984"/>
    <cellStyle name="Comma 7 7" xfId="985"/>
    <cellStyle name="Comma 7 8" xfId="986"/>
    <cellStyle name="Comma 8" xfId="987"/>
    <cellStyle name="Comma 8 2" xfId="988"/>
    <cellStyle name="Comma 8 2 2" xfId="989"/>
    <cellStyle name="Comma 8 3" xfId="990"/>
    <cellStyle name="Comma 8 4" xfId="991"/>
    <cellStyle name="Comma 8 5" xfId="992"/>
    <cellStyle name="Comma 8 6" xfId="993"/>
    <cellStyle name="Comma 8 7" xfId="994"/>
    <cellStyle name="Comma 9" xfId="995"/>
    <cellStyle name="Comma 9 2" xfId="996"/>
    <cellStyle name="Comma 9 3" xfId="997"/>
    <cellStyle name="Comma 9 4" xfId="998"/>
    <cellStyle name="Comma 9 5" xfId="999"/>
    <cellStyle name="Comma_CDM monthly amounts" xfId="8"/>
    <cellStyle name="Comma_Horizon 2011 Load Forecast Model  June 25, 2010" xfId="9"/>
    <cellStyle name="Comma0" xfId="10"/>
    <cellStyle name="Comma2 (0)" xfId="1000"/>
    <cellStyle name="Comment" xfId="1001"/>
    <cellStyle name="Company" xfId="1002"/>
    <cellStyle name="CurRatio" xfId="1003"/>
    <cellStyle name="Currency" xfId="4517" builtinId="4"/>
    <cellStyle name="Currency--" xfId="1004"/>
    <cellStyle name="Currency [00]" xfId="1005"/>
    <cellStyle name="Currency [1]" xfId="1006"/>
    <cellStyle name="Currency [2]" xfId="1007"/>
    <cellStyle name="Currency [2] 2" xfId="1008"/>
    <cellStyle name="Currency [2] 3" xfId="1009"/>
    <cellStyle name="Currency [3]" xfId="1010"/>
    <cellStyle name="Currency 0" xfId="1011"/>
    <cellStyle name="Currency 10" xfId="1012"/>
    <cellStyle name="Currency 10 2" xfId="1013"/>
    <cellStyle name="Currency 10 2 2" xfId="1014"/>
    <cellStyle name="Currency 10 2 2 2" xfId="1015"/>
    <cellStyle name="Currency 10 2 2 2 2" xfId="1016"/>
    <cellStyle name="Currency 10 2 2 3" xfId="1017"/>
    <cellStyle name="Currency 10 2 3" xfId="1018"/>
    <cellStyle name="Currency 10 2 3 2" xfId="1019"/>
    <cellStyle name="Currency 10 2 4" xfId="1020"/>
    <cellStyle name="Currency 10 3" xfId="1021"/>
    <cellStyle name="Currency 10 3 2" xfId="1022"/>
    <cellStyle name="Currency 10 3 2 2" xfId="1023"/>
    <cellStyle name="Currency 10 3 2 2 2" xfId="1024"/>
    <cellStyle name="Currency 10 3 2 3" xfId="1025"/>
    <cellStyle name="Currency 10 3 3" xfId="1026"/>
    <cellStyle name="Currency 10 3 3 2" xfId="1027"/>
    <cellStyle name="Currency 10 3 4" xfId="1028"/>
    <cellStyle name="Currency 10 4" xfId="1029"/>
    <cellStyle name="Currency 10 4 2" xfId="1030"/>
    <cellStyle name="Currency 10 4 2 2" xfId="1031"/>
    <cellStyle name="Currency 10 4 3" xfId="1032"/>
    <cellStyle name="Currency 10 5" xfId="1033"/>
    <cellStyle name="Currency 10 5 2" xfId="1034"/>
    <cellStyle name="Currency 10 6" xfId="1035"/>
    <cellStyle name="Currency 11" xfId="1036"/>
    <cellStyle name="Currency 11 2" xfId="1037"/>
    <cellStyle name="Currency 11 2 2" xfId="1038"/>
    <cellStyle name="Currency 11 2 2 2" xfId="1039"/>
    <cellStyle name="Currency 11 2 2 2 2" xfId="1040"/>
    <cellStyle name="Currency 11 2 2 3" xfId="1041"/>
    <cellStyle name="Currency 11 2 3" xfId="1042"/>
    <cellStyle name="Currency 11 2 3 2" xfId="1043"/>
    <cellStyle name="Currency 11 2 4" xfId="1044"/>
    <cellStyle name="Currency 11 3" xfId="1045"/>
    <cellStyle name="Currency 11 3 2" xfId="1046"/>
    <cellStyle name="Currency 11 3 2 2" xfId="1047"/>
    <cellStyle name="Currency 11 3 2 2 2" xfId="1048"/>
    <cellStyle name="Currency 11 3 2 3" xfId="1049"/>
    <cellStyle name="Currency 11 3 3" xfId="1050"/>
    <cellStyle name="Currency 11 3 3 2" xfId="1051"/>
    <cellStyle name="Currency 11 3 4" xfId="1052"/>
    <cellStyle name="Currency 11 4" xfId="1053"/>
    <cellStyle name="Currency 11 4 2" xfId="1054"/>
    <cellStyle name="Currency 11 4 2 2" xfId="1055"/>
    <cellStyle name="Currency 11 4 3" xfId="1056"/>
    <cellStyle name="Currency 11 5" xfId="1057"/>
    <cellStyle name="Currency 11 5 2" xfId="1058"/>
    <cellStyle name="Currency 11 6" xfId="1059"/>
    <cellStyle name="Currency 12" xfId="1060"/>
    <cellStyle name="Currency 13" xfId="1061"/>
    <cellStyle name="Currency 14" xfId="1062"/>
    <cellStyle name="Currency 14 2" xfId="1063"/>
    <cellStyle name="Currency 14 2 2" xfId="1064"/>
    <cellStyle name="Currency 14 2 2 2" xfId="1065"/>
    <cellStyle name="Currency 14 2 2 2 2" xfId="1066"/>
    <cellStyle name="Currency 14 2 2 3" xfId="1067"/>
    <cellStyle name="Currency 14 2 3" xfId="1068"/>
    <cellStyle name="Currency 14 2 3 2" xfId="1069"/>
    <cellStyle name="Currency 14 2 4" xfId="1070"/>
    <cellStyle name="Currency 14 3" xfId="1071"/>
    <cellStyle name="Currency 14 3 2" xfId="1072"/>
    <cellStyle name="Currency 14 3 2 2" xfId="1073"/>
    <cellStyle name="Currency 14 3 2 2 2" xfId="1074"/>
    <cellStyle name="Currency 14 3 2 3" xfId="1075"/>
    <cellStyle name="Currency 14 3 3" xfId="1076"/>
    <cellStyle name="Currency 14 3 3 2" xfId="1077"/>
    <cellStyle name="Currency 14 3 4" xfId="1078"/>
    <cellStyle name="Currency 14 4" xfId="1079"/>
    <cellStyle name="Currency 14 4 2" xfId="1080"/>
    <cellStyle name="Currency 14 4 2 2" xfId="1081"/>
    <cellStyle name="Currency 14 4 2 2 2" xfId="1082"/>
    <cellStyle name="Currency 14 4 2 3" xfId="1083"/>
    <cellStyle name="Currency 14 4 3" xfId="1084"/>
    <cellStyle name="Currency 14 4 3 2" xfId="1085"/>
    <cellStyle name="Currency 14 4 4" xfId="1086"/>
    <cellStyle name="Currency 14 5" xfId="1087"/>
    <cellStyle name="Currency 14 5 2" xfId="1088"/>
    <cellStyle name="Currency 14 5 2 2" xfId="1089"/>
    <cellStyle name="Currency 14 5 3" xfId="1090"/>
    <cellStyle name="Currency 14 6" xfId="1091"/>
    <cellStyle name="Currency 14 6 2" xfId="1092"/>
    <cellStyle name="Currency 14 7" xfId="1093"/>
    <cellStyle name="Currency 15" xfId="1094"/>
    <cellStyle name="Currency 15 2" xfId="1095"/>
    <cellStyle name="Currency 15 2 2" xfId="1096"/>
    <cellStyle name="Currency 15 2 2 2" xfId="1097"/>
    <cellStyle name="Currency 15 2 3" xfId="1098"/>
    <cellStyle name="Currency 15 3" xfId="1099"/>
    <cellStyle name="Currency 15 3 2" xfId="1100"/>
    <cellStyle name="Currency 15 4" xfId="1101"/>
    <cellStyle name="Currency 16" xfId="1102"/>
    <cellStyle name="Currency 16 2" xfId="1103"/>
    <cellStyle name="Currency 17" xfId="1104"/>
    <cellStyle name="Currency 18" xfId="1105"/>
    <cellStyle name="Currency 19" xfId="1106"/>
    <cellStyle name="Currency 19 2" xfId="1107"/>
    <cellStyle name="Currency 19 2 2" xfId="1108"/>
    <cellStyle name="Currency 19 2 2 2" xfId="1109"/>
    <cellStyle name="Currency 19 2 2 2 2" xfId="1110"/>
    <cellStyle name="Currency 19 2 2 3" xfId="1111"/>
    <cellStyle name="Currency 19 2 3" xfId="1112"/>
    <cellStyle name="Currency 19 2 3 2" xfId="1113"/>
    <cellStyle name="Currency 19 2 4" xfId="1114"/>
    <cellStyle name="Currency 19 3" xfId="1115"/>
    <cellStyle name="Currency 19 3 2" xfId="1116"/>
    <cellStyle name="Currency 19 3 2 2" xfId="1117"/>
    <cellStyle name="Currency 19 3 2 2 2" xfId="1118"/>
    <cellStyle name="Currency 19 3 2 3" xfId="1119"/>
    <cellStyle name="Currency 19 3 3" xfId="1120"/>
    <cellStyle name="Currency 19 3 3 2" xfId="1121"/>
    <cellStyle name="Currency 19 3 4" xfId="1122"/>
    <cellStyle name="Currency 19 4" xfId="1123"/>
    <cellStyle name="Currency 19 4 2" xfId="1124"/>
    <cellStyle name="Currency 19 4 2 2" xfId="1125"/>
    <cellStyle name="Currency 19 4 3" xfId="1126"/>
    <cellStyle name="Currency 19 5" xfId="1127"/>
    <cellStyle name="Currency 19 5 2" xfId="1128"/>
    <cellStyle name="Currency 19 6" xfId="1129"/>
    <cellStyle name="Currency 2" xfId="11"/>
    <cellStyle name="Currency 2 10" xfId="1130"/>
    <cellStyle name="Currency 2 10 2" xfId="1131"/>
    <cellStyle name="Currency 2 10 2 2" xfId="1132"/>
    <cellStyle name="Currency 2 10 3" xfId="1133"/>
    <cellStyle name="Currency 2 11" xfId="1134"/>
    <cellStyle name="Currency 2 12" xfId="1135"/>
    <cellStyle name="Currency 2 13" xfId="1136"/>
    <cellStyle name="Currency 2 14" xfId="1137"/>
    <cellStyle name="Currency 2 15" xfId="1138"/>
    <cellStyle name="Currency 2 16" xfId="1139"/>
    <cellStyle name="Currency 2 17" xfId="1140"/>
    <cellStyle name="Currency 2 18" xfId="1141"/>
    <cellStyle name="Currency 2 2" xfId="1142"/>
    <cellStyle name="Currency 2 2 10" xfId="1143"/>
    <cellStyle name="Currency 2 2 11" xfId="1144"/>
    <cellStyle name="Currency 2 2 2" xfId="1145"/>
    <cellStyle name="Currency 2 2 3" xfId="1146"/>
    <cellStyle name="Currency 2 2 4" xfId="1147"/>
    <cellStyle name="Currency 2 2 5" xfId="1148"/>
    <cellStyle name="Currency 2 2 6" xfId="1149"/>
    <cellStyle name="Currency 2 2 7" xfId="1150"/>
    <cellStyle name="Currency 2 2 8" xfId="1151"/>
    <cellStyle name="Currency 2 2 9" xfId="1152"/>
    <cellStyle name="Currency 2 3" xfId="1153"/>
    <cellStyle name="Currency 2 3 2" xfId="1154"/>
    <cellStyle name="Currency 2 3 3" xfId="1155"/>
    <cellStyle name="Currency 2 3 4" xfId="1156"/>
    <cellStyle name="Currency 2 3 5" xfId="1157"/>
    <cellStyle name="Currency 2 4" xfId="1158"/>
    <cellStyle name="Currency 2 5" xfId="1159"/>
    <cellStyle name="Currency 2 6" xfId="1160"/>
    <cellStyle name="Currency 2 7" xfId="1161"/>
    <cellStyle name="Currency 2 8" xfId="1162"/>
    <cellStyle name="Currency 2 9" xfId="1163"/>
    <cellStyle name="Currency 2*" xfId="1164"/>
    <cellStyle name="Currency 2_CLdcfmodel" xfId="1165"/>
    <cellStyle name="Currency 20" xfId="1166"/>
    <cellStyle name="Currency 20 2" xfId="1167"/>
    <cellStyle name="Currency 20 2 2" xfId="1168"/>
    <cellStyle name="Currency 20 2 2 2" xfId="1169"/>
    <cellStyle name="Currency 20 2 2 2 2" xfId="1170"/>
    <cellStyle name="Currency 20 2 2 3" xfId="1171"/>
    <cellStyle name="Currency 20 2 3" xfId="1172"/>
    <cellStyle name="Currency 20 2 3 2" xfId="1173"/>
    <cellStyle name="Currency 20 2 4" xfId="1174"/>
    <cellStyle name="Currency 20 3" xfId="1175"/>
    <cellStyle name="Currency 20 3 2" xfId="1176"/>
    <cellStyle name="Currency 20 3 2 2" xfId="1177"/>
    <cellStyle name="Currency 20 3 2 2 2" xfId="1178"/>
    <cellStyle name="Currency 20 3 2 3" xfId="1179"/>
    <cellStyle name="Currency 20 3 3" xfId="1180"/>
    <cellStyle name="Currency 20 3 3 2" xfId="1181"/>
    <cellStyle name="Currency 20 3 4" xfId="1182"/>
    <cellStyle name="Currency 20 4" xfId="1183"/>
    <cellStyle name="Currency 20 4 2" xfId="1184"/>
    <cellStyle name="Currency 20 4 2 2" xfId="1185"/>
    <cellStyle name="Currency 20 4 3" xfId="1186"/>
    <cellStyle name="Currency 20 5" xfId="1187"/>
    <cellStyle name="Currency 20 5 2" xfId="1188"/>
    <cellStyle name="Currency 20 6" xfId="1189"/>
    <cellStyle name="Currency 21" xfId="1190"/>
    <cellStyle name="Currency 21 2" xfId="1191"/>
    <cellStyle name="Currency 21 2 2" xfId="1192"/>
    <cellStyle name="Currency 21 2 2 2" xfId="1193"/>
    <cellStyle name="Currency 21 2 2 2 2" xfId="1194"/>
    <cellStyle name="Currency 21 2 2 3" xfId="1195"/>
    <cellStyle name="Currency 21 2 3" xfId="1196"/>
    <cellStyle name="Currency 21 2 3 2" xfId="1197"/>
    <cellStyle name="Currency 21 2 4" xfId="1198"/>
    <cellStyle name="Currency 21 3" xfId="1199"/>
    <cellStyle name="Currency 21 3 2" xfId="1200"/>
    <cellStyle name="Currency 21 3 2 2" xfId="1201"/>
    <cellStyle name="Currency 21 3 2 2 2" xfId="1202"/>
    <cellStyle name="Currency 21 3 2 3" xfId="1203"/>
    <cellStyle name="Currency 21 3 3" xfId="1204"/>
    <cellStyle name="Currency 21 3 3 2" xfId="1205"/>
    <cellStyle name="Currency 21 3 4" xfId="1206"/>
    <cellStyle name="Currency 21 4" xfId="1207"/>
    <cellStyle name="Currency 21 4 2" xfId="1208"/>
    <cellStyle name="Currency 21 4 2 2" xfId="1209"/>
    <cellStyle name="Currency 21 4 3" xfId="1210"/>
    <cellStyle name="Currency 21 5" xfId="1211"/>
    <cellStyle name="Currency 21 5 2" xfId="1212"/>
    <cellStyle name="Currency 21 6" xfId="1213"/>
    <cellStyle name="Currency 22" xfId="1214"/>
    <cellStyle name="Currency 22 2" xfId="1215"/>
    <cellStyle name="Currency 22 2 2" xfId="1216"/>
    <cellStyle name="Currency 22 2 2 2" xfId="1217"/>
    <cellStyle name="Currency 22 2 2 2 2" xfId="1218"/>
    <cellStyle name="Currency 22 2 2 3" xfId="1219"/>
    <cellStyle name="Currency 22 2 3" xfId="1220"/>
    <cellStyle name="Currency 22 2 3 2" xfId="1221"/>
    <cellStyle name="Currency 22 2 4" xfId="1222"/>
    <cellStyle name="Currency 22 3" xfId="1223"/>
    <cellStyle name="Currency 22 3 2" xfId="1224"/>
    <cellStyle name="Currency 22 3 2 2" xfId="1225"/>
    <cellStyle name="Currency 22 3 2 2 2" xfId="1226"/>
    <cellStyle name="Currency 22 3 2 3" xfId="1227"/>
    <cellStyle name="Currency 22 3 3" xfId="1228"/>
    <cellStyle name="Currency 22 3 3 2" xfId="1229"/>
    <cellStyle name="Currency 22 3 4" xfId="1230"/>
    <cellStyle name="Currency 22 4" xfId="1231"/>
    <cellStyle name="Currency 22 4 2" xfId="1232"/>
    <cellStyle name="Currency 22 4 2 2" xfId="1233"/>
    <cellStyle name="Currency 22 4 3" xfId="1234"/>
    <cellStyle name="Currency 22 5" xfId="1235"/>
    <cellStyle name="Currency 22 5 2" xfId="1236"/>
    <cellStyle name="Currency 22 6" xfId="1237"/>
    <cellStyle name="Currency 23" xfId="1238"/>
    <cellStyle name="Currency 23 2" xfId="1239"/>
    <cellStyle name="Currency 23 2 2" xfId="1240"/>
    <cellStyle name="Currency 23 2 2 2" xfId="1241"/>
    <cellStyle name="Currency 23 2 2 2 2" xfId="1242"/>
    <cellStyle name="Currency 23 2 2 3" xfId="1243"/>
    <cellStyle name="Currency 23 2 3" xfId="1244"/>
    <cellStyle name="Currency 23 2 3 2" xfId="1245"/>
    <cellStyle name="Currency 23 2 4" xfId="1246"/>
    <cellStyle name="Currency 23 3" xfId="1247"/>
    <cellStyle name="Currency 23 3 2" xfId="1248"/>
    <cellStyle name="Currency 23 3 2 2" xfId="1249"/>
    <cellStyle name="Currency 23 3 2 2 2" xfId="1250"/>
    <cellStyle name="Currency 23 3 2 3" xfId="1251"/>
    <cellStyle name="Currency 23 3 3" xfId="1252"/>
    <cellStyle name="Currency 23 3 3 2" xfId="1253"/>
    <cellStyle name="Currency 23 3 4" xfId="1254"/>
    <cellStyle name="Currency 23 4" xfId="1255"/>
    <cellStyle name="Currency 23 4 2" xfId="1256"/>
    <cellStyle name="Currency 23 4 2 2" xfId="1257"/>
    <cellStyle name="Currency 23 4 3" xfId="1258"/>
    <cellStyle name="Currency 23 5" xfId="1259"/>
    <cellStyle name="Currency 23 5 2" xfId="1260"/>
    <cellStyle name="Currency 23 6" xfId="1261"/>
    <cellStyle name="Currency 24" xfId="1262"/>
    <cellStyle name="Currency 24 2" xfId="1263"/>
    <cellStyle name="Currency 24 2 2" xfId="1264"/>
    <cellStyle name="Currency 24 2 2 2" xfId="1265"/>
    <cellStyle name="Currency 24 2 2 2 2" xfId="1266"/>
    <cellStyle name="Currency 24 2 2 3" xfId="1267"/>
    <cellStyle name="Currency 24 2 3" xfId="1268"/>
    <cellStyle name="Currency 24 2 3 2" xfId="1269"/>
    <cellStyle name="Currency 24 2 4" xfId="1270"/>
    <cellStyle name="Currency 24 3" xfId="1271"/>
    <cellStyle name="Currency 24 3 2" xfId="1272"/>
    <cellStyle name="Currency 24 3 2 2" xfId="1273"/>
    <cellStyle name="Currency 24 3 2 2 2" xfId="1274"/>
    <cellStyle name="Currency 24 3 2 3" xfId="1275"/>
    <cellStyle name="Currency 24 3 3" xfId="1276"/>
    <cellStyle name="Currency 24 3 3 2" xfId="1277"/>
    <cellStyle name="Currency 24 3 4" xfId="1278"/>
    <cellStyle name="Currency 24 4" xfId="1279"/>
    <cellStyle name="Currency 24 4 2" xfId="1280"/>
    <cellStyle name="Currency 24 4 2 2" xfId="1281"/>
    <cellStyle name="Currency 24 4 3" xfId="1282"/>
    <cellStyle name="Currency 24 5" xfId="1283"/>
    <cellStyle name="Currency 24 5 2" xfId="1284"/>
    <cellStyle name="Currency 24 6" xfId="1285"/>
    <cellStyle name="Currency 25" xfId="1286"/>
    <cellStyle name="Currency 26" xfId="1287"/>
    <cellStyle name="Currency 26 2" xfId="1288"/>
    <cellStyle name="Currency 26 2 2" xfId="1289"/>
    <cellStyle name="Currency 26 2 2 2" xfId="1290"/>
    <cellStyle name="Currency 26 2 2 2 2" xfId="1291"/>
    <cellStyle name="Currency 26 2 2 3" xfId="1292"/>
    <cellStyle name="Currency 26 2 3" xfId="1293"/>
    <cellStyle name="Currency 26 2 3 2" xfId="1294"/>
    <cellStyle name="Currency 26 2 4" xfId="1295"/>
    <cellStyle name="Currency 26 3" xfId="1296"/>
    <cellStyle name="Currency 26 3 2" xfId="1297"/>
    <cellStyle name="Currency 26 3 2 2" xfId="1298"/>
    <cellStyle name="Currency 26 3 2 2 2" xfId="1299"/>
    <cellStyle name="Currency 26 3 2 3" xfId="1300"/>
    <cellStyle name="Currency 26 3 3" xfId="1301"/>
    <cellStyle name="Currency 26 3 3 2" xfId="1302"/>
    <cellStyle name="Currency 26 3 4" xfId="1303"/>
    <cellStyle name="Currency 26 4" xfId="1304"/>
    <cellStyle name="Currency 26 4 2" xfId="1305"/>
    <cellStyle name="Currency 26 4 2 2" xfId="1306"/>
    <cellStyle name="Currency 26 4 3" xfId="1307"/>
    <cellStyle name="Currency 26 5" xfId="1308"/>
    <cellStyle name="Currency 26 5 2" xfId="1309"/>
    <cellStyle name="Currency 26 6" xfId="1310"/>
    <cellStyle name="Currency 27" xfId="1311"/>
    <cellStyle name="Currency 27 2" xfId="1312"/>
    <cellStyle name="Currency 27 2 2" xfId="1313"/>
    <cellStyle name="Currency 27 2 2 2" xfId="1314"/>
    <cellStyle name="Currency 27 2 2 2 2" xfId="1315"/>
    <cellStyle name="Currency 27 2 2 3" xfId="1316"/>
    <cellStyle name="Currency 27 2 3" xfId="1317"/>
    <cellStyle name="Currency 27 2 3 2" xfId="1318"/>
    <cellStyle name="Currency 27 2 4" xfId="1319"/>
    <cellStyle name="Currency 27 3" xfId="1320"/>
    <cellStyle name="Currency 27 3 2" xfId="1321"/>
    <cellStyle name="Currency 27 3 2 2" xfId="1322"/>
    <cellStyle name="Currency 27 3 2 2 2" xfId="1323"/>
    <cellStyle name="Currency 27 3 2 3" xfId="1324"/>
    <cellStyle name="Currency 27 3 3" xfId="1325"/>
    <cellStyle name="Currency 27 3 3 2" xfId="1326"/>
    <cellStyle name="Currency 27 3 4" xfId="1327"/>
    <cellStyle name="Currency 27 4" xfId="1328"/>
    <cellStyle name="Currency 27 4 2" xfId="1329"/>
    <cellStyle name="Currency 27 4 2 2" xfId="1330"/>
    <cellStyle name="Currency 27 4 3" xfId="1331"/>
    <cellStyle name="Currency 27 5" xfId="1332"/>
    <cellStyle name="Currency 27 5 2" xfId="1333"/>
    <cellStyle name="Currency 27 6" xfId="1334"/>
    <cellStyle name="Currency 28" xfId="1335"/>
    <cellStyle name="Currency 28 2" xfId="1336"/>
    <cellStyle name="Currency 28 2 2" xfId="1337"/>
    <cellStyle name="Currency 28 2 2 2" xfId="1338"/>
    <cellStyle name="Currency 28 2 2 2 2" xfId="1339"/>
    <cellStyle name="Currency 28 2 2 3" xfId="1340"/>
    <cellStyle name="Currency 28 2 3" xfId="1341"/>
    <cellStyle name="Currency 28 2 3 2" xfId="1342"/>
    <cellStyle name="Currency 28 2 4" xfId="1343"/>
    <cellStyle name="Currency 28 3" xfId="1344"/>
    <cellStyle name="Currency 28 3 2" xfId="1345"/>
    <cellStyle name="Currency 28 3 2 2" xfId="1346"/>
    <cellStyle name="Currency 28 3 2 2 2" xfId="1347"/>
    <cellStyle name="Currency 28 3 2 3" xfId="1348"/>
    <cellStyle name="Currency 28 3 3" xfId="1349"/>
    <cellStyle name="Currency 28 3 3 2" xfId="1350"/>
    <cellStyle name="Currency 28 3 4" xfId="1351"/>
    <cellStyle name="Currency 28 4" xfId="1352"/>
    <cellStyle name="Currency 28 4 2" xfId="1353"/>
    <cellStyle name="Currency 28 4 2 2" xfId="1354"/>
    <cellStyle name="Currency 28 4 3" xfId="1355"/>
    <cellStyle name="Currency 28 5" xfId="1356"/>
    <cellStyle name="Currency 28 5 2" xfId="1357"/>
    <cellStyle name="Currency 28 6" xfId="1358"/>
    <cellStyle name="Currency 29" xfId="1359"/>
    <cellStyle name="Currency 29 2" xfId="1360"/>
    <cellStyle name="Currency 29 2 2" xfId="1361"/>
    <cellStyle name="Currency 29 2 2 2" xfId="1362"/>
    <cellStyle name="Currency 29 2 2 2 2" xfId="1363"/>
    <cellStyle name="Currency 29 2 2 3" xfId="1364"/>
    <cellStyle name="Currency 29 2 3" xfId="1365"/>
    <cellStyle name="Currency 29 2 3 2" xfId="1366"/>
    <cellStyle name="Currency 29 2 4" xfId="1367"/>
    <cellStyle name="Currency 29 3" xfId="1368"/>
    <cellStyle name="Currency 29 3 2" xfId="1369"/>
    <cellStyle name="Currency 29 3 2 2" xfId="1370"/>
    <cellStyle name="Currency 29 3 2 2 2" xfId="1371"/>
    <cellStyle name="Currency 29 3 2 3" xfId="1372"/>
    <cellStyle name="Currency 29 3 3" xfId="1373"/>
    <cellStyle name="Currency 29 3 3 2" xfId="1374"/>
    <cellStyle name="Currency 29 3 4" xfId="1375"/>
    <cellStyle name="Currency 29 4" xfId="1376"/>
    <cellStyle name="Currency 29 4 2" xfId="1377"/>
    <cellStyle name="Currency 29 4 2 2" xfId="1378"/>
    <cellStyle name="Currency 29 4 3" xfId="1379"/>
    <cellStyle name="Currency 29 5" xfId="1380"/>
    <cellStyle name="Currency 29 5 2" xfId="1381"/>
    <cellStyle name="Currency 29 6" xfId="1382"/>
    <cellStyle name="Currency 3" xfId="1383"/>
    <cellStyle name="Currency 3 2" xfId="1384"/>
    <cellStyle name="Currency 3 2 2" xfId="1385"/>
    <cellStyle name="Currency 3 2 2 2" xfId="1386"/>
    <cellStyle name="Currency 3 2 3" xfId="1387"/>
    <cellStyle name="Currency 3 2 4" xfId="1388"/>
    <cellStyle name="Currency 3 2 5" xfId="1389"/>
    <cellStyle name="Currency 3 3" xfId="1390"/>
    <cellStyle name="Currency 3 4" xfId="1391"/>
    <cellStyle name="Currency 3 5" xfId="1392"/>
    <cellStyle name="Currency 3 6" xfId="1393"/>
    <cellStyle name="Currency 30" xfId="1394"/>
    <cellStyle name="Currency 31" xfId="1395"/>
    <cellStyle name="Currency 32" xfId="1396"/>
    <cellStyle name="Currency 33" xfId="1397"/>
    <cellStyle name="Currency 34" xfId="1398"/>
    <cellStyle name="Currency 4" xfId="1399"/>
    <cellStyle name="Currency 4 10" xfId="1400"/>
    <cellStyle name="Currency 4 2" xfId="1401"/>
    <cellStyle name="Currency 4 2 2" xfId="1402"/>
    <cellStyle name="Currency 4 2 2 2" xfId="1403"/>
    <cellStyle name="Currency 4 2 2 2 2" xfId="1404"/>
    <cellStyle name="Currency 4 2 2 3" xfId="1405"/>
    <cellStyle name="Currency 4 2 3" xfId="1406"/>
    <cellStyle name="Currency 4 2 3 2" xfId="1407"/>
    <cellStyle name="Currency 4 2 4" xfId="1408"/>
    <cellStyle name="Currency 4 3" xfId="1409"/>
    <cellStyle name="Currency 4 3 2" xfId="1410"/>
    <cellStyle name="Currency 4 3 2 2" xfId="1411"/>
    <cellStyle name="Currency 4 3 2 2 2" xfId="1412"/>
    <cellStyle name="Currency 4 3 2 3" xfId="1413"/>
    <cellStyle name="Currency 4 3 3" xfId="1414"/>
    <cellStyle name="Currency 4 3 3 2" xfId="1415"/>
    <cellStyle name="Currency 4 3 4" xfId="1416"/>
    <cellStyle name="Currency 4 4" xfId="1417"/>
    <cellStyle name="Currency 4 4 2" xfId="1418"/>
    <cellStyle name="Currency 4 4 2 2" xfId="1419"/>
    <cellStyle name="Currency 4 4 3" xfId="1420"/>
    <cellStyle name="Currency 4 5" xfId="1421"/>
    <cellStyle name="Currency 4 5 2" xfId="1422"/>
    <cellStyle name="Currency 4 5 2 2" xfId="1423"/>
    <cellStyle name="Currency 4 5 3" xfId="1424"/>
    <cellStyle name="Currency 4 6" xfId="1425"/>
    <cellStyle name="Currency 4 6 2" xfId="1426"/>
    <cellStyle name="Currency 4 6 2 2" xfId="1427"/>
    <cellStyle name="Currency 4 6 3" xfId="1428"/>
    <cellStyle name="Currency 4 7" xfId="1429"/>
    <cellStyle name="Currency 4 7 2" xfId="1430"/>
    <cellStyle name="Currency 4 8" xfId="1431"/>
    <cellStyle name="Currency 4 9" xfId="1432"/>
    <cellStyle name="Currency 5" xfId="1433"/>
    <cellStyle name="Currency 5 2" xfId="1434"/>
    <cellStyle name="Currency 5 2 2" xfId="1435"/>
    <cellStyle name="Currency 5 2 2 2" xfId="1436"/>
    <cellStyle name="Currency 5 2 2 2 2" xfId="1437"/>
    <cellStyle name="Currency 5 2 2 3" xfId="1438"/>
    <cellStyle name="Currency 5 2 3" xfId="1439"/>
    <cellStyle name="Currency 5 2 3 2" xfId="1440"/>
    <cellStyle name="Currency 5 2 4" xfId="1441"/>
    <cellStyle name="Currency 5 3" xfId="1442"/>
    <cellStyle name="Currency 5 3 2" xfId="1443"/>
    <cellStyle name="Currency 5 3 2 2" xfId="1444"/>
    <cellStyle name="Currency 5 3 2 2 2" xfId="1445"/>
    <cellStyle name="Currency 5 3 2 3" xfId="1446"/>
    <cellStyle name="Currency 5 3 3" xfId="1447"/>
    <cellStyle name="Currency 5 3 3 2" xfId="1448"/>
    <cellStyle name="Currency 5 3 4" xfId="1449"/>
    <cellStyle name="Currency 5 4" xfId="1450"/>
    <cellStyle name="Currency 5 4 2" xfId="1451"/>
    <cellStyle name="Currency 5 4 2 2" xfId="1452"/>
    <cellStyle name="Currency 5 4 3" xfId="1453"/>
    <cellStyle name="Currency 5 5" xfId="1454"/>
    <cellStyle name="Currency 5 5 2" xfId="1455"/>
    <cellStyle name="Currency 5 6" xfId="1456"/>
    <cellStyle name="Currency 6" xfId="1457"/>
    <cellStyle name="Currency 6 2" xfId="1458"/>
    <cellStyle name="Currency 6 2 2" xfId="1459"/>
    <cellStyle name="Currency 6 2 2 2" xfId="1460"/>
    <cellStyle name="Currency 6 2 2 2 2" xfId="1461"/>
    <cellStyle name="Currency 6 2 2 3" xfId="1462"/>
    <cellStyle name="Currency 6 2 3" xfId="1463"/>
    <cellStyle name="Currency 6 2 3 2" xfId="1464"/>
    <cellStyle name="Currency 6 2 4" xfId="1465"/>
    <cellStyle name="Currency 6 3" xfId="1466"/>
    <cellStyle name="Currency 6 3 2" xfId="1467"/>
    <cellStyle name="Currency 6 3 2 2" xfId="1468"/>
    <cellStyle name="Currency 6 3 2 2 2" xfId="1469"/>
    <cellStyle name="Currency 6 3 2 3" xfId="1470"/>
    <cellStyle name="Currency 6 3 3" xfId="1471"/>
    <cellStyle name="Currency 6 3 3 2" xfId="1472"/>
    <cellStyle name="Currency 6 3 4" xfId="1473"/>
    <cellStyle name="Currency 6 4" xfId="1474"/>
    <cellStyle name="Currency 6 4 2" xfId="1475"/>
    <cellStyle name="Currency 6 4 2 2" xfId="1476"/>
    <cellStyle name="Currency 6 4 3" xfId="1477"/>
    <cellStyle name="Currency 6 5" xfId="1478"/>
    <cellStyle name="Currency 6 5 2" xfId="1479"/>
    <cellStyle name="Currency 6 6" xfId="1480"/>
    <cellStyle name="Currency 7" xfId="1481"/>
    <cellStyle name="Currency 7 2" xfId="1482"/>
    <cellStyle name="Currency 8" xfId="1483"/>
    <cellStyle name="Currency 8 2" xfId="1484"/>
    <cellStyle name="Currency 8 2 2" xfId="1485"/>
    <cellStyle name="Currency 8 2 2 2" xfId="1486"/>
    <cellStyle name="Currency 8 2 2 2 2" xfId="1487"/>
    <cellStyle name="Currency 8 2 2 3" xfId="1488"/>
    <cellStyle name="Currency 8 2 3" xfId="1489"/>
    <cellStyle name="Currency 8 2 3 2" xfId="1490"/>
    <cellStyle name="Currency 8 2 4" xfId="1491"/>
    <cellStyle name="Currency 8 3" xfId="1492"/>
    <cellStyle name="Currency 8 3 2" xfId="1493"/>
    <cellStyle name="Currency 8 3 2 2" xfId="1494"/>
    <cellStyle name="Currency 8 3 2 2 2" xfId="1495"/>
    <cellStyle name="Currency 8 3 2 3" xfId="1496"/>
    <cellStyle name="Currency 8 3 3" xfId="1497"/>
    <cellStyle name="Currency 8 3 3 2" xfId="1498"/>
    <cellStyle name="Currency 8 3 4" xfId="1499"/>
    <cellStyle name="Currency 8 4" xfId="1500"/>
    <cellStyle name="Currency 8 4 2" xfId="1501"/>
    <cellStyle name="Currency 8 4 2 2" xfId="1502"/>
    <cellStyle name="Currency 8 4 3" xfId="1503"/>
    <cellStyle name="Currency 8 5" xfId="1504"/>
    <cellStyle name="Currency 8 5 2" xfId="1505"/>
    <cellStyle name="Currency 8 6" xfId="1506"/>
    <cellStyle name="Currency 8 7" xfId="1507"/>
    <cellStyle name="Currency 9" xfId="1508"/>
    <cellStyle name="Currency 9 2" xfId="1509"/>
    <cellStyle name="Currency 9 2 2" xfId="1510"/>
    <cellStyle name="Currency 9 2 2 2" xfId="1511"/>
    <cellStyle name="Currency 9 2 2 2 2" xfId="1512"/>
    <cellStyle name="Currency 9 2 2 3" xfId="1513"/>
    <cellStyle name="Currency 9 2 3" xfId="1514"/>
    <cellStyle name="Currency 9 2 3 2" xfId="1515"/>
    <cellStyle name="Currency 9 2 4" xfId="1516"/>
    <cellStyle name="Currency 9 3" xfId="1517"/>
    <cellStyle name="Currency 9 3 2" xfId="1518"/>
    <cellStyle name="Currency 9 3 2 2" xfId="1519"/>
    <cellStyle name="Currency 9 3 2 2 2" xfId="1520"/>
    <cellStyle name="Currency 9 3 2 3" xfId="1521"/>
    <cellStyle name="Currency 9 3 3" xfId="1522"/>
    <cellStyle name="Currency 9 3 3 2" xfId="1523"/>
    <cellStyle name="Currency 9 3 4" xfId="1524"/>
    <cellStyle name="Currency 9 4" xfId="1525"/>
    <cellStyle name="Currency 9 4 2" xfId="1526"/>
    <cellStyle name="Currency 9 4 2 2" xfId="1527"/>
    <cellStyle name="Currency 9 4 3" xfId="1528"/>
    <cellStyle name="Currency 9 5" xfId="1529"/>
    <cellStyle name="Currency 9 5 2" xfId="1530"/>
    <cellStyle name="Currency 9 6" xfId="1531"/>
    <cellStyle name="Currency Per Share" xfId="1532"/>
    <cellStyle name="Currency0" xfId="12"/>
    <cellStyle name="Currency2" xfId="1533"/>
    <cellStyle name="CUS.Work.Area" xfId="1534"/>
    <cellStyle name="Dash" xfId="1535"/>
    <cellStyle name="Data" xfId="1536"/>
    <cellStyle name="Data 2" xfId="1537"/>
    <cellStyle name="Data 3" xfId="1538"/>
    <cellStyle name="Date" xfId="13"/>
    <cellStyle name="Date [mm-dd-yyyy]" xfId="1539"/>
    <cellStyle name="Date [mm-dd-yyyy] 2" xfId="1540"/>
    <cellStyle name="Date [mm-d-yyyy]" xfId="1541"/>
    <cellStyle name="Date [mmm-yyyy]" xfId="1542"/>
    <cellStyle name="Date Aligned" xfId="1543"/>
    <cellStyle name="Date Aligned*" xfId="1544"/>
    <cellStyle name="Date Aligned_comp_Integrateds" xfId="1545"/>
    <cellStyle name="Date Short" xfId="1546"/>
    <cellStyle name="date_ Pies " xfId="1547"/>
    <cellStyle name="DblLineDollarAcct" xfId="1548"/>
    <cellStyle name="DblLinePercent" xfId="1549"/>
    <cellStyle name="Dezimal [0]_A17 - 31.03.1998" xfId="1550"/>
    <cellStyle name="Dezimal_A17 - 31.03.1998" xfId="1551"/>
    <cellStyle name="Dia" xfId="1552"/>
    <cellStyle name="Dollar_ Pies " xfId="1553"/>
    <cellStyle name="DollarAccounting" xfId="1554"/>
    <cellStyle name="Dotted Line" xfId="1555"/>
    <cellStyle name="Dotted Line 2" xfId="1556"/>
    <cellStyle name="Dotted Line 3" xfId="1557"/>
    <cellStyle name="Double Accounting" xfId="1558"/>
    <cellStyle name="Duizenden" xfId="1559"/>
    <cellStyle name="Encabez1" xfId="1560"/>
    <cellStyle name="Encabez2" xfId="1561"/>
    <cellStyle name="Enter Currency (0)" xfId="1562"/>
    <cellStyle name="Enter Currency (2)" xfId="1563"/>
    <cellStyle name="Enter Units (0)" xfId="1564"/>
    <cellStyle name="Enter Units (1)" xfId="1565"/>
    <cellStyle name="Enter Units (2)" xfId="1566"/>
    <cellStyle name="Euro" xfId="1567"/>
    <cellStyle name="Explanatory Text 2" xfId="1568"/>
    <cellStyle name="Explanatory Text 2 2" xfId="1569"/>
    <cellStyle name="Explanatory Text 2 3" xfId="1570"/>
    <cellStyle name="Explanatory Text 2 4" xfId="1571"/>
    <cellStyle name="Explanatory Text 2 5" xfId="1572"/>
    <cellStyle name="Explanatory Text 2 6" xfId="1573"/>
    <cellStyle name="Explanatory Text 2 7" xfId="1574"/>
    <cellStyle name="Explanatory Text 2 8" xfId="1575"/>
    <cellStyle name="Explanatory Text 2 9" xfId="1576"/>
    <cellStyle name="fact" xfId="1577"/>
    <cellStyle name="FieldName" xfId="1578"/>
    <cellStyle name="FieldName 2" xfId="1579"/>
    <cellStyle name="FieldName 3" xfId="1580"/>
    <cellStyle name="Fijo" xfId="1581"/>
    <cellStyle name="Financiero" xfId="1582"/>
    <cellStyle name="Fixed" xfId="14"/>
    <cellStyle name="Footnote" xfId="1583"/>
    <cellStyle name="Good 2" xfId="1584"/>
    <cellStyle name="Good 2 2" xfId="1585"/>
    <cellStyle name="Good 2 3" xfId="1586"/>
    <cellStyle name="Good 2 4" xfId="1587"/>
    <cellStyle name="Good 2 5" xfId="1588"/>
    <cellStyle name="Good 2 6" xfId="1589"/>
    <cellStyle name="Good 2 7" xfId="1590"/>
    <cellStyle name="Good 2 8" xfId="1591"/>
    <cellStyle name="Good 2 9" xfId="1592"/>
    <cellStyle name="Grey" xfId="1593"/>
    <cellStyle name="GWN Table Body" xfId="1594"/>
    <cellStyle name="GWN Table Header" xfId="1595"/>
    <cellStyle name="GWN Table Left Header" xfId="1596"/>
    <cellStyle name="GWN Table Note" xfId="1597"/>
    <cellStyle name="GWN Table Title" xfId="1598"/>
    <cellStyle name="hard no" xfId="1599"/>
    <cellStyle name="Hard Percent" xfId="1600"/>
    <cellStyle name="hardno" xfId="1601"/>
    <cellStyle name="Header" xfId="1602"/>
    <cellStyle name="Header1" xfId="1603"/>
    <cellStyle name="Header2" xfId="1604"/>
    <cellStyle name="Heading" xfId="1605"/>
    <cellStyle name="Heading 1 2" xfId="1606"/>
    <cellStyle name="Heading 1 2 2" xfId="1607"/>
    <cellStyle name="Heading 1 2 3" xfId="1608"/>
    <cellStyle name="Heading 1 2 4" xfId="1609"/>
    <cellStyle name="Heading 1 2 5" xfId="1610"/>
    <cellStyle name="Heading 1 2 6" xfId="1611"/>
    <cellStyle name="Heading 1 3" xfId="1612"/>
    <cellStyle name="Heading 2 2" xfId="1613"/>
    <cellStyle name="Heading 2 2 2" xfId="1614"/>
    <cellStyle name="Heading 2 2 3" xfId="1615"/>
    <cellStyle name="Heading 2 2 4" xfId="1616"/>
    <cellStyle name="Heading 2 2 5" xfId="1617"/>
    <cellStyle name="Heading 2 2 6" xfId="1618"/>
    <cellStyle name="Heading 2 3" xfId="1619"/>
    <cellStyle name="Heading 3 2" xfId="1620"/>
    <cellStyle name="Heading 3 2 2" xfId="1621"/>
    <cellStyle name="Heading 3 2 3" xfId="1622"/>
    <cellStyle name="Heading 3 2 4" xfId="1623"/>
    <cellStyle name="Heading 3 2 5" xfId="1624"/>
    <cellStyle name="Heading 3 2 6" xfId="1625"/>
    <cellStyle name="Heading 3 2 7" xfId="1626"/>
    <cellStyle name="Heading 3 3" xfId="1627"/>
    <cellStyle name="Heading 4 2" xfId="1628"/>
    <cellStyle name="Heading 4 2 2" xfId="1629"/>
    <cellStyle name="Heading2" xfId="1630"/>
    <cellStyle name="Heading3" xfId="1631"/>
    <cellStyle name="HeadingColumn" xfId="1632"/>
    <cellStyle name="HeadingS" xfId="1633"/>
    <cellStyle name="HeadingYear" xfId="1634"/>
    <cellStyle name="HeadlineStyle" xfId="1635"/>
    <cellStyle name="HeadlineStyleJustified" xfId="1636"/>
    <cellStyle name="Hed Side_Sheet1" xfId="1637"/>
    <cellStyle name="Hed Top" xfId="1638"/>
    <cellStyle name="Hyperlink 2" xfId="1639"/>
    <cellStyle name="Hyperlink 2 10" xfId="1640"/>
    <cellStyle name="Hyperlink 2 11" xfId="1641"/>
    <cellStyle name="Hyperlink 2 12" xfId="1642"/>
    <cellStyle name="Hyperlink 2 13" xfId="1643"/>
    <cellStyle name="Hyperlink 2 2" xfId="1644"/>
    <cellStyle name="Hyperlink 2 2 2" xfId="1645"/>
    <cellStyle name="Hyperlink 2 3" xfId="1646"/>
    <cellStyle name="Hyperlink 2 3 2" xfId="1647"/>
    <cellStyle name="Hyperlink 2 4" xfId="1648"/>
    <cellStyle name="Hyperlink 2 5" xfId="1649"/>
    <cellStyle name="Hyperlink 2 6" xfId="1650"/>
    <cellStyle name="Hyperlink 2 7" xfId="1651"/>
    <cellStyle name="Hyperlink 2 8" xfId="1652"/>
    <cellStyle name="Hyperlink 2 9" xfId="1653"/>
    <cellStyle name="Hyperlink 3" xfId="1654"/>
    <cellStyle name="Hyperlink 3 10" xfId="1655"/>
    <cellStyle name="Hyperlink 3 11" xfId="1656"/>
    <cellStyle name="Hyperlink 3 12" xfId="1657"/>
    <cellStyle name="Hyperlink 3 2" xfId="1658"/>
    <cellStyle name="Hyperlink 3 3" xfId="1659"/>
    <cellStyle name="Hyperlink 3 4" xfId="1660"/>
    <cellStyle name="Hyperlink 3 5" xfId="1661"/>
    <cellStyle name="Hyperlink 3 6" xfId="1662"/>
    <cellStyle name="Hyperlink 3 7" xfId="1663"/>
    <cellStyle name="Hyperlink 3 8" xfId="1664"/>
    <cellStyle name="Hyperlink 3 9" xfId="1665"/>
    <cellStyle name="Hyperlink 4" xfId="1666"/>
    <cellStyle name="Hyperlink 5" xfId="1667"/>
    <cellStyle name="InLink_Acquis_CapitalCost " xfId="1668"/>
    <cellStyle name="Input (1dp#)_ Pies " xfId="1669"/>
    <cellStyle name="Input [yellow]" xfId="1670"/>
    <cellStyle name="Input 2" xfId="1671"/>
    <cellStyle name="Input 2 10" xfId="1672"/>
    <cellStyle name="Input 2 11" xfId="1673"/>
    <cellStyle name="Input 2 2" xfId="1674"/>
    <cellStyle name="Input 2 2 2" xfId="1675"/>
    <cellStyle name="Input 2 2 3" xfId="1676"/>
    <cellStyle name="Input 2 2 4" xfId="1677"/>
    <cellStyle name="Input 2 3" xfId="1678"/>
    <cellStyle name="Input 2 4" xfId="1679"/>
    <cellStyle name="Input 2 5" xfId="1680"/>
    <cellStyle name="Input 2 6" xfId="1681"/>
    <cellStyle name="Input 2 7" xfId="1682"/>
    <cellStyle name="Input 2 8" xfId="1683"/>
    <cellStyle name="Input 2 9" xfId="1684"/>
    <cellStyle name="Input 3" xfId="1685"/>
    <cellStyle name="InputBlueFont" xfId="1686"/>
    <cellStyle name="InputGen" xfId="1687"/>
    <cellStyle name="InputKeepColour" xfId="1688"/>
    <cellStyle name="InputKeepPale" xfId="1689"/>
    <cellStyle name="InputVariColour" xfId="1690"/>
    <cellStyle name="Integer" xfId="1691"/>
    <cellStyle name="Invisible" xfId="1692"/>
    <cellStyle name="Item" xfId="1693"/>
    <cellStyle name="Items_Obligatory" xfId="1694"/>
    <cellStyle name="ItemTypeClass" xfId="1695"/>
    <cellStyle name="ItemTypeClass 2" xfId="1696"/>
    <cellStyle name="ItemTypeClass 3" xfId="1697"/>
    <cellStyle name="KP_Normal" xfId="1698"/>
    <cellStyle name="Lien hypertexte visité_index" xfId="1699"/>
    <cellStyle name="Lien hypertexte_index" xfId="1700"/>
    <cellStyle name="ligne_detail" xfId="1701"/>
    <cellStyle name="Line" xfId="1702"/>
    <cellStyle name="Link Currency (0)" xfId="1703"/>
    <cellStyle name="Link Currency (2)" xfId="1704"/>
    <cellStyle name="Link Units (0)" xfId="1705"/>
    <cellStyle name="Link Units (1)" xfId="1706"/>
    <cellStyle name="Link Units (2)" xfId="1707"/>
    <cellStyle name="Linked Cell 2" xfId="1708"/>
    <cellStyle name="Linked Cell 2 2" xfId="1709"/>
    <cellStyle name="Linked Cell 2 3" xfId="1710"/>
    <cellStyle name="Linked Cell 2 4" xfId="1711"/>
    <cellStyle name="Linked Cell 2 5" xfId="1712"/>
    <cellStyle name="Linked Cell 2 6" xfId="1713"/>
    <cellStyle name="Linked Cell 2 7" xfId="1714"/>
    <cellStyle name="Linked Cell 2 8" xfId="1715"/>
    <cellStyle name="Linked Cell 2 9" xfId="25"/>
    <cellStyle name="m/d/yy" xfId="1716"/>
    <cellStyle name="m1" xfId="1717"/>
    <cellStyle name="Major item" xfId="1718"/>
    <cellStyle name="Margin" xfId="1719"/>
    <cellStyle name="Migliaia (0)_Sheet1" xfId="1720"/>
    <cellStyle name="Migliaia_piv_polio" xfId="1721"/>
    <cellStyle name="Millares [0]_Asset Mgmt " xfId="1722"/>
    <cellStyle name="Millares_2AV_M_M " xfId="1723"/>
    <cellStyle name="Milliers [0]_CANADA1" xfId="1724"/>
    <cellStyle name="Milliers 2" xfId="1725"/>
    <cellStyle name="Milliers_CANADA1" xfId="1726"/>
    <cellStyle name="mm/dd/yy" xfId="1727"/>
    <cellStyle name="mod1" xfId="1728"/>
    <cellStyle name="modelo1" xfId="1729"/>
    <cellStyle name="Moneda [0]_2AV_M_M " xfId="1730"/>
    <cellStyle name="Moneda_2AV_M_M " xfId="1731"/>
    <cellStyle name="Monétaire [0]_CANADA1" xfId="1732"/>
    <cellStyle name="Monétaire 2" xfId="1733"/>
    <cellStyle name="Monétaire_CANADA1" xfId="1734"/>
    <cellStyle name="Monetario" xfId="1735"/>
    <cellStyle name="MonthYears" xfId="1736"/>
    <cellStyle name="Multiple" xfId="1737"/>
    <cellStyle name="Multiple (no x)" xfId="1738"/>
    <cellStyle name="Multiple (x)" xfId="1739"/>
    <cellStyle name="Multiple [0]" xfId="1740"/>
    <cellStyle name="Multiple [1]" xfId="1741"/>
    <cellStyle name="Multiple [2]" xfId="1742"/>
    <cellStyle name="Multiple [3]" xfId="1743"/>
    <cellStyle name="Multiple_1030171N" xfId="1744"/>
    <cellStyle name="neg0.0_CapitalCost " xfId="1745"/>
    <cellStyle name="Neutral 2" xfId="1746"/>
    <cellStyle name="Neutral 2 2" xfId="1747"/>
    <cellStyle name="Neutral 2 3" xfId="1748"/>
    <cellStyle name="Neutral 2 4" xfId="1749"/>
    <cellStyle name="Neutral 2 5" xfId="1750"/>
    <cellStyle name="Neutral 2 6" xfId="1751"/>
    <cellStyle name="Neutral 2 7" xfId="1752"/>
    <cellStyle name="Neutral 2 8" xfId="1753"/>
    <cellStyle name="Neutral 2 9" xfId="1754"/>
    <cellStyle name="New" xfId="1755"/>
    <cellStyle name="Nil" xfId="1756"/>
    <cellStyle name="no dec" xfId="1757"/>
    <cellStyle name="No-definido" xfId="1758"/>
    <cellStyle name="Non_Input_Cell_Figures" xfId="1759"/>
    <cellStyle name="NonPrintingArea" xfId="1760"/>
    <cellStyle name="NORAYAS" xfId="1761"/>
    <cellStyle name="Normal" xfId="0" builtinId="0"/>
    <cellStyle name="Normal--" xfId="1762"/>
    <cellStyle name="Normal - Style1" xfId="1763"/>
    <cellStyle name="Normal [0]" xfId="1764"/>
    <cellStyle name="Normal [1]" xfId="1765"/>
    <cellStyle name="Normal [3]" xfId="1766"/>
    <cellStyle name="Normal [3] 2" xfId="1767"/>
    <cellStyle name="Normal [3] 3" xfId="1768"/>
    <cellStyle name="Normal 10" xfId="1769"/>
    <cellStyle name="Normal 10 2" xfId="1770"/>
    <cellStyle name="Normal 10 3" xfId="1771"/>
    <cellStyle name="Normal 10 4" xfId="1772"/>
    <cellStyle name="Normal 10 5" xfId="1773"/>
    <cellStyle name="Normal 10 6" xfId="1774"/>
    <cellStyle name="Normal 10 7" xfId="1775"/>
    <cellStyle name="Normal 11" xfId="1776"/>
    <cellStyle name="Normal 11 2" xfId="1777"/>
    <cellStyle name="Normal 11 2 2" xfId="1778"/>
    <cellStyle name="Normal 11 3" xfId="1779"/>
    <cellStyle name="Normal 11 4" xfId="1780"/>
    <cellStyle name="Normal 11 5" xfId="1781"/>
    <cellStyle name="Normal 11 6" xfId="1782"/>
    <cellStyle name="Normal 11 7" xfId="1783"/>
    <cellStyle name="Normal 12" xfId="1784"/>
    <cellStyle name="Normal 12 2" xfId="1785"/>
    <cellStyle name="Normal 12 3" xfId="1786"/>
    <cellStyle name="Normal 12 4" xfId="1787"/>
    <cellStyle name="Normal 12 5" xfId="1788"/>
    <cellStyle name="Normal 13" xfId="1789"/>
    <cellStyle name="Normal 13 2" xfId="1790"/>
    <cellStyle name="Normal 13 3" xfId="1791"/>
    <cellStyle name="Normal 14" xfId="1792"/>
    <cellStyle name="Normal 14 2" xfId="1793"/>
    <cellStyle name="Normal 14 3" xfId="1794"/>
    <cellStyle name="Normal 15" xfId="1795"/>
    <cellStyle name="Normal 15 2" xfId="1796"/>
    <cellStyle name="Normal 15 2 2" xfId="1797"/>
    <cellStyle name="Normal 15 3" xfId="1798"/>
    <cellStyle name="Normal 15 4" xfId="1799"/>
    <cellStyle name="Normal 16" xfId="1800"/>
    <cellStyle name="Normal 16 2" xfId="1801"/>
    <cellStyle name="Normal 16 3" xfId="1802"/>
    <cellStyle name="Normal 17" xfId="1803"/>
    <cellStyle name="Normal 18" xfId="1804"/>
    <cellStyle name="Normal 18 2" xfId="1805"/>
    <cellStyle name="Normal 19" xfId="1806"/>
    <cellStyle name="Normal 2" xfId="15"/>
    <cellStyle name="Normal-- 2" xfId="1807"/>
    <cellStyle name="Normal 2 10" xfId="1808"/>
    <cellStyle name="Normal 2 10 2" xfId="1809"/>
    <cellStyle name="Normal 2 11" xfId="1810"/>
    <cellStyle name="Normal 2 11 2" xfId="1811"/>
    <cellStyle name="Normal 2 12" xfId="1812"/>
    <cellStyle name="Normal 2 12 2" xfId="1813"/>
    <cellStyle name="Normal 2 13" xfId="1814"/>
    <cellStyle name="Normal 2 13 2" xfId="1815"/>
    <cellStyle name="Normal 2 14" xfId="1816"/>
    <cellStyle name="Normal 2 14 2" xfId="1817"/>
    <cellStyle name="Normal 2 15" xfId="1818"/>
    <cellStyle name="Normal 2 15 2" xfId="1819"/>
    <cellStyle name="Normal 2 16" xfId="1820"/>
    <cellStyle name="Normal 2 16 2" xfId="1821"/>
    <cellStyle name="Normal 2 17" xfId="1822"/>
    <cellStyle name="Normal 2 17 2" xfId="1823"/>
    <cellStyle name="Normal 2 18" xfId="1824"/>
    <cellStyle name="Normal 2 18 2" xfId="1825"/>
    <cellStyle name="Normal 2 19" xfId="1826"/>
    <cellStyle name="Normal 2 19 2" xfId="1827"/>
    <cellStyle name="Normal 2 2" xfId="16"/>
    <cellStyle name="Normal 2 2 2" xfId="1828"/>
    <cellStyle name="Normal 2 2 2 2" xfId="1829"/>
    <cellStyle name="Normal 2 2 2 2 2" xfId="1830"/>
    <cellStyle name="Normal 2 2 2 3" xfId="1831"/>
    <cellStyle name="Normal 2 2 2 4" xfId="1832"/>
    <cellStyle name="Normal 2 2 2 5" xfId="1833"/>
    <cellStyle name="Normal 2 2 2 6" xfId="1834"/>
    <cellStyle name="Normal 2 2 3" xfId="1835"/>
    <cellStyle name="Normal 2 2 4" xfId="1836"/>
    <cellStyle name="Normal 2 2 4 2" xfId="1837"/>
    <cellStyle name="Normal 2 2 4 3" xfId="1838"/>
    <cellStyle name="Normal 2 2 5" xfId="1839"/>
    <cellStyle name="Normal 2 2 6" xfId="1840"/>
    <cellStyle name="Normal 2 20" xfId="1841"/>
    <cellStyle name="Normal 2 20 2" xfId="1842"/>
    <cellStyle name="Normal 2 21" xfId="1843"/>
    <cellStyle name="Normal 2 21 2" xfId="1844"/>
    <cellStyle name="Normal 2 22" xfId="1845"/>
    <cellStyle name="Normal 2 22 2" xfId="1846"/>
    <cellStyle name="Normal 2 23" xfId="1847"/>
    <cellStyle name="Normal 2 23 2" xfId="1848"/>
    <cellStyle name="Normal 2 24" xfId="1849"/>
    <cellStyle name="Normal 2 24 2" xfId="1850"/>
    <cellStyle name="Normal 2 24 2 2" xfId="1851"/>
    <cellStyle name="Normal 2 24 3" xfId="1852"/>
    <cellStyle name="Normal 2 24 4" xfId="1853"/>
    <cellStyle name="Normal 2 25" xfId="1854"/>
    <cellStyle name="Normal 2 25 2" xfId="1855"/>
    <cellStyle name="Normal 2 26" xfId="1856"/>
    <cellStyle name="Normal 2 26 2" xfId="1857"/>
    <cellStyle name="Normal 2 27" xfId="1858"/>
    <cellStyle name="Normal 2 27 2" xfId="1859"/>
    <cellStyle name="Normal 2 28" xfId="1860"/>
    <cellStyle name="Normal 2 28 2" xfId="1861"/>
    <cellStyle name="Normal 2 29" xfId="1862"/>
    <cellStyle name="Normal 2 29 2" xfId="1863"/>
    <cellStyle name="Normal 2 3" xfId="1864"/>
    <cellStyle name="Normal 2 3 2" xfId="1865"/>
    <cellStyle name="Normal 2 3 3" xfId="1866"/>
    <cellStyle name="Normal 2 30" xfId="1867"/>
    <cellStyle name="Normal 2 30 2" xfId="1868"/>
    <cellStyle name="Normal 2 31" xfId="1869"/>
    <cellStyle name="Normal 2 31 2" xfId="1870"/>
    <cellStyle name="Normal 2 32" xfId="1871"/>
    <cellStyle name="Normal 2 33" xfId="1872"/>
    <cellStyle name="Normal 2 34" xfId="1873"/>
    <cellStyle name="Normal 2 35" xfId="1874"/>
    <cellStyle name="Normal 2 36" xfId="1875"/>
    <cellStyle name="Normal 2 37" xfId="1876"/>
    <cellStyle name="Normal 2 38" xfId="1877"/>
    <cellStyle name="Normal 2 39" xfId="1878"/>
    <cellStyle name="Normal 2 4" xfId="1879"/>
    <cellStyle name="Normal 2 4 2" xfId="1880"/>
    <cellStyle name="Normal 2 4 3" xfId="1881"/>
    <cellStyle name="Normal 2 4 4" xfId="1882"/>
    <cellStyle name="Normal 2 40" xfId="1883"/>
    <cellStyle name="Normal 2 41" xfId="1884"/>
    <cellStyle name="Normal 2 42" xfId="1885"/>
    <cellStyle name="Normal 2 43" xfId="1886"/>
    <cellStyle name="Normal 2 44" xfId="1887"/>
    <cellStyle name="Normal 2 45" xfId="1888"/>
    <cellStyle name="Normal 2 46" xfId="1889"/>
    <cellStyle name="Normal 2 47" xfId="1890"/>
    <cellStyle name="Normal 2 5" xfId="1891"/>
    <cellStyle name="Normal 2 5 2" xfId="1892"/>
    <cellStyle name="Normal 2 5 3" xfId="1893"/>
    <cellStyle name="Normal 2 6" xfId="1894"/>
    <cellStyle name="Normal 2 6 2" xfId="1895"/>
    <cellStyle name="Normal 2 7" xfId="1896"/>
    <cellStyle name="Normal 2 7 2" xfId="1897"/>
    <cellStyle name="Normal 2 8" xfId="1898"/>
    <cellStyle name="Normal 2 8 2" xfId="1899"/>
    <cellStyle name="Normal 2 9" xfId="1900"/>
    <cellStyle name="Normal 2 9 2" xfId="1901"/>
    <cellStyle name="Normal 20" xfId="1902"/>
    <cellStyle name="Normal 21" xfId="1903"/>
    <cellStyle name="Normal 22" xfId="1904"/>
    <cellStyle name="Normal 23" xfId="1905"/>
    <cellStyle name="Normal 24" xfId="1906"/>
    <cellStyle name="Normal 25" xfId="1907"/>
    <cellStyle name="Normal 25 10" xfId="1908"/>
    <cellStyle name="Normal 25 100" xfId="1909"/>
    <cellStyle name="Normal 25 101" xfId="1910"/>
    <cellStyle name="Normal 25 102" xfId="1911"/>
    <cellStyle name="Normal 25 103" xfId="1912"/>
    <cellStyle name="Normal 25 104" xfId="1913"/>
    <cellStyle name="Normal 25 105" xfId="1914"/>
    <cellStyle name="Normal 25 106" xfId="1915"/>
    <cellStyle name="Normal 25 107" xfId="1916"/>
    <cellStyle name="Normal 25 108" xfId="1917"/>
    <cellStyle name="Normal 25 109" xfId="1918"/>
    <cellStyle name="Normal 25 11" xfId="1919"/>
    <cellStyle name="Normal 25 12" xfId="1920"/>
    <cellStyle name="Normal 25 13" xfId="1921"/>
    <cellStyle name="Normal 25 14" xfId="1922"/>
    <cellStyle name="Normal 25 15" xfId="1923"/>
    <cellStyle name="Normal 25 16" xfId="1924"/>
    <cellStyle name="Normal 25 17" xfId="1925"/>
    <cellStyle name="Normal 25 18" xfId="1926"/>
    <cellStyle name="Normal 25 19" xfId="1927"/>
    <cellStyle name="Normal 25 2" xfId="1928"/>
    <cellStyle name="Normal 25 20" xfId="1929"/>
    <cellStyle name="Normal 25 21" xfId="1930"/>
    <cellStyle name="Normal 25 22" xfId="1931"/>
    <cellStyle name="Normal 25 23" xfId="1932"/>
    <cellStyle name="Normal 25 24" xfId="1933"/>
    <cellStyle name="Normal 25 25" xfId="1934"/>
    <cellStyle name="Normal 25 26" xfId="1935"/>
    <cellStyle name="Normal 25 27" xfId="1936"/>
    <cellStyle name="Normal 25 28" xfId="1937"/>
    <cellStyle name="Normal 25 29" xfId="1938"/>
    <cellStyle name="Normal 25 3" xfId="1939"/>
    <cellStyle name="Normal 25 30" xfId="1940"/>
    <cellStyle name="Normal 25 31" xfId="1941"/>
    <cellStyle name="Normal 25 32" xfId="1942"/>
    <cellStyle name="Normal 25 33" xfId="1943"/>
    <cellStyle name="Normal 25 34" xfId="1944"/>
    <cellStyle name="Normal 25 35" xfId="1945"/>
    <cellStyle name="Normal 25 36" xfId="1946"/>
    <cellStyle name="Normal 25 37" xfId="1947"/>
    <cellStyle name="Normal 25 38" xfId="1948"/>
    <cellStyle name="Normal 25 39" xfId="1949"/>
    <cellStyle name="Normal 25 4" xfId="1950"/>
    <cellStyle name="Normal 25 40" xfId="1951"/>
    <cellStyle name="Normal 25 41" xfId="1952"/>
    <cellStyle name="Normal 25 42" xfId="1953"/>
    <cellStyle name="Normal 25 43" xfId="1954"/>
    <cellStyle name="Normal 25 44" xfId="1955"/>
    <cellStyle name="Normal 25 45" xfId="1956"/>
    <cellStyle name="Normal 25 46" xfId="1957"/>
    <cellStyle name="Normal 25 47" xfId="1958"/>
    <cellStyle name="Normal 25 48" xfId="1959"/>
    <cellStyle name="Normal 25 49" xfId="1960"/>
    <cellStyle name="Normal 25 5" xfId="1961"/>
    <cellStyle name="Normal 25 50" xfId="1962"/>
    <cellStyle name="Normal 25 51" xfId="1963"/>
    <cellStyle name="Normal 25 52" xfId="1964"/>
    <cellStyle name="Normal 25 53" xfId="1965"/>
    <cellStyle name="Normal 25 54" xfId="1966"/>
    <cellStyle name="Normal 25 55" xfId="1967"/>
    <cellStyle name="Normal 25 56" xfId="1968"/>
    <cellStyle name="Normal 25 57" xfId="1969"/>
    <cellStyle name="Normal 25 58" xfId="1970"/>
    <cellStyle name="Normal 25 59" xfId="1971"/>
    <cellStyle name="Normal 25 6" xfId="1972"/>
    <cellStyle name="Normal 25 60" xfId="1973"/>
    <cellStyle name="Normal 25 61" xfId="1974"/>
    <cellStyle name="Normal 25 62" xfId="1975"/>
    <cellStyle name="Normal 25 63" xfId="1976"/>
    <cellStyle name="Normal 25 64" xfId="1977"/>
    <cellStyle name="Normal 25 65" xfId="1978"/>
    <cellStyle name="Normal 25 66" xfId="1979"/>
    <cellStyle name="Normal 25 67" xfId="1980"/>
    <cellStyle name="Normal 25 68" xfId="1981"/>
    <cellStyle name="Normal 25 69" xfId="1982"/>
    <cellStyle name="Normal 25 7" xfId="1983"/>
    <cellStyle name="Normal 25 70" xfId="1984"/>
    <cellStyle name="Normal 25 71" xfId="1985"/>
    <cellStyle name="Normal 25 72" xfId="1986"/>
    <cellStyle name="Normal 25 73" xfId="1987"/>
    <cellStyle name="Normal 25 74" xfId="1988"/>
    <cellStyle name="Normal 25 75" xfId="1989"/>
    <cellStyle name="Normal 25 76" xfId="1990"/>
    <cellStyle name="Normal 25 77" xfId="1991"/>
    <cellStyle name="Normal 25 78" xfId="1992"/>
    <cellStyle name="Normal 25 79" xfId="1993"/>
    <cellStyle name="Normal 25 8" xfId="1994"/>
    <cellStyle name="Normal 25 80" xfId="1995"/>
    <cellStyle name="Normal 25 81" xfId="1996"/>
    <cellStyle name="Normal 25 82" xfId="1997"/>
    <cellStyle name="Normal 25 83" xfId="1998"/>
    <cellStyle name="Normal 25 84" xfId="1999"/>
    <cellStyle name="Normal 25 85" xfId="2000"/>
    <cellStyle name="Normal 25 86" xfId="2001"/>
    <cellStyle name="Normal 25 87" xfId="2002"/>
    <cellStyle name="Normal 25 88" xfId="2003"/>
    <cellStyle name="Normal 25 89" xfId="2004"/>
    <cellStyle name="Normal 25 9" xfId="2005"/>
    <cellStyle name="Normal 25 90" xfId="2006"/>
    <cellStyle name="Normal 25 91" xfId="2007"/>
    <cellStyle name="Normal 25 92" xfId="2008"/>
    <cellStyle name="Normal 25 93" xfId="2009"/>
    <cellStyle name="Normal 25 94" xfId="2010"/>
    <cellStyle name="Normal 25 95" xfId="2011"/>
    <cellStyle name="Normal 25 96" xfId="2012"/>
    <cellStyle name="Normal 25 97" xfId="2013"/>
    <cellStyle name="Normal 25 98" xfId="2014"/>
    <cellStyle name="Normal 25 99" xfId="2015"/>
    <cellStyle name="Normal 26" xfId="2016"/>
    <cellStyle name="Normal 26 10" xfId="2017"/>
    <cellStyle name="Normal 26 100" xfId="2018"/>
    <cellStyle name="Normal 26 101" xfId="2019"/>
    <cellStyle name="Normal 26 102" xfId="2020"/>
    <cellStyle name="Normal 26 103" xfId="2021"/>
    <cellStyle name="Normal 26 104" xfId="2022"/>
    <cellStyle name="Normal 26 105" xfId="2023"/>
    <cellStyle name="Normal 26 106" xfId="2024"/>
    <cellStyle name="Normal 26 107" xfId="2025"/>
    <cellStyle name="Normal 26 108" xfId="2026"/>
    <cellStyle name="Normal 26 109" xfId="2027"/>
    <cellStyle name="Normal 26 11" xfId="2028"/>
    <cellStyle name="Normal 26 12" xfId="2029"/>
    <cellStyle name="Normal 26 13" xfId="2030"/>
    <cellStyle name="Normal 26 14" xfId="2031"/>
    <cellStyle name="Normal 26 15" xfId="2032"/>
    <cellStyle name="Normal 26 16" xfId="2033"/>
    <cellStyle name="Normal 26 17" xfId="2034"/>
    <cellStyle name="Normal 26 18" xfId="2035"/>
    <cellStyle name="Normal 26 19" xfId="2036"/>
    <cellStyle name="Normal 26 2" xfId="2037"/>
    <cellStyle name="Normal 26 20" xfId="2038"/>
    <cellStyle name="Normal 26 21" xfId="2039"/>
    <cellStyle name="Normal 26 22" xfId="2040"/>
    <cellStyle name="Normal 26 23" xfId="2041"/>
    <cellStyle name="Normal 26 24" xfId="2042"/>
    <cellStyle name="Normal 26 25" xfId="2043"/>
    <cellStyle name="Normal 26 26" xfId="2044"/>
    <cellStyle name="Normal 26 27" xfId="2045"/>
    <cellStyle name="Normal 26 28" xfId="2046"/>
    <cellStyle name="Normal 26 29" xfId="2047"/>
    <cellStyle name="Normal 26 3" xfId="2048"/>
    <cellStyle name="Normal 26 30" xfId="2049"/>
    <cellStyle name="Normal 26 31" xfId="2050"/>
    <cellStyle name="Normal 26 32" xfId="2051"/>
    <cellStyle name="Normal 26 33" xfId="2052"/>
    <cellStyle name="Normal 26 34" xfId="2053"/>
    <cellStyle name="Normal 26 35" xfId="2054"/>
    <cellStyle name="Normal 26 36" xfId="2055"/>
    <cellStyle name="Normal 26 37" xfId="2056"/>
    <cellStyle name="Normal 26 38" xfId="2057"/>
    <cellStyle name="Normal 26 39" xfId="2058"/>
    <cellStyle name="Normal 26 4" xfId="2059"/>
    <cellStyle name="Normal 26 40" xfId="2060"/>
    <cellStyle name="Normal 26 41" xfId="2061"/>
    <cellStyle name="Normal 26 42" xfId="2062"/>
    <cellStyle name="Normal 26 43" xfId="2063"/>
    <cellStyle name="Normal 26 44" xfId="2064"/>
    <cellStyle name="Normal 26 45" xfId="2065"/>
    <cellStyle name="Normal 26 46" xfId="2066"/>
    <cellStyle name="Normal 26 47" xfId="2067"/>
    <cellStyle name="Normal 26 48" xfId="2068"/>
    <cellStyle name="Normal 26 49" xfId="2069"/>
    <cellStyle name="Normal 26 5" xfId="2070"/>
    <cellStyle name="Normal 26 50" xfId="2071"/>
    <cellStyle name="Normal 26 51" xfId="2072"/>
    <cellStyle name="Normal 26 52" xfId="2073"/>
    <cellStyle name="Normal 26 53" xfId="2074"/>
    <cellStyle name="Normal 26 54" xfId="2075"/>
    <cellStyle name="Normal 26 55" xfId="2076"/>
    <cellStyle name="Normal 26 56" xfId="2077"/>
    <cellStyle name="Normal 26 57" xfId="2078"/>
    <cellStyle name="Normal 26 58" xfId="2079"/>
    <cellStyle name="Normal 26 59" xfId="2080"/>
    <cellStyle name="Normal 26 6" xfId="2081"/>
    <cellStyle name="Normal 26 60" xfId="2082"/>
    <cellStyle name="Normal 26 61" xfId="2083"/>
    <cellStyle name="Normal 26 62" xfId="2084"/>
    <cellStyle name="Normal 26 63" xfId="2085"/>
    <cellStyle name="Normal 26 64" xfId="2086"/>
    <cellStyle name="Normal 26 65" xfId="2087"/>
    <cellStyle name="Normal 26 66" xfId="2088"/>
    <cellStyle name="Normal 26 67" xfId="2089"/>
    <cellStyle name="Normal 26 68" xfId="2090"/>
    <cellStyle name="Normal 26 69" xfId="2091"/>
    <cellStyle name="Normal 26 7" xfId="2092"/>
    <cellStyle name="Normal 26 70" xfId="2093"/>
    <cellStyle name="Normal 26 71" xfId="2094"/>
    <cellStyle name="Normal 26 72" xfId="2095"/>
    <cellStyle name="Normal 26 73" xfId="2096"/>
    <cellStyle name="Normal 26 74" xfId="2097"/>
    <cellStyle name="Normal 26 75" xfId="2098"/>
    <cellStyle name="Normal 26 76" xfId="2099"/>
    <cellStyle name="Normal 26 77" xfId="2100"/>
    <cellStyle name="Normal 26 78" xfId="2101"/>
    <cellStyle name="Normal 26 79" xfId="2102"/>
    <cellStyle name="Normal 26 8" xfId="2103"/>
    <cellStyle name="Normal 26 80" xfId="2104"/>
    <cellStyle name="Normal 26 81" xfId="2105"/>
    <cellStyle name="Normal 26 82" xfId="2106"/>
    <cellStyle name="Normal 26 83" xfId="2107"/>
    <cellStyle name="Normal 26 84" xfId="2108"/>
    <cellStyle name="Normal 26 85" xfId="2109"/>
    <cellStyle name="Normal 26 86" xfId="2110"/>
    <cellStyle name="Normal 26 87" xfId="2111"/>
    <cellStyle name="Normal 26 88" xfId="2112"/>
    <cellStyle name="Normal 26 89" xfId="2113"/>
    <cellStyle name="Normal 26 9" xfId="2114"/>
    <cellStyle name="Normal 26 90" xfId="2115"/>
    <cellStyle name="Normal 26 91" xfId="2116"/>
    <cellStyle name="Normal 26 92" xfId="2117"/>
    <cellStyle name="Normal 26 93" xfId="2118"/>
    <cellStyle name="Normal 26 94" xfId="2119"/>
    <cellStyle name="Normal 26 95" xfId="2120"/>
    <cellStyle name="Normal 26 96" xfId="2121"/>
    <cellStyle name="Normal 26 97" xfId="2122"/>
    <cellStyle name="Normal 26 98" xfId="2123"/>
    <cellStyle name="Normal 26 99" xfId="2124"/>
    <cellStyle name="Normal 27" xfId="2125"/>
    <cellStyle name="Normal 27 10" xfId="2126"/>
    <cellStyle name="Normal 27 100" xfId="2127"/>
    <cellStyle name="Normal 27 101" xfId="2128"/>
    <cellStyle name="Normal 27 102" xfId="2129"/>
    <cellStyle name="Normal 27 103" xfId="2130"/>
    <cellStyle name="Normal 27 104" xfId="2131"/>
    <cellStyle name="Normal 27 105" xfId="2132"/>
    <cellStyle name="Normal 27 106" xfId="2133"/>
    <cellStyle name="Normal 27 107" xfId="2134"/>
    <cellStyle name="Normal 27 108" xfId="2135"/>
    <cellStyle name="Normal 27 109" xfId="2136"/>
    <cellStyle name="Normal 27 11" xfId="2137"/>
    <cellStyle name="Normal 27 12" xfId="2138"/>
    <cellStyle name="Normal 27 13" xfId="2139"/>
    <cellStyle name="Normal 27 14" xfId="2140"/>
    <cellStyle name="Normal 27 15" xfId="2141"/>
    <cellStyle name="Normal 27 16" xfId="2142"/>
    <cellStyle name="Normal 27 17" xfId="2143"/>
    <cellStyle name="Normal 27 18" xfId="2144"/>
    <cellStyle name="Normal 27 19" xfId="2145"/>
    <cellStyle name="Normal 27 2" xfId="2146"/>
    <cellStyle name="Normal 27 20" xfId="2147"/>
    <cellStyle name="Normal 27 21" xfId="2148"/>
    <cellStyle name="Normal 27 22" xfId="2149"/>
    <cellStyle name="Normal 27 23" xfId="2150"/>
    <cellStyle name="Normal 27 24" xfId="2151"/>
    <cellStyle name="Normal 27 25" xfId="2152"/>
    <cellStyle name="Normal 27 26" xfId="2153"/>
    <cellStyle name="Normal 27 27" xfId="2154"/>
    <cellStyle name="Normal 27 28" xfId="2155"/>
    <cellStyle name="Normal 27 29" xfId="2156"/>
    <cellStyle name="Normal 27 3" xfId="2157"/>
    <cellStyle name="Normal 27 30" xfId="2158"/>
    <cellStyle name="Normal 27 31" xfId="2159"/>
    <cellStyle name="Normal 27 32" xfId="2160"/>
    <cellStyle name="Normal 27 33" xfId="2161"/>
    <cellStyle name="Normal 27 34" xfId="2162"/>
    <cellStyle name="Normal 27 35" xfId="2163"/>
    <cellStyle name="Normal 27 36" xfId="2164"/>
    <cellStyle name="Normal 27 37" xfId="2165"/>
    <cellStyle name="Normal 27 38" xfId="2166"/>
    <cellStyle name="Normal 27 39" xfId="2167"/>
    <cellStyle name="Normal 27 4" xfId="2168"/>
    <cellStyle name="Normal 27 40" xfId="2169"/>
    <cellStyle name="Normal 27 41" xfId="2170"/>
    <cellStyle name="Normal 27 42" xfId="2171"/>
    <cellStyle name="Normal 27 43" xfId="2172"/>
    <cellStyle name="Normal 27 44" xfId="2173"/>
    <cellStyle name="Normal 27 45" xfId="2174"/>
    <cellStyle name="Normal 27 46" xfId="2175"/>
    <cellStyle name="Normal 27 47" xfId="2176"/>
    <cellStyle name="Normal 27 48" xfId="2177"/>
    <cellStyle name="Normal 27 49" xfId="2178"/>
    <cellStyle name="Normal 27 5" xfId="2179"/>
    <cellStyle name="Normal 27 50" xfId="2180"/>
    <cellStyle name="Normal 27 51" xfId="2181"/>
    <cellStyle name="Normal 27 52" xfId="2182"/>
    <cellStyle name="Normal 27 53" xfId="2183"/>
    <cellStyle name="Normal 27 54" xfId="2184"/>
    <cellStyle name="Normal 27 55" xfId="2185"/>
    <cellStyle name="Normal 27 56" xfId="2186"/>
    <cellStyle name="Normal 27 57" xfId="2187"/>
    <cellStyle name="Normal 27 58" xfId="2188"/>
    <cellStyle name="Normal 27 59" xfId="2189"/>
    <cellStyle name="Normal 27 6" xfId="2190"/>
    <cellStyle name="Normal 27 60" xfId="2191"/>
    <cellStyle name="Normal 27 61" xfId="2192"/>
    <cellStyle name="Normal 27 62" xfId="2193"/>
    <cellStyle name="Normal 27 63" xfId="2194"/>
    <cellStyle name="Normal 27 64" xfId="2195"/>
    <cellStyle name="Normal 27 65" xfId="2196"/>
    <cellStyle name="Normal 27 66" xfId="2197"/>
    <cellStyle name="Normal 27 67" xfId="2198"/>
    <cellStyle name="Normal 27 68" xfId="2199"/>
    <cellStyle name="Normal 27 69" xfId="2200"/>
    <cellStyle name="Normal 27 7" xfId="2201"/>
    <cellStyle name="Normal 27 70" xfId="2202"/>
    <cellStyle name="Normal 27 71" xfId="2203"/>
    <cellStyle name="Normal 27 72" xfId="2204"/>
    <cellStyle name="Normal 27 73" xfId="2205"/>
    <cellStyle name="Normal 27 74" xfId="2206"/>
    <cellStyle name="Normal 27 75" xfId="2207"/>
    <cellStyle name="Normal 27 76" xfId="2208"/>
    <cellStyle name="Normal 27 77" xfId="2209"/>
    <cellStyle name="Normal 27 78" xfId="2210"/>
    <cellStyle name="Normal 27 79" xfId="2211"/>
    <cellStyle name="Normal 27 8" xfId="2212"/>
    <cellStyle name="Normal 27 80" xfId="2213"/>
    <cellStyle name="Normal 27 81" xfId="2214"/>
    <cellStyle name="Normal 27 82" xfId="2215"/>
    <cellStyle name="Normal 27 83" xfId="2216"/>
    <cellStyle name="Normal 27 84" xfId="2217"/>
    <cellStyle name="Normal 27 85" xfId="2218"/>
    <cellStyle name="Normal 27 86" xfId="2219"/>
    <cellStyle name="Normal 27 87" xfId="2220"/>
    <cellStyle name="Normal 27 88" xfId="2221"/>
    <cellStyle name="Normal 27 89" xfId="2222"/>
    <cellStyle name="Normal 27 9" xfId="2223"/>
    <cellStyle name="Normal 27 90" xfId="2224"/>
    <cellStyle name="Normal 27 91" xfId="2225"/>
    <cellStyle name="Normal 27 92" xfId="2226"/>
    <cellStyle name="Normal 27 93" xfId="2227"/>
    <cellStyle name="Normal 27 94" xfId="2228"/>
    <cellStyle name="Normal 27 95" xfId="2229"/>
    <cellStyle name="Normal 27 96" xfId="2230"/>
    <cellStyle name="Normal 27 97" xfId="2231"/>
    <cellStyle name="Normal 27 98" xfId="2232"/>
    <cellStyle name="Normal 27 99" xfId="2233"/>
    <cellStyle name="Normal 28" xfId="2234"/>
    <cellStyle name="Normal 28 10" xfId="2235"/>
    <cellStyle name="Normal 28 100" xfId="2236"/>
    <cellStyle name="Normal 28 101" xfId="2237"/>
    <cellStyle name="Normal 28 102" xfId="2238"/>
    <cellStyle name="Normal 28 103" xfId="2239"/>
    <cellStyle name="Normal 28 104" xfId="2240"/>
    <cellStyle name="Normal 28 105" xfId="2241"/>
    <cellStyle name="Normal 28 106" xfId="2242"/>
    <cellStyle name="Normal 28 107" xfId="2243"/>
    <cellStyle name="Normal 28 108" xfId="2244"/>
    <cellStyle name="Normal 28 109" xfId="2245"/>
    <cellStyle name="Normal 28 11" xfId="2246"/>
    <cellStyle name="Normal 28 12" xfId="2247"/>
    <cellStyle name="Normal 28 13" xfId="2248"/>
    <cellStyle name="Normal 28 14" xfId="2249"/>
    <cellStyle name="Normal 28 15" xfId="2250"/>
    <cellStyle name="Normal 28 16" xfId="2251"/>
    <cellStyle name="Normal 28 17" xfId="2252"/>
    <cellStyle name="Normal 28 18" xfId="2253"/>
    <cellStyle name="Normal 28 19" xfId="2254"/>
    <cellStyle name="Normal 28 2" xfId="2255"/>
    <cellStyle name="Normal 28 20" xfId="2256"/>
    <cellStyle name="Normal 28 21" xfId="2257"/>
    <cellStyle name="Normal 28 22" xfId="2258"/>
    <cellStyle name="Normal 28 23" xfId="2259"/>
    <cellStyle name="Normal 28 24" xfId="2260"/>
    <cellStyle name="Normal 28 25" xfId="2261"/>
    <cellStyle name="Normal 28 26" xfId="2262"/>
    <cellStyle name="Normal 28 27" xfId="2263"/>
    <cellStyle name="Normal 28 28" xfId="2264"/>
    <cellStyle name="Normal 28 29" xfId="2265"/>
    <cellStyle name="Normal 28 3" xfId="2266"/>
    <cellStyle name="Normal 28 30" xfId="2267"/>
    <cellStyle name="Normal 28 31" xfId="2268"/>
    <cellStyle name="Normal 28 32" xfId="2269"/>
    <cellStyle name="Normal 28 33" xfId="2270"/>
    <cellStyle name="Normal 28 34" xfId="2271"/>
    <cellStyle name="Normal 28 35" xfId="2272"/>
    <cellStyle name="Normal 28 36" xfId="2273"/>
    <cellStyle name="Normal 28 37" xfId="2274"/>
    <cellStyle name="Normal 28 38" xfId="2275"/>
    <cellStyle name="Normal 28 39" xfId="2276"/>
    <cellStyle name="Normal 28 4" xfId="2277"/>
    <cellStyle name="Normal 28 40" xfId="2278"/>
    <cellStyle name="Normal 28 41" xfId="2279"/>
    <cellStyle name="Normal 28 42" xfId="2280"/>
    <cellStyle name="Normal 28 43" xfId="2281"/>
    <cellStyle name="Normal 28 44" xfId="2282"/>
    <cellStyle name="Normal 28 45" xfId="2283"/>
    <cellStyle name="Normal 28 46" xfId="2284"/>
    <cellStyle name="Normal 28 47" xfId="2285"/>
    <cellStyle name="Normal 28 48" xfId="2286"/>
    <cellStyle name="Normal 28 49" xfId="2287"/>
    <cellStyle name="Normal 28 5" xfId="2288"/>
    <cellStyle name="Normal 28 50" xfId="2289"/>
    <cellStyle name="Normal 28 51" xfId="2290"/>
    <cellStyle name="Normal 28 52" xfId="2291"/>
    <cellStyle name="Normal 28 53" xfId="2292"/>
    <cellStyle name="Normal 28 54" xfId="2293"/>
    <cellStyle name="Normal 28 55" xfId="2294"/>
    <cellStyle name="Normal 28 56" xfId="2295"/>
    <cellStyle name="Normal 28 57" xfId="2296"/>
    <cellStyle name="Normal 28 58" xfId="2297"/>
    <cellStyle name="Normal 28 59" xfId="2298"/>
    <cellStyle name="Normal 28 6" xfId="2299"/>
    <cellStyle name="Normal 28 60" xfId="2300"/>
    <cellStyle name="Normal 28 61" xfId="2301"/>
    <cellStyle name="Normal 28 62" xfId="2302"/>
    <cellStyle name="Normal 28 63" xfId="2303"/>
    <cellStyle name="Normal 28 64" xfId="2304"/>
    <cellStyle name="Normal 28 65" xfId="2305"/>
    <cellStyle name="Normal 28 66" xfId="2306"/>
    <cellStyle name="Normal 28 67" xfId="2307"/>
    <cellStyle name="Normal 28 68" xfId="2308"/>
    <cellStyle name="Normal 28 69" xfId="2309"/>
    <cellStyle name="Normal 28 7" xfId="2310"/>
    <cellStyle name="Normal 28 70" xfId="2311"/>
    <cellStyle name="Normal 28 71" xfId="2312"/>
    <cellStyle name="Normal 28 72" xfId="2313"/>
    <cellStyle name="Normal 28 73" xfId="2314"/>
    <cellStyle name="Normal 28 74" xfId="2315"/>
    <cellStyle name="Normal 28 75" xfId="2316"/>
    <cellStyle name="Normal 28 76" xfId="2317"/>
    <cellStyle name="Normal 28 77" xfId="2318"/>
    <cellStyle name="Normal 28 78" xfId="2319"/>
    <cellStyle name="Normal 28 79" xfId="2320"/>
    <cellStyle name="Normal 28 8" xfId="2321"/>
    <cellStyle name="Normal 28 80" xfId="2322"/>
    <cellStyle name="Normal 28 81" xfId="2323"/>
    <cellStyle name="Normal 28 82" xfId="2324"/>
    <cellStyle name="Normal 28 83" xfId="2325"/>
    <cellStyle name="Normal 28 84" xfId="2326"/>
    <cellStyle name="Normal 28 85" xfId="2327"/>
    <cellStyle name="Normal 28 86" xfId="2328"/>
    <cellStyle name="Normal 28 87" xfId="2329"/>
    <cellStyle name="Normal 28 88" xfId="2330"/>
    <cellStyle name="Normal 28 89" xfId="2331"/>
    <cellStyle name="Normal 28 9" xfId="2332"/>
    <cellStyle name="Normal 28 90" xfId="2333"/>
    <cellStyle name="Normal 28 91" xfId="2334"/>
    <cellStyle name="Normal 28 92" xfId="2335"/>
    <cellStyle name="Normal 28 93" xfId="2336"/>
    <cellStyle name="Normal 28 94" xfId="2337"/>
    <cellStyle name="Normal 28 95" xfId="2338"/>
    <cellStyle name="Normal 28 96" xfId="2339"/>
    <cellStyle name="Normal 28 97" xfId="2340"/>
    <cellStyle name="Normal 28 98" xfId="2341"/>
    <cellStyle name="Normal 28 99" xfId="2342"/>
    <cellStyle name="Normal 29" xfId="2343"/>
    <cellStyle name="Normal 29 10" xfId="2344"/>
    <cellStyle name="Normal 29 100" xfId="2345"/>
    <cellStyle name="Normal 29 101" xfId="2346"/>
    <cellStyle name="Normal 29 102" xfId="2347"/>
    <cellStyle name="Normal 29 103" xfId="2348"/>
    <cellStyle name="Normal 29 104" xfId="2349"/>
    <cellStyle name="Normal 29 105" xfId="2350"/>
    <cellStyle name="Normal 29 106" xfId="2351"/>
    <cellStyle name="Normal 29 107" xfId="2352"/>
    <cellStyle name="Normal 29 108" xfId="2353"/>
    <cellStyle name="Normal 29 109" xfId="2354"/>
    <cellStyle name="Normal 29 11" xfId="2355"/>
    <cellStyle name="Normal 29 12" xfId="2356"/>
    <cellStyle name="Normal 29 13" xfId="2357"/>
    <cellStyle name="Normal 29 14" xfId="2358"/>
    <cellStyle name="Normal 29 15" xfId="2359"/>
    <cellStyle name="Normal 29 16" xfId="2360"/>
    <cellStyle name="Normal 29 17" xfId="2361"/>
    <cellStyle name="Normal 29 18" xfId="2362"/>
    <cellStyle name="Normal 29 19" xfId="2363"/>
    <cellStyle name="Normal 29 2" xfId="2364"/>
    <cellStyle name="Normal 29 20" xfId="2365"/>
    <cellStyle name="Normal 29 21" xfId="2366"/>
    <cellStyle name="Normal 29 22" xfId="2367"/>
    <cellStyle name="Normal 29 23" xfId="2368"/>
    <cellStyle name="Normal 29 24" xfId="2369"/>
    <cellStyle name="Normal 29 25" xfId="2370"/>
    <cellStyle name="Normal 29 26" xfId="2371"/>
    <cellStyle name="Normal 29 27" xfId="2372"/>
    <cellStyle name="Normal 29 28" xfId="2373"/>
    <cellStyle name="Normal 29 29" xfId="2374"/>
    <cellStyle name="Normal 29 3" xfId="2375"/>
    <cellStyle name="Normal 29 30" xfId="2376"/>
    <cellStyle name="Normal 29 31" xfId="2377"/>
    <cellStyle name="Normal 29 32" xfId="2378"/>
    <cellStyle name="Normal 29 33" xfId="2379"/>
    <cellStyle name="Normal 29 34" xfId="2380"/>
    <cellStyle name="Normal 29 35" xfId="2381"/>
    <cellStyle name="Normal 29 36" xfId="2382"/>
    <cellStyle name="Normal 29 37" xfId="2383"/>
    <cellStyle name="Normal 29 38" xfId="2384"/>
    <cellStyle name="Normal 29 39" xfId="2385"/>
    <cellStyle name="Normal 29 4" xfId="2386"/>
    <cellStyle name="Normal 29 40" xfId="2387"/>
    <cellStyle name="Normal 29 41" xfId="2388"/>
    <cellStyle name="Normal 29 42" xfId="2389"/>
    <cellStyle name="Normal 29 43" xfId="2390"/>
    <cellStyle name="Normal 29 44" xfId="2391"/>
    <cellStyle name="Normal 29 45" xfId="2392"/>
    <cellStyle name="Normal 29 46" xfId="2393"/>
    <cellStyle name="Normal 29 47" xfId="2394"/>
    <cellStyle name="Normal 29 48" xfId="2395"/>
    <cellStyle name="Normal 29 49" xfId="2396"/>
    <cellStyle name="Normal 29 5" xfId="2397"/>
    <cellStyle name="Normal 29 50" xfId="2398"/>
    <cellStyle name="Normal 29 51" xfId="2399"/>
    <cellStyle name="Normal 29 52" xfId="2400"/>
    <cellStyle name="Normal 29 53" xfId="2401"/>
    <cellStyle name="Normal 29 54" xfId="2402"/>
    <cellStyle name="Normal 29 55" xfId="2403"/>
    <cellStyle name="Normal 29 56" xfId="2404"/>
    <cellStyle name="Normal 29 57" xfId="2405"/>
    <cellStyle name="Normal 29 58" xfId="2406"/>
    <cellStyle name="Normal 29 59" xfId="2407"/>
    <cellStyle name="Normal 29 6" xfId="2408"/>
    <cellStyle name="Normal 29 60" xfId="2409"/>
    <cellStyle name="Normal 29 61" xfId="2410"/>
    <cellStyle name="Normal 29 62" xfId="2411"/>
    <cellStyle name="Normal 29 63" xfId="2412"/>
    <cellStyle name="Normal 29 64" xfId="2413"/>
    <cellStyle name="Normal 29 65" xfId="2414"/>
    <cellStyle name="Normal 29 66" xfId="2415"/>
    <cellStyle name="Normal 29 67" xfId="2416"/>
    <cellStyle name="Normal 29 68" xfId="2417"/>
    <cellStyle name="Normal 29 69" xfId="2418"/>
    <cellStyle name="Normal 29 7" xfId="2419"/>
    <cellStyle name="Normal 29 70" xfId="2420"/>
    <cellStyle name="Normal 29 71" xfId="2421"/>
    <cellStyle name="Normal 29 72" xfId="2422"/>
    <cellStyle name="Normal 29 73" xfId="2423"/>
    <cellStyle name="Normal 29 74" xfId="2424"/>
    <cellStyle name="Normal 29 75" xfId="2425"/>
    <cellStyle name="Normal 29 76" xfId="2426"/>
    <cellStyle name="Normal 29 77" xfId="2427"/>
    <cellStyle name="Normal 29 78" xfId="2428"/>
    <cellStyle name="Normal 29 79" xfId="2429"/>
    <cellStyle name="Normal 29 8" xfId="2430"/>
    <cellStyle name="Normal 29 80" xfId="2431"/>
    <cellStyle name="Normal 29 81" xfId="2432"/>
    <cellStyle name="Normal 29 82" xfId="2433"/>
    <cellStyle name="Normal 29 83" xfId="2434"/>
    <cellStyle name="Normal 29 84" xfId="2435"/>
    <cellStyle name="Normal 29 85" xfId="2436"/>
    <cellStyle name="Normal 29 86" xfId="2437"/>
    <cellStyle name="Normal 29 87" xfId="2438"/>
    <cellStyle name="Normal 29 88" xfId="2439"/>
    <cellStyle name="Normal 29 89" xfId="2440"/>
    <cellStyle name="Normal 29 9" xfId="2441"/>
    <cellStyle name="Normal 29 90" xfId="2442"/>
    <cellStyle name="Normal 29 91" xfId="2443"/>
    <cellStyle name="Normal 29 92" xfId="2444"/>
    <cellStyle name="Normal 29 93" xfId="2445"/>
    <cellStyle name="Normal 29 94" xfId="2446"/>
    <cellStyle name="Normal 29 95" xfId="2447"/>
    <cellStyle name="Normal 29 96" xfId="2448"/>
    <cellStyle name="Normal 29 97" xfId="2449"/>
    <cellStyle name="Normal 29 98" xfId="2450"/>
    <cellStyle name="Normal 29 99" xfId="2451"/>
    <cellStyle name="Normal 3" xfId="17"/>
    <cellStyle name="Normal-- 3" xfId="2452"/>
    <cellStyle name="Normal 3 10" xfId="2453"/>
    <cellStyle name="Normal 3 11" xfId="2454"/>
    <cellStyle name="Normal 3 12" xfId="2455"/>
    <cellStyle name="Normal 3 13" xfId="2456"/>
    <cellStyle name="Normal 3 14" xfId="2457"/>
    <cellStyle name="Normal 3 15" xfId="2458"/>
    <cellStyle name="Normal 3 16" xfId="2459"/>
    <cellStyle name="Normal 3 17" xfId="2460"/>
    <cellStyle name="Normal 3 18" xfId="2461"/>
    <cellStyle name="Normal 3 19" xfId="2462"/>
    <cellStyle name="Normal 3 2" xfId="2463"/>
    <cellStyle name="Normal 3 2 2" xfId="2464"/>
    <cellStyle name="Normal 3 2 2 2" xfId="2465"/>
    <cellStyle name="Normal 3 2 3" xfId="2466"/>
    <cellStyle name="Normal 3 2 4" xfId="2467"/>
    <cellStyle name="Normal 3 20" xfId="2468"/>
    <cellStyle name="Normal 3 21" xfId="2469"/>
    <cellStyle name="Normal 3 22" xfId="2470"/>
    <cellStyle name="Normal 3 22 2" xfId="2471"/>
    <cellStyle name="Normal 3 22 2 2" xfId="2472"/>
    <cellStyle name="Normal 3 22 2 2 2" xfId="2473"/>
    <cellStyle name="Normal 3 22 2 3" xfId="2474"/>
    <cellStyle name="Normal 3 22 3" xfId="2475"/>
    <cellStyle name="Normal 3 22 3 2" xfId="2476"/>
    <cellStyle name="Normal 3 22 4" xfId="2477"/>
    <cellStyle name="Normal 3 23" xfId="2478"/>
    <cellStyle name="Normal 3 24" xfId="2479"/>
    <cellStyle name="Normal 3 24 2" xfId="2480"/>
    <cellStyle name="Normal 3 24 2 2" xfId="2481"/>
    <cellStyle name="Normal 3 24 3" xfId="2482"/>
    <cellStyle name="Normal 3 25" xfId="2483"/>
    <cellStyle name="Normal 3 26" xfId="2484"/>
    <cellStyle name="Normal 3 27" xfId="2485"/>
    <cellStyle name="Normal 3 28" xfId="2486"/>
    <cellStyle name="Normal 3 29" xfId="2487"/>
    <cellStyle name="Normal 3 3" xfId="2488"/>
    <cellStyle name="Normal 3 3 2" xfId="2489"/>
    <cellStyle name="Normal 3 3 3" xfId="2490"/>
    <cellStyle name="Normal 3 3 4" xfId="2491"/>
    <cellStyle name="Normal 3 30" xfId="2492"/>
    <cellStyle name="Normal 3 31" xfId="2493"/>
    <cellStyle name="Normal 3 32" xfId="2494"/>
    <cellStyle name="Normal 3 33" xfId="2495"/>
    <cellStyle name="Normal 3 34" xfId="2496"/>
    <cellStyle name="Normal 3 35" xfId="2497"/>
    <cellStyle name="Normal 3 36" xfId="2498"/>
    <cellStyle name="Normal 3 37" xfId="2499"/>
    <cellStyle name="Normal 3 38" xfId="2500"/>
    <cellStyle name="Normal 3 39" xfId="2501"/>
    <cellStyle name="Normal 3 39 2" xfId="2502"/>
    <cellStyle name="Normal 3 4" xfId="2503"/>
    <cellStyle name="Normal 3 4 2" xfId="2504"/>
    <cellStyle name="Normal 3 4 3" xfId="2505"/>
    <cellStyle name="Normal 3 40" xfId="2506"/>
    <cellStyle name="Normal 3 41" xfId="2507"/>
    <cellStyle name="Normal 3 42" xfId="2508"/>
    <cellStyle name="Normal 3 43" xfId="2509"/>
    <cellStyle name="Normal 3 44" xfId="2510"/>
    <cellStyle name="Normal 3 45" xfId="2511"/>
    <cellStyle name="Normal 3 46" xfId="2512"/>
    <cellStyle name="Normal 3 47" xfId="2513"/>
    <cellStyle name="Normal 3 48" xfId="2514"/>
    <cellStyle name="Normal 3 49" xfId="2515"/>
    <cellStyle name="Normal 3 5" xfId="2516"/>
    <cellStyle name="Normal 3 5 2" xfId="2517"/>
    <cellStyle name="Normal 3 50" xfId="2518"/>
    <cellStyle name="Normal 3 51" xfId="2519"/>
    <cellStyle name="Normal 3 52" xfId="2520"/>
    <cellStyle name="Normal 3 53" xfId="2521"/>
    <cellStyle name="Normal 3 6" xfId="2522"/>
    <cellStyle name="Normal 3 7" xfId="2523"/>
    <cellStyle name="Normal 3 8" xfId="2524"/>
    <cellStyle name="Normal 3 9" xfId="2525"/>
    <cellStyle name="Normal 30" xfId="2526"/>
    <cellStyle name="Normal 30 10" xfId="2527"/>
    <cellStyle name="Normal 30 100" xfId="2528"/>
    <cellStyle name="Normal 30 101" xfId="2529"/>
    <cellStyle name="Normal 30 102" xfId="2530"/>
    <cellStyle name="Normal 30 103" xfId="2531"/>
    <cellStyle name="Normal 30 104" xfId="2532"/>
    <cellStyle name="Normal 30 105" xfId="2533"/>
    <cellStyle name="Normal 30 106" xfId="2534"/>
    <cellStyle name="Normal 30 107" xfId="2535"/>
    <cellStyle name="Normal 30 108" xfId="2536"/>
    <cellStyle name="Normal 30 109" xfId="2537"/>
    <cellStyle name="Normal 30 11" xfId="2538"/>
    <cellStyle name="Normal 30 12" xfId="2539"/>
    <cellStyle name="Normal 30 13" xfId="2540"/>
    <cellStyle name="Normal 30 14" xfId="2541"/>
    <cellStyle name="Normal 30 15" xfId="2542"/>
    <cellStyle name="Normal 30 16" xfId="2543"/>
    <cellStyle name="Normal 30 17" xfId="2544"/>
    <cellStyle name="Normal 30 18" xfId="2545"/>
    <cellStyle name="Normal 30 19" xfId="2546"/>
    <cellStyle name="Normal 30 2" xfId="2547"/>
    <cellStyle name="Normal 30 20" xfId="2548"/>
    <cellStyle name="Normal 30 21" xfId="2549"/>
    <cellStyle name="Normal 30 22" xfId="2550"/>
    <cellStyle name="Normal 30 23" xfId="2551"/>
    <cellStyle name="Normal 30 24" xfId="2552"/>
    <cellStyle name="Normal 30 25" xfId="2553"/>
    <cellStyle name="Normal 30 26" xfId="2554"/>
    <cellStyle name="Normal 30 27" xfId="2555"/>
    <cellStyle name="Normal 30 28" xfId="2556"/>
    <cellStyle name="Normal 30 29" xfId="2557"/>
    <cellStyle name="Normal 30 3" xfId="2558"/>
    <cellStyle name="Normal 30 30" xfId="2559"/>
    <cellStyle name="Normal 30 31" xfId="2560"/>
    <cellStyle name="Normal 30 32" xfId="2561"/>
    <cellStyle name="Normal 30 33" xfId="2562"/>
    <cellStyle name="Normal 30 34" xfId="2563"/>
    <cellStyle name="Normal 30 35" xfId="2564"/>
    <cellStyle name="Normal 30 36" xfId="2565"/>
    <cellStyle name="Normal 30 37" xfId="2566"/>
    <cellStyle name="Normal 30 38" xfId="2567"/>
    <cellStyle name="Normal 30 39" xfId="2568"/>
    <cellStyle name="Normal 30 4" xfId="2569"/>
    <cellStyle name="Normal 30 40" xfId="2570"/>
    <cellStyle name="Normal 30 41" xfId="2571"/>
    <cellStyle name="Normal 30 42" xfId="2572"/>
    <cellStyle name="Normal 30 43" xfId="2573"/>
    <cellStyle name="Normal 30 44" xfId="2574"/>
    <cellStyle name="Normal 30 45" xfId="2575"/>
    <cellStyle name="Normal 30 46" xfId="2576"/>
    <cellStyle name="Normal 30 47" xfId="2577"/>
    <cellStyle name="Normal 30 48" xfId="2578"/>
    <cellStyle name="Normal 30 49" xfId="2579"/>
    <cellStyle name="Normal 30 5" xfId="2580"/>
    <cellStyle name="Normal 30 50" xfId="2581"/>
    <cellStyle name="Normal 30 51" xfId="2582"/>
    <cellStyle name="Normal 30 52" xfId="2583"/>
    <cellStyle name="Normal 30 53" xfId="2584"/>
    <cellStyle name="Normal 30 54" xfId="2585"/>
    <cellStyle name="Normal 30 55" xfId="2586"/>
    <cellStyle name="Normal 30 56" xfId="2587"/>
    <cellStyle name="Normal 30 57" xfId="2588"/>
    <cellStyle name="Normal 30 58" xfId="2589"/>
    <cellStyle name="Normal 30 59" xfId="2590"/>
    <cellStyle name="Normal 30 6" xfId="2591"/>
    <cellStyle name="Normal 30 60" xfId="2592"/>
    <cellStyle name="Normal 30 61" xfId="2593"/>
    <cellStyle name="Normal 30 62" xfId="2594"/>
    <cellStyle name="Normal 30 63" xfId="2595"/>
    <cellStyle name="Normal 30 64" xfId="2596"/>
    <cellStyle name="Normal 30 65" xfId="2597"/>
    <cellStyle name="Normal 30 66" xfId="2598"/>
    <cellStyle name="Normal 30 67" xfId="2599"/>
    <cellStyle name="Normal 30 68" xfId="2600"/>
    <cellStyle name="Normal 30 69" xfId="2601"/>
    <cellStyle name="Normal 30 7" xfId="2602"/>
    <cellStyle name="Normal 30 70" xfId="2603"/>
    <cellStyle name="Normal 30 71" xfId="2604"/>
    <cellStyle name="Normal 30 72" xfId="2605"/>
    <cellStyle name="Normal 30 73" xfId="2606"/>
    <cellStyle name="Normal 30 74" xfId="2607"/>
    <cellStyle name="Normal 30 75" xfId="2608"/>
    <cellStyle name="Normal 30 76" xfId="2609"/>
    <cellStyle name="Normal 30 77" xfId="2610"/>
    <cellStyle name="Normal 30 78" xfId="2611"/>
    <cellStyle name="Normal 30 79" xfId="2612"/>
    <cellStyle name="Normal 30 8" xfId="2613"/>
    <cellStyle name="Normal 30 80" xfId="2614"/>
    <cellStyle name="Normal 30 81" xfId="2615"/>
    <cellStyle name="Normal 30 82" xfId="2616"/>
    <cellStyle name="Normal 30 83" xfId="2617"/>
    <cellStyle name="Normal 30 84" xfId="2618"/>
    <cellStyle name="Normal 30 85" xfId="2619"/>
    <cellStyle name="Normal 30 86" xfId="2620"/>
    <cellStyle name="Normal 30 87" xfId="2621"/>
    <cellStyle name="Normal 30 88" xfId="2622"/>
    <cellStyle name="Normal 30 89" xfId="2623"/>
    <cellStyle name="Normal 30 9" xfId="2624"/>
    <cellStyle name="Normal 30 90" xfId="2625"/>
    <cellStyle name="Normal 30 91" xfId="2626"/>
    <cellStyle name="Normal 30 92" xfId="2627"/>
    <cellStyle name="Normal 30 93" xfId="2628"/>
    <cellStyle name="Normal 30 94" xfId="2629"/>
    <cellStyle name="Normal 30 95" xfId="2630"/>
    <cellStyle name="Normal 30 96" xfId="2631"/>
    <cellStyle name="Normal 30 97" xfId="2632"/>
    <cellStyle name="Normal 30 98" xfId="2633"/>
    <cellStyle name="Normal 30 99" xfId="2634"/>
    <cellStyle name="Normal 31" xfId="2635"/>
    <cellStyle name="Normal 31 10" xfId="2636"/>
    <cellStyle name="Normal 31 100" xfId="2637"/>
    <cellStyle name="Normal 31 101" xfId="2638"/>
    <cellStyle name="Normal 31 102" xfId="2639"/>
    <cellStyle name="Normal 31 103" xfId="2640"/>
    <cellStyle name="Normal 31 104" xfId="2641"/>
    <cellStyle name="Normal 31 105" xfId="2642"/>
    <cellStyle name="Normal 31 106" xfId="2643"/>
    <cellStyle name="Normal 31 107" xfId="2644"/>
    <cellStyle name="Normal 31 108" xfId="2645"/>
    <cellStyle name="Normal 31 109" xfId="2646"/>
    <cellStyle name="Normal 31 11" xfId="2647"/>
    <cellStyle name="Normal 31 12" xfId="2648"/>
    <cellStyle name="Normal 31 13" xfId="2649"/>
    <cellStyle name="Normal 31 14" xfId="2650"/>
    <cellStyle name="Normal 31 15" xfId="2651"/>
    <cellStyle name="Normal 31 16" xfId="2652"/>
    <cellStyle name="Normal 31 17" xfId="2653"/>
    <cellStyle name="Normal 31 18" xfId="2654"/>
    <cellStyle name="Normal 31 19" xfId="2655"/>
    <cellStyle name="Normal 31 2" xfId="2656"/>
    <cellStyle name="Normal 31 20" xfId="2657"/>
    <cellStyle name="Normal 31 21" xfId="2658"/>
    <cellStyle name="Normal 31 22" xfId="2659"/>
    <cellStyle name="Normal 31 23" xfId="2660"/>
    <cellStyle name="Normal 31 24" xfId="2661"/>
    <cellStyle name="Normal 31 25" xfId="2662"/>
    <cellStyle name="Normal 31 26" xfId="2663"/>
    <cellStyle name="Normal 31 27" xfId="2664"/>
    <cellStyle name="Normal 31 28" xfId="2665"/>
    <cellStyle name="Normal 31 29" xfId="2666"/>
    <cellStyle name="Normal 31 3" xfId="2667"/>
    <cellStyle name="Normal 31 30" xfId="2668"/>
    <cellStyle name="Normal 31 31" xfId="2669"/>
    <cellStyle name="Normal 31 32" xfId="2670"/>
    <cellStyle name="Normal 31 33" xfId="2671"/>
    <cellStyle name="Normal 31 34" xfId="2672"/>
    <cellStyle name="Normal 31 35" xfId="2673"/>
    <cellStyle name="Normal 31 36" xfId="2674"/>
    <cellStyle name="Normal 31 37" xfId="2675"/>
    <cellStyle name="Normal 31 38" xfId="2676"/>
    <cellStyle name="Normal 31 39" xfId="2677"/>
    <cellStyle name="Normal 31 4" xfId="2678"/>
    <cellStyle name="Normal 31 40" xfId="2679"/>
    <cellStyle name="Normal 31 41" xfId="2680"/>
    <cellStyle name="Normal 31 42" xfId="2681"/>
    <cellStyle name="Normal 31 43" xfId="2682"/>
    <cellStyle name="Normal 31 44" xfId="2683"/>
    <cellStyle name="Normal 31 45" xfId="2684"/>
    <cellStyle name="Normal 31 46" xfId="2685"/>
    <cellStyle name="Normal 31 47" xfId="2686"/>
    <cellStyle name="Normal 31 48" xfId="2687"/>
    <cellStyle name="Normal 31 49" xfId="2688"/>
    <cellStyle name="Normal 31 5" xfId="2689"/>
    <cellStyle name="Normal 31 50" xfId="2690"/>
    <cellStyle name="Normal 31 51" xfId="2691"/>
    <cellStyle name="Normal 31 52" xfId="2692"/>
    <cellStyle name="Normal 31 53" xfId="2693"/>
    <cellStyle name="Normal 31 54" xfId="2694"/>
    <cellStyle name="Normal 31 55" xfId="2695"/>
    <cellStyle name="Normal 31 56" xfId="2696"/>
    <cellStyle name="Normal 31 57" xfId="2697"/>
    <cellStyle name="Normal 31 58" xfId="2698"/>
    <cellStyle name="Normal 31 59" xfId="2699"/>
    <cellStyle name="Normal 31 6" xfId="2700"/>
    <cellStyle name="Normal 31 60" xfId="2701"/>
    <cellStyle name="Normal 31 61" xfId="2702"/>
    <cellStyle name="Normal 31 62" xfId="2703"/>
    <cellStyle name="Normal 31 63" xfId="2704"/>
    <cellStyle name="Normal 31 64" xfId="2705"/>
    <cellStyle name="Normal 31 65" xfId="2706"/>
    <cellStyle name="Normal 31 66" xfId="2707"/>
    <cellStyle name="Normal 31 67" xfId="2708"/>
    <cellStyle name="Normal 31 68" xfId="2709"/>
    <cellStyle name="Normal 31 69" xfId="2710"/>
    <cellStyle name="Normal 31 7" xfId="2711"/>
    <cellStyle name="Normal 31 70" xfId="2712"/>
    <cellStyle name="Normal 31 71" xfId="2713"/>
    <cellStyle name="Normal 31 72" xfId="2714"/>
    <cellStyle name="Normal 31 73" xfId="2715"/>
    <cellStyle name="Normal 31 74" xfId="2716"/>
    <cellStyle name="Normal 31 75" xfId="2717"/>
    <cellStyle name="Normal 31 76" xfId="2718"/>
    <cellStyle name="Normal 31 77" xfId="2719"/>
    <cellStyle name="Normal 31 78" xfId="2720"/>
    <cellStyle name="Normal 31 79" xfId="2721"/>
    <cellStyle name="Normal 31 8" xfId="2722"/>
    <cellStyle name="Normal 31 80" xfId="2723"/>
    <cellStyle name="Normal 31 81" xfId="2724"/>
    <cellStyle name="Normal 31 82" xfId="2725"/>
    <cellStyle name="Normal 31 83" xfId="2726"/>
    <cellStyle name="Normal 31 84" xfId="2727"/>
    <cellStyle name="Normal 31 85" xfId="2728"/>
    <cellStyle name="Normal 31 86" xfId="2729"/>
    <cellStyle name="Normal 31 87" xfId="2730"/>
    <cellStyle name="Normal 31 88" xfId="2731"/>
    <cellStyle name="Normal 31 89" xfId="2732"/>
    <cellStyle name="Normal 31 9" xfId="2733"/>
    <cellStyle name="Normal 31 90" xfId="2734"/>
    <cellStyle name="Normal 31 91" xfId="2735"/>
    <cellStyle name="Normal 31 92" xfId="2736"/>
    <cellStyle name="Normal 31 93" xfId="2737"/>
    <cellStyle name="Normal 31 94" xfId="2738"/>
    <cellStyle name="Normal 31 95" xfId="2739"/>
    <cellStyle name="Normal 31 96" xfId="2740"/>
    <cellStyle name="Normal 31 97" xfId="2741"/>
    <cellStyle name="Normal 31 98" xfId="2742"/>
    <cellStyle name="Normal 31 99" xfId="2743"/>
    <cellStyle name="Normal 32" xfId="2744"/>
    <cellStyle name="Normal 32 2" xfId="2745"/>
    <cellStyle name="Normal 33" xfId="2746"/>
    <cellStyle name="Normal 33 2" xfId="2747"/>
    <cellStyle name="Normal 34" xfId="2748"/>
    <cellStyle name="Normal 35" xfId="2749"/>
    <cellStyle name="Normal 35 10" xfId="2750"/>
    <cellStyle name="Normal 35 100" xfId="2751"/>
    <cellStyle name="Normal 35 101" xfId="2752"/>
    <cellStyle name="Normal 35 102" xfId="2753"/>
    <cellStyle name="Normal 35 103" xfId="2754"/>
    <cellStyle name="Normal 35 104" xfId="2755"/>
    <cellStyle name="Normal 35 105" xfId="2756"/>
    <cellStyle name="Normal 35 106" xfId="2757"/>
    <cellStyle name="Normal 35 107" xfId="2758"/>
    <cellStyle name="Normal 35 108" xfId="2759"/>
    <cellStyle name="Normal 35 109" xfId="2760"/>
    <cellStyle name="Normal 35 11" xfId="2761"/>
    <cellStyle name="Normal 35 12" xfId="2762"/>
    <cellStyle name="Normal 35 13" xfId="2763"/>
    <cellStyle name="Normal 35 14" xfId="2764"/>
    <cellStyle name="Normal 35 15" xfId="2765"/>
    <cellStyle name="Normal 35 16" xfId="2766"/>
    <cellStyle name="Normal 35 17" xfId="2767"/>
    <cellStyle name="Normal 35 18" xfId="2768"/>
    <cellStyle name="Normal 35 19" xfId="2769"/>
    <cellStyle name="Normal 35 2" xfId="2770"/>
    <cellStyle name="Normal 35 20" xfId="2771"/>
    <cellStyle name="Normal 35 21" xfId="2772"/>
    <cellStyle name="Normal 35 22" xfId="2773"/>
    <cellStyle name="Normal 35 23" xfId="2774"/>
    <cellStyle name="Normal 35 24" xfId="2775"/>
    <cellStyle name="Normal 35 25" xfId="2776"/>
    <cellStyle name="Normal 35 26" xfId="2777"/>
    <cellStyle name="Normal 35 27" xfId="2778"/>
    <cellStyle name="Normal 35 28" xfId="2779"/>
    <cellStyle name="Normal 35 29" xfId="2780"/>
    <cellStyle name="Normal 35 3" xfId="2781"/>
    <cellStyle name="Normal 35 30" xfId="2782"/>
    <cellStyle name="Normal 35 31" xfId="2783"/>
    <cellStyle name="Normal 35 32" xfId="2784"/>
    <cellStyle name="Normal 35 33" xfId="2785"/>
    <cellStyle name="Normal 35 34" xfId="2786"/>
    <cellStyle name="Normal 35 35" xfId="2787"/>
    <cellStyle name="Normal 35 36" xfId="2788"/>
    <cellStyle name="Normal 35 37" xfId="2789"/>
    <cellStyle name="Normal 35 38" xfId="2790"/>
    <cellStyle name="Normal 35 39" xfId="2791"/>
    <cellStyle name="Normal 35 4" xfId="2792"/>
    <cellStyle name="Normal 35 40" xfId="2793"/>
    <cellStyle name="Normal 35 41" xfId="2794"/>
    <cellStyle name="Normal 35 42" xfId="2795"/>
    <cellStyle name="Normal 35 43" xfId="2796"/>
    <cellStyle name="Normal 35 44" xfId="2797"/>
    <cellStyle name="Normal 35 45" xfId="2798"/>
    <cellStyle name="Normal 35 46" xfId="2799"/>
    <cellStyle name="Normal 35 47" xfId="2800"/>
    <cellStyle name="Normal 35 48" xfId="2801"/>
    <cellStyle name="Normal 35 49" xfId="2802"/>
    <cellStyle name="Normal 35 5" xfId="2803"/>
    <cellStyle name="Normal 35 50" xfId="2804"/>
    <cellStyle name="Normal 35 51" xfId="2805"/>
    <cellStyle name="Normal 35 52" xfId="2806"/>
    <cellStyle name="Normal 35 53" xfId="2807"/>
    <cellStyle name="Normal 35 54" xfId="2808"/>
    <cellStyle name="Normal 35 55" xfId="2809"/>
    <cellStyle name="Normal 35 56" xfId="2810"/>
    <cellStyle name="Normal 35 57" xfId="2811"/>
    <cellStyle name="Normal 35 58" xfId="2812"/>
    <cellStyle name="Normal 35 59" xfId="2813"/>
    <cellStyle name="Normal 35 6" xfId="2814"/>
    <cellStyle name="Normal 35 60" xfId="2815"/>
    <cellStyle name="Normal 35 61" xfId="2816"/>
    <cellStyle name="Normal 35 62" xfId="2817"/>
    <cellStyle name="Normal 35 63" xfId="2818"/>
    <cellStyle name="Normal 35 64" xfId="2819"/>
    <cellStyle name="Normal 35 65" xfId="2820"/>
    <cellStyle name="Normal 35 66" xfId="2821"/>
    <cellStyle name="Normal 35 67" xfId="2822"/>
    <cellStyle name="Normal 35 68" xfId="2823"/>
    <cellStyle name="Normal 35 69" xfId="2824"/>
    <cellStyle name="Normal 35 7" xfId="2825"/>
    <cellStyle name="Normal 35 70" xfId="2826"/>
    <cellStyle name="Normal 35 71" xfId="2827"/>
    <cellStyle name="Normal 35 72" xfId="2828"/>
    <cellStyle name="Normal 35 73" xfId="2829"/>
    <cellStyle name="Normal 35 74" xfId="2830"/>
    <cellStyle name="Normal 35 75" xfId="2831"/>
    <cellStyle name="Normal 35 76" xfId="2832"/>
    <cellStyle name="Normal 35 77" xfId="2833"/>
    <cellStyle name="Normal 35 78" xfId="2834"/>
    <cellStyle name="Normal 35 79" xfId="2835"/>
    <cellStyle name="Normal 35 8" xfId="2836"/>
    <cellStyle name="Normal 35 80" xfId="2837"/>
    <cellStyle name="Normal 35 81" xfId="2838"/>
    <cellStyle name="Normal 35 82" xfId="2839"/>
    <cellStyle name="Normal 35 83" xfId="2840"/>
    <cellStyle name="Normal 35 84" xfId="2841"/>
    <cellStyle name="Normal 35 85" xfId="2842"/>
    <cellStyle name="Normal 35 86" xfId="2843"/>
    <cellStyle name="Normal 35 87" xfId="2844"/>
    <cellStyle name="Normal 35 88" xfId="2845"/>
    <cellStyle name="Normal 35 89" xfId="2846"/>
    <cellStyle name="Normal 35 9" xfId="2847"/>
    <cellStyle name="Normal 35 90" xfId="2848"/>
    <cellStyle name="Normal 35 91" xfId="2849"/>
    <cellStyle name="Normal 35 92" xfId="2850"/>
    <cellStyle name="Normal 35 93" xfId="2851"/>
    <cellStyle name="Normal 35 94" xfId="2852"/>
    <cellStyle name="Normal 35 95" xfId="2853"/>
    <cellStyle name="Normal 35 96" xfId="2854"/>
    <cellStyle name="Normal 35 97" xfId="2855"/>
    <cellStyle name="Normal 35 98" xfId="2856"/>
    <cellStyle name="Normal 35 99" xfId="2857"/>
    <cellStyle name="Normal 36" xfId="2858"/>
    <cellStyle name="Normal 36 10" xfId="2859"/>
    <cellStyle name="Normal 36 100" xfId="2860"/>
    <cellStyle name="Normal 36 101" xfId="2861"/>
    <cellStyle name="Normal 36 102" xfId="2862"/>
    <cellStyle name="Normal 36 103" xfId="2863"/>
    <cellStyle name="Normal 36 104" xfId="2864"/>
    <cellStyle name="Normal 36 105" xfId="2865"/>
    <cellStyle name="Normal 36 106" xfId="2866"/>
    <cellStyle name="Normal 36 107" xfId="2867"/>
    <cellStyle name="Normal 36 108" xfId="2868"/>
    <cellStyle name="Normal 36 109" xfId="2869"/>
    <cellStyle name="Normal 36 11" xfId="2870"/>
    <cellStyle name="Normal 36 12" xfId="2871"/>
    <cellStyle name="Normal 36 13" xfId="2872"/>
    <cellStyle name="Normal 36 14" xfId="2873"/>
    <cellStyle name="Normal 36 15" xfId="2874"/>
    <cellStyle name="Normal 36 16" xfId="2875"/>
    <cellStyle name="Normal 36 17" xfId="2876"/>
    <cellStyle name="Normal 36 18" xfId="2877"/>
    <cellStyle name="Normal 36 19" xfId="2878"/>
    <cellStyle name="Normal 36 2" xfId="2879"/>
    <cellStyle name="Normal 36 20" xfId="2880"/>
    <cellStyle name="Normal 36 21" xfId="2881"/>
    <cellStyle name="Normal 36 22" xfId="2882"/>
    <cellStyle name="Normal 36 23" xfId="2883"/>
    <cellStyle name="Normal 36 24" xfId="2884"/>
    <cellStyle name="Normal 36 25" xfId="2885"/>
    <cellStyle name="Normal 36 26" xfId="2886"/>
    <cellStyle name="Normal 36 27" xfId="2887"/>
    <cellStyle name="Normal 36 28" xfId="2888"/>
    <cellStyle name="Normal 36 29" xfId="2889"/>
    <cellStyle name="Normal 36 3" xfId="2890"/>
    <cellStyle name="Normal 36 30" xfId="2891"/>
    <cellStyle name="Normal 36 31" xfId="2892"/>
    <cellStyle name="Normal 36 32" xfId="2893"/>
    <cellStyle name="Normal 36 33" xfId="2894"/>
    <cellStyle name="Normal 36 34" xfId="2895"/>
    <cellStyle name="Normal 36 35" xfId="2896"/>
    <cellStyle name="Normal 36 36" xfId="2897"/>
    <cellStyle name="Normal 36 37" xfId="2898"/>
    <cellStyle name="Normal 36 38" xfId="2899"/>
    <cellStyle name="Normal 36 39" xfId="2900"/>
    <cellStyle name="Normal 36 4" xfId="2901"/>
    <cellStyle name="Normal 36 40" xfId="2902"/>
    <cellStyle name="Normal 36 41" xfId="2903"/>
    <cellStyle name="Normal 36 42" xfId="2904"/>
    <cellStyle name="Normal 36 43" xfId="2905"/>
    <cellStyle name="Normal 36 44" xfId="2906"/>
    <cellStyle name="Normal 36 45" xfId="2907"/>
    <cellStyle name="Normal 36 46" xfId="2908"/>
    <cellStyle name="Normal 36 47" xfId="2909"/>
    <cellStyle name="Normal 36 48" xfId="2910"/>
    <cellStyle name="Normal 36 49" xfId="2911"/>
    <cellStyle name="Normal 36 5" xfId="2912"/>
    <cellStyle name="Normal 36 50" xfId="2913"/>
    <cellStyle name="Normal 36 51" xfId="2914"/>
    <cellStyle name="Normal 36 52" xfId="2915"/>
    <cellStyle name="Normal 36 53" xfId="2916"/>
    <cellStyle name="Normal 36 54" xfId="2917"/>
    <cellStyle name="Normal 36 55" xfId="2918"/>
    <cellStyle name="Normal 36 56" xfId="2919"/>
    <cellStyle name="Normal 36 57" xfId="2920"/>
    <cellStyle name="Normal 36 58" xfId="2921"/>
    <cellStyle name="Normal 36 59" xfId="2922"/>
    <cellStyle name="Normal 36 6" xfId="2923"/>
    <cellStyle name="Normal 36 60" xfId="2924"/>
    <cellStyle name="Normal 36 61" xfId="2925"/>
    <cellStyle name="Normal 36 62" xfId="2926"/>
    <cellStyle name="Normal 36 63" xfId="2927"/>
    <cellStyle name="Normal 36 64" xfId="2928"/>
    <cellStyle name="Normal 36 65" xfId="2929"/>
    <cellStyle name="Normal 36 66" xfId="2930"/>
    <cellStyle name="Normal 36 67" xfId="2931"/>
    <cellStyle name="Normal 36 68" xfId="2932"/>
    <cellStyle name="Normal 36 69" xfId="2933"/>
    <cellStyle name="Normal 36 7" xfId="2934"/>
    <cellStyle name="Normal 36 70" xfId="2935"/>
    <cellStyle name="Normal 36 71" xfId="2936"/>
    <cellStyle name="Normal 36 72" xfId="2937"/>
    <cellStyle name="Normal 36 73" xfId="2938"/>
    <cellStyle name="Normal 36 74" xfId="2939"/>
    <cellStyle name="Normal 36 75" xfId="2940"/>
    <cellStyle name="Normal 36 76" xfId="2941"/>
    <cellStyle name="Normal 36 77" xfId="2942"/>
    <cellStyle name="Normal 36 78" xfId="2943"/>
    <cellStyle name="Normal 36 79" xfId="2944"/>
    <cellStyle name="Normal 36 8" xfId="2945"/>
    <cellStyle name="Normal 36 80" xfId="2946"/>
    <cellStyle name="Normal 36 81" xfId="2947"/>
    <cellStyle name="Normal 36 82" xfId="2948"/>
    <cellStyle name="Normal 36 83" xfId="2949"/>
    <cellStyle name="Normal 36 84" xfId="2950"/>
    <cellStyle name="Normal 36 85" xfId="2951"/>
    <cellStyle name="Normal 36 86" xfId="2952"/>
    <cellStyle name="Normal 36 87" xfId="2953"/>
    <cellStyle name="Normal 36 88" xfId="2954"/>
    <cellStyle name="Normal 36 89" xfId="2955"/>
    <cellStyle name="Normal 36 9" xfId="2956"/>
    <cellStyle name="Normal 36 90" xfId="2957"/>
    <cellStyle name="Normal 36 91" xfId="2958"/>
    <cellStyle name="Normal 36 92" xfId="2959"/>
    <cellStyle name="Normal 36 93" xfId="2960"/>
    <cellStyle name="Normal 36 94" xfId="2961"/>
    <cellStyle name="Normal 36 95" xfId="2962"/>
    <cellStyle name="Normal 36 96" xfId="2963"/>
    <cellStyle name="Normal 36 97" xfId="2964"/>
    <cellStyle name="Normal 36 98" xfId="2965"/>
    <cellStyle name="Normal 36 99" xfId="2966"/>
    <cellStyle name="Normal 37" xfId="2967"/>
    <cellStyle name="Normal 38" xfId="2968"/>
    <cellStyle name="Normal 39" xfId="2969"/>
    <cellStyle name="Normal 4" xfId="18"/>
    <cellStyle name="Normal-- 4" xfId="2970"/>
    <cellStyle name="Normal 4 10" xfId="2971"/>
    <cellStyle name="Normal 4 10 2" xfId="2972"/>
    <cellStyle name="Normal 4 100" xfId="2973"/>
    <cellStyle name="Normal 4 101" xfId="2974"/>
    <cellStyle name="Normal 4 102" xfId="2975"/>
    <cellStyle name="Normal 4 103" xfId="2976"/>
    <cellStyle name="Normal 4 104" xfId="2977"/>
    <cellStyle name="Normal 4 105" xfId="2978"/>
    <cellStyle name="Normal 4 106" xfId="2979"/>
    <cellStyle name="Normal 4 107" xfId="2980"/>
    <cellStyle name="Normal 4 108" xfId="2981"/>
    <cellStyle name="Normal 4 109" xfId="2982"/>
    <cellStyle name="Normal 4 11" xfId="2983"/>
    <cellStyle name="Normal 4 11 2" xfId="2984"/>
    <cellStyle name="Normal 4 110" xfId="2985"/>
    <cellStyle name="Normal 4 111" xfId="2986"/>
    <cellStyle name="Normal 4 112" xfId="2987"/>
    <cellStyle name="Normal 4 113" xfId="2988"/>
    <cellStyle name="Normal 4 114" xfId="2989"/>
    <cellStyle name="Normal 4 115" xfId="2990"/>
    <cellStyle name="Normal 4 116" xfId="2991"/>
    <cellStyle name="Normal 4 117" xfId="2992"/>
    <cellStyle name="Normal 4 118" xfId="2993"/>
    <cellStyle name="Normal 4 119" xfId="2994"/>
    <cellStyle name="Normal 4 12" xfId="2995"/>
    <cellStyle name="Normal 4 12 2" xfId="2996"/>
    <cellStyle name="Normal 4 120" xfId="2997"/>
    <cellStyle name="Normal 4 13" xfId="2998"/>
    <cellStyle name="Normal 4 13 2" xfId="2999"/>
    <cellStyle name="Normal 4 14" xfId="3000"/>
    <cellStyle name="Normal 4 14 2" xfId="3001"/>
    <cellStyle name="Normal 4 15" xfId="3002"/>
    <cellStyle name="Normal 4 15 2" xfId="3003"/>
    <cellStyle name="Normal 4 16" xfId="3004"/>
    <cellStyle name="Normal 4 16 2" xfId="3005"/>
    <cellStyle name="Normal 4 17" xfId="3006"/>
    <cellStyle name="Normal 4 17 2" xfId="3007"/>
    <cellStyle name="Normal 4 18" xfId="3008"/>
    <cellStyle name="Normal 4 18 2" xfId="3009"/>
    <cellStyle name="Normal 4 19" xfId="3010"/>
    <cellStyle name="Normal 4 19 2" xfId="3011"/>
    <cellStyle name="Normal 4 2" xfId="19"/>
    <cellStyle name="Normal 4 2 2" xfId="3012"/>
    <cellStyle name="Normal 4 2 3" xfId="3013"/>
    <cellStyle name="Normal 4 2 4" xfId="3014"/>
    <cellStyle name="Normal 4 2 5" xfId="3015"/>
    <cellStyle name="Normal 4 2 6" xfId="3016"/>
    <cellStyle name="Normal 4 2 7" xfId="3017"/>
    <cellStyle name="Normal 4 2 8" xfId="3018"/>
    <cellStyle name="Normal 4 2 9" xfId="3019"/>
    <cellStyle name="Normal 4 20" xfId="3020"/>
    <cellStyle name="Normal 4 20 2" xfId="3021"/>
    <cellStyle name="Normal 4 21" xfId="3022"/>
    <cellStyle name="Normal 4 21 2" xfId="3023"/>
    <cellStyle name="Normal 4 21 2 2" xfId="3024"/>
    <cellStyle name="Normal 4 21 2 2 2" xfId="3025"/>
    <cellStyle name="Normal 4 21 2 2 2 2" xfId="3026"/>
    <cellStyle name="Normal 4 21 2 2 3" xfId="3027"/>
    <cellStyle name="Normal 4 21 2 3" xfId="3028"/>
    <cellStyle name="Normal 4 21 2 3 2" xfId="3029"/>
    <cellStyle name="Normal 4 21 2 4" xfId="3030"/>
    <cellStyle name="Normal 4 21 3" xfId="3031"/>
    <cellStyle name="Normal 4 21 3 2" xfId="3032"/>
    <cellStyle name="Normal 4 21 3 2 2" xfId="3033"/>
    <cellStyle name="Normal 4 21 3 2 2 2" xfId="3034"/>
    <cellStyle name="Normal 4 21 3 2 3" xfId="3035"/>
    <cellStyle name="Normal 4 21 3 3" xfId="3036"/>
    <cellStyle name="Normal 4 21 3 3 2" xfId="3037"/>
    <cellStyle name="Normal 4 21 3 4" xfId="3038"/>
    <cellStyle name="Normal 4 21 4" xfId="3039"/>
    <cellStyle name="Normal 4 21 4 2" xfId="3040"/>
    <cellStyle name="Normal 4 21 4 2 2" xfId="3041"/>
    <cellStyle name="Normal 4 21 4 2 2 2" xfId="3042"/>
    <cellStyle name="Normal 4 21 4 2 3" xfId="3043"/>
    <cellStyle name="Normal 4 21 4 3" xfId="3044"/>
    <cellStyle name="Normal 4 21 4 3 2" xfId="3045"/>
    <cellStyle name="Normal 4 21 4 4" xfId="3046"/>
    <cellStyle name="Normal 4 21 5" xfId="3047"/>
    <cellStyle name="Normal 4 21 5 2" xfId="3048"/>
    <cellStyle name="Normal 4 21 5 2 2" xfId="3049"/>
    <cellStyle name="Normal 4 21 5 3" xfId="3050"/>
    <cellStyle name="Normal 4 21 6" xfId="3051"/>
    <cellStyle name="Normal 4 21 6 2" xfId="3052"/>
    <cellStyle name="Normal 4 21 7" xfId="3053"/>
    <cellStyle name="Normal 4 21 8" xfId="3054"/>
    <cellStyle name="Normal 4 22" xfId="3055"/>
    <cellStyle name="Normal 4 22 2" xfId="3056"/>
    <cellStyle name="Normal 4 22 2 2" xfId="3057"/>
    <cellStyle name="Normal 4 22 2 2 2" xfId="3058"/>
    <cellStyle name="Normal 4 22 2 3" xfId="3059"/>
    <cellStyle name="Normal 4 22 3" xfId="3060"/>
    <cellStyle name="Normal 4 22 3 2" xfId="3061"/>
    <cellStyle name="Normal 4 22 4" xfId="3062"/>
    <cellStyle name="Normal 4 22 5" xfId="3063"/>
    <cellStyle name="Normal 4 23" xfId="3064"/>
    <cellStyle name="Normal 4 23 2" xfId="3065"/>
    <cellStyle name="Normal 4 23 2 2" xfId="3066"/>
    <cellStyle name="Normal 4 23 2 2 2" xfId="3067"/>
    <cellStyle name="Normal 4 23 2 3" xfId="3068"/>
    <cellStyle name="Normal 4 23 3" xfId="3069"/>
    <cellStyle name="Normal 4 23 3 2" xfId="3070"/>
    <cellStyle name="Normal 4 23 4" xfId="3071"/>
    <cellStyle name="Normal 4 23 5" xfId="3072"/>
    <cellStyle name="Normal 4 24" xfId="3073"/>
    <cellStyle name="Normal 4 24 2" xfId="3074"/>
    <cellStyle name="Normal 4 24 2 2" xfId="3075"/>
    <cellStyle name="Normal 4 24 2 2 2" xfId="3076"/>
    <cellStyle name="Normal 4 24 2 3" xfId="3077"/>
    <cellStyle name="Normal 4 24 3" xfId="3078"/>
    <cellStyle name="Normal 4 24 3 2" xfId="3079"/>
    <cellStyle name="Normal 4 24 4" xfId="3080"/>
    <cellStyle name="Normal 4 24 5" xfId="3081"/>
    <cellStyle name="Normal 4 25" xfId="3082"/>
    <cellStyle name="Normal 4 25 2" xfId="3083"/>
    <cellStyle name="Normal 4 25 2 2" xfId="3084"/>
    <cellStyle name="Normal 4 25 3" xfId="3085"/>
    <cellStyle name="Normal 4 25 4" xfId="3086"/>
    <cellStyle name="Normal 4 26" xfId="3087"/>
    <cellStyle name="Normal 4 26 2" xfId="3088"/>
    <cellStyle name="Normal 4 27" xfId="3089"/>
    <cellStyle name="Normal 4 27 2" xfId="3090"/>
    <cellStyle name="Normal 4 27 2 2" xfId="3091"/>
    <cellStyle name="Normal 4 27 3" xfId="3092"/>
    <cellStyle name="Normal 4 27 4" xfId="3093"/>
    <cellStyle name="Normal 4 28" xfId="3094"/>
    <cellStyle name="Normal 4 28 2" xfId="3095"/>
    <cellStyle name="Normal 4 28 3" xfId="3096"/>
    <cellStyle name="Normal 4 29" xfId="3097"/>
    <cellStyle name="Normal 4 29 2" xfId="3098"/>
    <cellStyle name="Normal 4 3" xfId="3099"/>
    <cellStyle name="Normal 4 3 2" xfId="3100"/>
    <cellStyle name="Normal 4 3 2 2" xfId="3101"/>
    <cellStyle name="Normal 4 3 2 2 2" xfId="3102"/>
    <cellStyle name="Normal 4 3 2 3" xfId="3103"/>
    <cellStyle name="Normal 4 3 2 4" xfId="3104"/>
    <cellStyle name="Normal 4 3 3" xfId="3105"/>
    <cellStyle name="Normal 4 3 4" xfId="3106"/>
    <cellStyle name="Normal 4 30" xfId="3107"/>
    <cellStyle name="Normal 4 30 2" xfId="3108"/>
    <cellStyle name="Normal 4 31" xfId="3109"/>
    <cellStyle name="Normal 4 31 2" xfId="3110"/>
    <cellStyle name="Normal 4 32" xfId="3111"/>
    <cellStyle name="Normal 4 32 2" xfId="3112"/>
    <cellStyle name="Normal 4 33" xfId="3113"/>
    <cellStyle name="Normal 4 33 2" xfId="3114"/>
    <cellStyle name="Normal 4 34" xfId="3115"/>
    <cellStyle name="Normal 4 35" xfId="3116"/>
    <cellStyle name="Normal 4 36" xfId="3117"/>
    <cellStyle name="Normal 4 37" xfId="3118"/>
    <cellStyle name="Normal 4 38" xfId="3119"/>
    <cellStyle name="Normal 4 39" xfId="3120"/>
    <cellStyle name="Normal 4 4" xfId="3121"/>
    <cellStyle name="Normal 4 4 2" xfId="3122"/>
    <cellStyle name="Normal 4 4 3" xfId="3123"/>
    <cellStyle name="Normal 4 4 4" xfId="3124"/>
    <cellStyle name="Normal 4 40" xfId="3125"/>
    <cellStyle name="Normal 4 41" xfId="3126"/>
    <cellStyle name="Normal 4 42" xfId="3127"/>
    <cellStyle name="Normal 4 43" xfId="3128"/>
    <cellStyle name="Normal 4 44" xfId="3129"/>
    <cellStyle name="Normal 4 45" xfId="3130"/>
    <cellStyle name="Normal 4 46" xfId="3131"/>
    <cellStyle name="Normal 4 47" xfId="3132"/>
    <cellStyle name="Normal 4 48" xfId="3133"/>
    <cellStyle name="Normal 4 49" xfId="3134"/>
    <cellStyle name="Normal 4 5" xfId="3135"/>
    <cellStyle name="Normal 4 5 2" xfId="3136"/>
    <cellStyle name="Normal 4 50" xfId="3137"/>
    <cellStyle name="Normal 4 51" xfId="3138"/>
    <cellStyle name="Normal 4 52" xfId="3139"/>
    <cellStyle name="Normal 4 53" xfId="3140"/>
    <cellStyle name="Normal 4 54" xfId="3141"/>
    <cellStyle name="Normal 4 55" xfId="3142"/>
    <cellStyle name="Normal 4 56" xfId="3143"/>
    <cellStyle name="Normal 4 57" xfId="3144"/>
    <cellStyle name="Normal 4 58" xfId="3145"/>
    <cellStyle name="Normal 4 59" xfId="3146"/>
    <cellStyle name="Normal 4 6" xfId="3147"/>
    <cellStyle name="Normal 4 6 2" xfId="3148"/>
    <cellStyle name="Normal 4 60" xfId="3149"/>
    <cellStyle name="Normal 4 61" xfId="3150"/>
    <cellStyle name="Normal 4 62" xfId="3151"/>
    <cellStyle name="Normal 4 63" xfId="3152"/>
    <cellStyle name="Normal 4 64" xfId="3153"/>
    <cellStyle name="Normal 4 65" xfId="3154"/>
    <cellStyle name="Normal 4 66" xfId="3155"/>
    <cellStyle name="Normal 4 67" xfId="3156"/>
    <cellStyle name="Normal 4 68" xfId="3157"/>
    <cellStyle name="Normal 4 69" xfId="3158"/>
    <cellStyle name="Normal 4 7" xfId="3159"/>
    <cellStyle name="Normal 4 7 2" xfId="3160"/>
    <cellStyle name="Normal 4 70" xfId="3161"/>
    <cellStyle name="Normal 4 71" xfId="3162"/>
    <cellStyle name="Normal 4 72" xfId="3163"/>
    <cellStyle name="Normal 4 73" xfId="3164"/>
    <cellStyle name="Normal 4 74" xfId="3165"/>
    <cellStyle name="Normal 4 75" xfId="3166"/>
    <cellStyle name="Normal 4 76" xfId="3167"/>
    <cellStyle name="Normal 4 77" xfId="3168"/>
    <cellStyle name="Normal 4 78" xfId="3169"/>
    <cellStyle name="Normal 4 79" xfId="3170"/>
    <cellStyle name="Normal 4 8" xfId="3171"/>
    <cellStyle name="Normal 4 8 2" xfId="3172"/>
    <cellStyle name="Normal 4 80" xfId="3173"/>
    <cellStyle name="Normal 4 81" xfId="3174"/>
    <cellStyle name="Normal 4 82" xfId="3175"/>
    <cellStyle name="Normal 4 83" xfId="3176"/>
    <cellStyle name="Normal 4 84" xfId="3177"/>
    <cellStyle name="Normal 4 85" xfId="3178"/>
    <cellStyle name="Normal 4 86" xfId="3179"/>
    <cellStyle name="Normal 4 87" xfId="3180"/>
    <cellStyle name="Normal 4 88" xfId="3181"/>
    <cellStyle name="Normal 4 89" xfId="3182"/>
    <cellStyle name="Normal 4 9" xfId="3183"/>
    <cellStyle name="Normal 4 9 2" xfId="3184"/>
    <cellStyle name="Normal 4 90" xfId="3185"/>
    <cellStyle name="Normal 4 91" xfId="3186"/>
    <cellStyle name="Normal 4 92" xfId="3187"/>
    <cellStyle name="Normal 4 93" xfId="3188"/>
    <cellStyle name="Normal 4 94" xfId="3189"/>
    <cellStyle name="Normal 4 95" xfId="3190"/>
    <cellStyle name="Normal 4 96" xfId="3191"/>
    <cellStyle name="Normal 4 97" xfId="3192"/>
    <cellStyle name="Normal 4 98" xfId="3193"/>
    <cellStyle name="Normal 4 99" xfId="3194"/>
    <cellStyle name="Normal 4_Centre Wellington 2013 Load Foecast-April 4" xfId="20"/>
    <cellStyle name="Normal 40" xfId="3195"/>
    <cellStyle name="Normal 41" xfId="3196"/>
    <cellStyle name="Normal 42" xfId="3197"/>
    <cellStyle name="Normal 43" xfId="3198"/>
    <cellStyle name="Normal 44" xfId="3199"/>
    <cellStyle name="Normal 45" xfId="3200"/>
    <cellStyle name="Normal 46" xfId="3201"/>
    <cellStyle name="Normal 47" xfId="3202"/>
    <cellStyle name="Normal 47 10" xfId="3203"/>
    <cellStyle name="Normal 47 11" xfId="3204"/>
    <cellStyle name="Normal 47 11 2" xfId="3205"/>
    <cellStyle name="Normal 47 11 3" xfId="3206"/>
    <cellStyle name="Normal 47 11 4" xfId="3207"/>
    <cellStyle name="Normal 47 11 5" xfId="3208"/>
    <cellStyle name="Normal 47 11 6" xfId="3209"/>
    <cellStyle name="Normal 47 11 7" xfId="3210"/>
    <cellStyle name="Normal 47 11 8" xfId="3211"/>
    <cellStyle name="Normal 47 12" xfId="3212"/>
    <cellStyle name="Normal 47 13" xfId="3213"/>
    <cellStyle name="Normal 47 14" xfId="3214"/>
    <cellStyle name="Normal 47 15" xfId="3215"/>
    <cellStyle name="Normal 47 16" xfId="3216"/>
    <cellStyle name="Normal 47 17" xfId="3217"/>
    <cellStyle name="Normal 47 2" xfId="3218"/>
    <cellStyle name="Normal 47 3" xfId="3219"/>
    <cellStyle name="Normal 47 3 2" xfId="3220"/>
    <cellStyle name="Normal 47 3 3" xfId="3221"/>
    <cellStyle name="Normal 47 3 4" xfId="3222"/>
    <cellStyle name="Normal 47 3 5" xfId="3223"/>
    <cellStyle name="Normal 47 3 6" xfId="3224"/>
    <cellStyle name="Normal 47 3 7" xfId="3225"/>
    <cellStyle name="Normal 47 3 8" xfId="3226"/>
    <cellStyle name="Normal 47 4" xfId="3227"/>
    <cellStyle name="Normal 47 4 2" xfId="3228"/>
    <cellStyle name="Normal 47 4 3" xfId="3229"/>
    <cellStyle name="Normal 47 4 4" xfId="3230"/>
    <cellStyle name="Normal 47 4 5" xfId="3231"/>
    <cellStyle name="Normal 47 4 6" xfId="3232"/>
    <cellStyle name="Normal 47 4 7" xfId="3233"/>
    <cellStyle name="Normal 47 4 8" xfId="3234"/>
    <cellStyle name="Normal 47 5" xfId="3235"/>
    <cellStyle name="Normal 47 5 2" xfId="3236"/>
    <cellStyle name="Normal 47 5 3" xfId="3237"/>
    <cellStyle name="Normal 47 5 4" xfId="3238"/>
    <cellStyle name="Normal 47 5 5" xfId="3239"/>
    <cellStyle name="Normal 47 5 6" xfId="3240"/>
    <cellStyle name="Normal 47 5 7" xfId="3241"/>
    <cellStyle name="Normal 47 5 8" xfId="3242"/>
    <cellStyle name="Normal 47 6" xfId="3243"/>
    <cellStyle name="Normal 47 6 2" xfId="3244"/>
    <cellStyle name="Normal 47 6 3" xfId="3245"/>
    <cellStyle name="Normal 47 6 4" xfId="3246"/>
    <cellStyle name="Normal 47 6 5" xfId="3247"/>
    <cellStyle name="Normal 47 6 6" xfId="3248"/>
    <cellStyle name="Normal 47 6 7" xfId="3249"/>
    <cellStyle name="Normal 47 6 8" xfId="3250"/>
    <cellStyle name="Normal 47 7" xfId="3251"/>
    <cellStyle name="Normal 47 7 2" xfId="3252"/>
    <cellStyle name="Normal 47 7 3" xfId="3253"/>
    <cellStyle name="Normal 47 7 4" xfId="3254"/>
    <cellStyle name="Normal 47 7 5" xfId="3255"/>
    <cellStyle name="Normal 47 7 6" xfId="3256"/>
    <cellStyle name="Normal 47 7 7" xfId="3257"/>
    <cellStyle name="Normal 47 7 8" xfId="3258"/>
    <cellStyle name="Normal 47 8" xfId="3259"/>
    <cellStyle name="Normal 47 8 2" xfId="3260"/>
    <cellStyle name="Normal 47 8 3" xfId="3261"/>
    <cellStyle name="Normal 47 8 4" xfId="3262"/>
    <cellStyle name="Normal 47 8 5" xfId="3263"/>
    <cellStyle name="Normal 47 8 6" xfId="3264"/>
    <cellStyle name="Normal 47 8 7" xfId="3265"/>
    <cellStyle name="Normal 47 8 8" xfId="3266"/>
    <cellStyle name="Normal 47 9" xfId="3267"/>
    <cellStyle name="Normal 48" xfId="3268"/>
    <cellStyle name="Normal 49" xfId="3269"/>
    <cellStyle name="Normal 49 2" xfId="3270"/>
    <cellStyle name="Normal 49 2 2" xfId="3271"/>
    <cellStyle name="Normal 49 2 2 2" xfId="3272"/>
    <cellStyle name="Normal 49 2 2 2 2" xfId="3273"/>
    <cellStyle name="Normal 49 2 2 3" xfId="3274"/>
    <cellStyle name="Normal 49 2 3" xfId="3275"/>
    <cellStyle name="Normal 49 2 3 2" xfId="3276"/>
    <cellStyle name="Normal 49 2 4" xfId="3277"/>
    <cellStyle name="Normal 49 3" xfId="3278"/>
    <cellStyle name="Normal 49 3 2" xfId="3279"/>
    <cellStyle name="Normal 49 3 2 2" xfId="3280"/>
    <cellStyle name="Normal 49 3 2 2 2" xfId="3281"/>
    <cellStyle name="Normal 49 3 2 3" xfId="3282"/>
    <cellStyle name="Normal 49 3 3" xfId="3283"/>
    <cellStyle name="Normal 49 3 3 2" xfId="3284"/>
    <cellStyle name="Normal 49 3 4" xfId="3285"/>
    <cellStyle name="Normal 49 4" xfId="3286"/>
    <cellStyle name="Normal 49 4 2" xfId="3287"/>
    <cellStyle name="Normal 49 4 2 2" xfId="3288"/>
    <cellStyle name="Normal 49 4 2 2 2" xfId="3289"/>
    <cellStyle name="Normal 49 4 2 3" xfId="3290"/>
    <cellStyle name="Normal 49 4 3" xfId="3291"/>
    <cellStyle name="Normal 49 4 3 2" xfId="3292"/>
    <cellStyle name="Normal 49 4 4" xfId="3293"/>
    <cellStyle name="Normal 49 5" xfId="3294"/>
    <cellStyle name="Normal 49 5 2" xfId="3295"/>
    <cellStyle name="Normal 49 5 2 2" xfId="3296"/>
    <cellStyle name="Normal 49 5 3" xfId="3297"/>
    <cellStyle name="Normal 49 6" xfId="3298"/>
    <cellStyle name="Normal 49 6 2" xfId="3299"/>
    <cellStyle name="Normal 49 7" xfId="3300"/>
    <cellStyle name="Normal 49 8" xfId="3301"/>
    <cellStyle name="Normal 5" xfId="24"/>
    <cellStyle name="Normal-- 5" xfId="3302"/>
    <cellStyle name="Normal 5 10" xfId="3303"/>
    <cellStyle name="Normal 5 10 2" xfId="3304"/>
    <cellStyle name="Normal 5 100" xfId="3305"/>
    <cellStyle name="Normal 5 101" xfId="3306"/>
    <cellStyle name="Normal 5 102" xfId="3307"/>
    <cellStyle name="Normal 5 103" xfId="3308"/>
    <cellStyle name="Normal 5 104" xfId="3309"/>
    <cellStyle name="Normal 5 105" xfId="3310"/>
    <cellStyle name="Normal 5 106" xfId="3311"/>
    <cellStyle name="Normal 5 107" xfId="3312"/>
    <cellStyle name="Normal 5 108" xfId="3313"/>
    <cellStyle name="Normal 5 109" xfId="3314"/>
    <cellStyle name="Normal 5 11" xfId="3315"/>
    <cellStyle name="Normal 5 11 2" xfId="3316"/>
    <cellStyle name="Normal 5 110" xfId="3317"/>
    <cellStyle name="Normal 5 111" xfId="3318"/>
    <cellStyle name="Normal 5 112" xfId="3319"/>
    <cellStyle name="Normal 5 113" xfId="3320"/>
    <cellStyle name="Normal 5 12" xfId="3321"/>
    <cellStyle name="Normal 5 12 2" xfId="3322"/>
    <cellStyle name="Normal 5 13" xfId="3323"/>
    <cellStyle name="Normal 5 13 2" xfId="3324"/>
    <cellStyle name="Normal 5 14" xfId="3325"/>
    <cellStyle name="Normal 5 14 2" xfId="3326"/>
    <cellStyle name="Normal 5 15" xfId="3327"/>
    <cellStyle name="Normal 5 15 2" xfId="3328"/>
    <cellStyle name="Normal 5 16" xfId="3329"/>
    <cellStyle name="Normal 5 16 2" xfId="3330"/>
    <cellStyle name="Normal 5 17" xfId="3331"/>
    <cellStyle name="Normal 5 17 2" xfId="3332"/>
    <cellStyle name="Normal 5 18" xfId="3333"/>
    <cellStyle name="Normal 5 18 2" xfId="3334"/>
    <cellStyle name="Normal 5 19" xfId="3335"/>
    <cellStyle name="Normal 5 19 2" xfId="3336"/>
    <cellStyle name="Normal 5 2" xfId="3337"/>
    <cellStyle name="Normal 5 2 2" xfId="3338"/>
    <cellStyle name="Normal 5 2 3" xfId="3339"/>
    <cellStyle name="Normal 5 2 4" xfId="3340"/>
    <cellStyle name="Normal 5 2 5" xfId="3341"/>
    <cellStyle name="Normal 5 20" xfId="3342"/>
    <cellStyle name="Normal 5 20 2" xfId="3343"/>
    <cellStyle name="Normal 5 21" xfId="3344"/>
    <cellStyle name="Normal 5 21 2" xfId="3345"/>
    <cellStyle name="Normal 5 22" xfId="3346"/>
    <cellStyle name="Normal 5 22 2" xfId="3347"/>
    <cellStyle name="Normal 5 22 2 2" xfId="3348"/>
    <cellStyle name="Normal 5 22 3" xfId="3349"/>
    <cellStyle name="Normal 5 22 4" xfId="3350"/>
    <cellStyle name="Normal 5 23" xfId="3351"/>
    <cellStyle name="Normal 5 23 2" xfId="3352"/>
    <cellStyle name="Normal 5 24" xfId="3353"/>
    <cellStyle name="Normal 5 24 2" xfId="3354"/>
    <cellStyle name="Normal 5 25" xfId="3355"/>
    <cellStyle name="Normal 5 25 2" xfId="3356"/>
    <cellStyle name="Normal 5 26" xfId="3357"/>
    <cellStyle name="Normal 5 26 2" xfId="3358"/>
    <cellStyle name="Normal 5 27" xfId="3359"/>
    <cellStyle name="Normal 5 27 2" xfId="3360"/>
    <cellStyle name="Normal 5 28" xfId="3361"/>
    <cellStyle name="Normal 5 28 2" xfId="3362"/>
    <cellStyle name="Normal 5 29" xfId="3363"/>
    <cellStyle name="Normal 5 29 2" xfId="3364"/>
    <cellStyle name="Normal 5 3" xfId="3365"/>
    <cellStyle name="Normal 5 3 2" xfId="3366"/>
    <cellStyle name="Normal 5 30" xfId="3367"/>
    <cellStyle name="Normal 5 30 2" xfId="3368"/>
    <cellStyle name="Normal 5 31" xfId="3369"/>
    <cellStyle name="Normal 5 31 2" xfId="3370"/>
    <cellStyle name="Normal 5 32" xfId="3371"/>
    <cellStyle name="Normal 5 32 2" xfId="3372"/>
    <cellStyle name="Normal 5 33" xfId="3373"/>
    <cellStyle name="Normal 5 33 2" xfId="3374"/>
    <cellStyle name="Normal 5 34" xfId="3375"/>
    <cellStyle name="Normal 5 34 2" xfId="3376"/>
    <cellStyle name="Normal 5 35" xfId="3377"/>
    <cellStyle name="Normal 5 35 2" xfId="3378"/>
    <cellStyle name="Normal 5 36" xfId="3379"/>
    <cellStyle name="Normal 5 36 2" xfId="3380"/>
    <cellStyle name="Normal 5 37" xfId="3381"/>
    <cellStyle name="Normal 5 37 2" xfId="3382"/>
    <cellStyle name="Normal 5 38" xfId="3383"/>
    <cellStyle name="Normal 5 39" xfId="3384"/>
    <cellStyle name="Normal 5 4" xfId="3385"/>
    <cellStyle name="Normal 5 4 2" xfId="3386"/>
    <cellStyle name="Normal 5 40" xfId="3387"/>
    <cellStyle name="Normal 5 41" xfId="3388"/>
    <cellStyle name="Normal 5 42" xfId="3389"/>
    <cellStyle name="Normal 5 43" xfId="3390"/>
    <cellStyle name="Normal 5 44" xfId="3391"/>
    <cellStyle name="Normal 5 45" xfId="3392"/>
    <cellStyle name="Normal 5 46" xfId="3393"/>
    <cellStyle name="Normal 5 47" xfId="3394"/>
    <cellStyle name="Normal 5 48" xfId="3395"/>
    <cellStyle name="Normal 5 49" xfId="3396"/>
    <cellStyle name="Normal 5 5" xfId="3397"/>
    <cellStyle name="Normal 5 5 2" xfId="3398"/>
    <cellStyle name="Normal 5 50" xfId="3399"/>
    <cellStyle name="Normal 5 51" xfId="3400"/>
    <cellStyle name="Normal 5 52" xfId="3401"/>
    <cellStyle name="Normal 5 53" xfId="3402"/>
    <cellStyle name="Normal 5 54" xfId="3403"/>
    <cellStyle name="Normal 5 55" xfId="3404"/>
    <cellStyle name="Normal 5 56" xfId="3405"/>
    <cellStyle name="Normal 5 57" xfId="3406"/>
    <cellStyle name="Normal 5 58" xfId="3407"/>
    <cellStyle name="Normal 5 59" xfId="3408"/>
    <cellStyle name="Normal 5 6" xfId="3409"/>
    <cellStyle name="Normal 5 6 2" xfId="3410"/>
    <cellStyle name="Normal 5 60" xfId="3411"/>
    <cellStyle name="Normal 5 61" xfId="3412"/>
    <cellStyle name="Normal 5 62" xfId="3413"/>
    <cellStyle name="Normal 5 63" xfId="3414"/>
    <cellStyle name="Normal 5 64" xfId="3415"/>
    <cellStyle name="Normal 5 65" xfId="3416"/>
    <cellStyle name="Normal 5 66" xfId="3417"/>
    <cellStyle name="Normal 5 67" xfId="3418"/>
    <cellStyle name="Normal 5 68" xfId="3419"/>
    <cellStyle name="Normal 5 69" xfId="3420"/>
    <cellStyle name="Normal 5 7" xfId="3421"/>
    <cellStyle name="Normal 5 7 2" xfId="3422"/>
    <cellStyle name="Normal 5 70" xfId="3423"/>
    <cellStyle name="Normal 5 71" xfId="3424"/>
    <cellStyle name="Normal 5 72" xfId="3425"/>
    <cellStyle name="Normal 5 73" xfId="3426"/>
    <cellStyle name="Normal 5 74" xfId="3427"/>
    <cellStyle name="Normal 5 75" xfId="3428"/>
    <cellStyle name="Normal 5 76" xfId="3429"/>
    <cellStyle name="Normal 5 77" xfId="3430"/>
    <cellStyle name="Normal 5 78" xfId="3431"/>
    <cellStyle name="Normal 5 79" xfId="3432"/>
    <cellStyle name="Normal 5 8" xfId="3433"/>
    <cellStyle name="Normal 5 8 2" xfId="3434"/>
    <cellStyle name="Normal 5 80" xfId="3435"/>
    <cellStyle name="Normal 5 81" xfId="3436"/>
    <cellStyle name="Normal 5 82" xfId="3437"/>
    <cellStyle name="Normal 5 83" xfId="3438"/>
    <cellStyle name="Normal 5 84" xfId="3439"/>
    <cellStyle name="Normal 5 85" xfId="3440"/>
    <cellStyle name="Normal 5 86" xfId="3441"/>
    <cellStyle name="Normal 5 87" xfId="3442"/>
    <cellStyle name="Normal 5 88" xfId="3443"/>
    <cellStyle name="Normal 5 89" xfId="3444"/>
    <cellStyle name="Normal 5 9" xfId="3445"/>
    <cellStyle name="Normal 5 9 2" xfId="3446"/>
    <cellStyle name="Normal 5 90" xfId="3447"/>
    <cellStyle name="Normal 5 91" xfId="3448"/>
    <cellStyle name="Normal 5 92" xfId="3449"/>
    <cellStyle name="Normal 5 93" xfId="3450"/>
    <cellStyle name="Normal 5 94" xfId="3451"/>
    <cellStyle name="Normal 5 95" xfId="3452"/>
    <cellStyle name="Normal 5 96" xfId="3453"/>
    <cellStyle name="Normal 5 97" xfId="3454"/>
    <cellStyle name="Normal 5 98" xfId="3455"/>
    <cellStyle name="Normal 5 99" xfId="3456"/>
    <cellStyle name="Normal 50" xfId="3457"/>
    <cellStyle name="Normal 50 2" xfId="3458"/>
    <cellStyle name="Normal 50 3" xfId="3459"/>
    <cellStyle name="Normal 50 4" xfId="3460"/>
    <cellStyle name="Normal 50 5" xfId="3461"/>
    <cellStyle name="Normal 50 6" xfId="3462"/>
    <cellStyle name="Normal 50 7" xfId="3463"/>
    <cellStyle name="Normal 50 8" xfId="3464"/>
    <cellStyle name="Normal 51" xfId="3465"/>
    <cellStyle name="Normal 51 2" xfId="3466"/>
    <cellStyle name="Normal 51 2 2" xfId="3467"/>
    <cellStyle name="Normal 51 2 2 2" xfId="3468"/>
    <cellStyle name="Normal 51 2 2 2 2" xfId="3469"/>
    <cellStyle name="Normal 51 2 2 3" xfId="3470"/>
    <cellStyle name="Normal 51 2 3" xfId="3471"/>
    <cellStyle name="Normal 51 2 3 2" xfId="3472"/>
    <cellStyle name="Normal 51 2 4" xfId="3473"/>
    <cellStyle name="Normal 51 3" xfId="3474"/>
    <cellStyle name="Normal 51 3 2" xfId="3475"/>
    <cellStyle name="Normal 51 3 2 2" xfId="3476"/>
    <cellStyle name="Normal 51 3 3" xfId="3477"/>
    <cellStyle name="Normal 51 4" xfId="3478"/>
    <cellStyle name="Normal 51 4 2" xfId="3479"/>
    <cellStyle name="Normal 51 5" xfId="3480"/>
    <cellStyle name="Normal 51 6" xfId="3481"/>
    <cellStyle name="Normal 51 7" xfId="3482"/>
    <cellStyle name="Normal 51 8" xfId="3483"/>
    <cellStyle name="Normal 52" xfId="3484"/>
    <cellStyle name="Normal 52 2" xfId="3485"/>
    <cellStyle name="Normal 52 2 2" xfId="3486"/>
    <cellStyle name="Normal 52 3" xfId="3487"/>
    <cellStyle name="Normal 52 4" xfId="3488"/>
    <cellStyle name="Normal 52 5" xfId="3489"/>
    <cellStyle name="Normal 52 6" xfId="3490"/>
    <cellStyle name="Normal 52 7" xfId="3491"/>
    <cellStyle name="Normal 52 8" xfId="3492"/>
    <cellStyle name="Normal 53" xfId="3493"/>
    <cellStyle name="Normal 53 2" xfId="3494"/>
    <cellStyle name="Normal 53 2 2" xfId="3495"/>
    <cellStyle name="Normal 53 2 2 2" xfId="3496"/>
    <cellStyle name="Normal 53 2 3" xfId="3497"/>
    <cellStyle name="Normal 53 3" xfId="3498"/>
    <cellStyle name="Normal 53 3 2" xfId="3499"/>
    <cellStyle name="Normal 53 4" xfId="3500"/>
    <cellStyle name="Normal 53 5" xfId="3501"/>
    <cellStyle name="Normal 53 6" xfId="3502"/>
    <cellStyle name="Normal 53 7" xfId="3503"/>
    <cellStyle name="Normal 53 8" xfId="3504"/>
    <cellStyle name="Normal 54" xfId="3505"/>
    <cellStyle name="Normal 54 2" xfId="3506"/>
    <cellStyle name="Normal 54 3" xfId="3507"/>
    <cellStyle name="Normal 54 4" xfId="3508"/>
    <cellStyle name="Normal 54 5" xfId="3509"/>
    <cellStyle name="Normal 54 6" xfId="3510"/>
    <cellStyle name="Normal 54 7" xfId="3511"/>
    <cellStyle name="Normal 54 8" xfId="3512"/>
    <cellStyle name="Normal 55" xfId="3513"/>
    <cellStyle name="Normal 55 2" xfId="3514"/>
    <cellStyle name="Normal 55 3" xfId="3515"/>
    <cellStyle name="Normal 55 4" xfId="3516"/>
    <cellStyle name="Normal 55 5" xfId="3517"/>
    <cellStyle name="Normal 55 6" xfId="3518"/>
    <cellStyle name="Normal 55 7" xfId="3519"/>
    <cellStyle name="Normal 55 8" xfId="3520"/>
    <cellStyle name="Normal 56" xfId="3521"/>
    <cellStyle name="Normal 56 2" xfId="3522"/>
    <cellStyle name="Normal 56 3" xfId="3523"/>
    <cellStyle name="Normal 56 4" xfId="3524"/>
    <cellStyle name="Normal 56 5" xfId="3525"/>
    <cellStyle name="Normal 56 6" xfId="3526"/>
    <cellStyle name="Normal 56 7" xfId="3527"/>
    <cellStyle name="Normal 56 8" xfId="3528"/>
    <cellStyle name="Normal 57" xfId="3529"/>
    <cellStyle name="Normal 57 2" xfId="3530"/>
    <cellStyle name="Normal 57 3" xfId="3531"/>
    <cellStyle name="Normal 57 4" xfId="3532"/>
    <cellStyle name="Normal 57 5" xfId="3533"/>
    <cellStyle name="Normal 57 6" xfId="3534"/>
    <cellStyle name="Normal 57 7" xfId="3535"/>
    <cellStyle name="Normal 57 8" xfId="3536"/>
    <cellStyle name="Normal 58" xfId="3537"/>
    <cellStyle name="Normal 58 2" xfId="3538"/>
    <cellStyle name="Normal 58 3" xfId="3539"/>
    <cellStyle name="Normal 58 4" xfId="3540"/>
    <cellStyle name="Normal 58 5" xfId="3541"/>
    <cellStyle name="Normal 58 6" xfId="3542"/>
    <cellStyle name="Normal 58 7" xfId="3543"/>
    <cellStyle name="Normal 58 8" xfId="3544"/>
    <cellStyle name="Normal 59" xfId="3545"/>
    <cellStyle name="Normal 59 2" xfId="3546"/>
    <cellStyle name="Normal 59 3" xfId="3547"/>
    <cellStyle name="Normal 59 4" xfId="3548"/>
    <cellStyle name="Normal 59 5" xfId="3549"/>
    <cellStyle name="Normal 59 6" xfId="3550"/>
    <cellStyle name="Normal 59 7" xfId="3551"/>
    <cellStyle name="Normal 59 8" xfId="3552"/>
    <cellStyle name="Normal 6" xfId="3553"/>
    <cellStyle name="Normal-- 6" xfId="3554"/>
    <cellStyle name="Normal 6 10" xfId="3555"/>
    <cellStyle name="Normal 6 10 2" xfId="3556"/>
    <cellStyle name="Normal 6 100" xfId="3557"/>
    <cellStyle name="Normal 6 101" xfId="3558"/>
    <cellStyle name="Normal 6 102" xfId="3559"/>
    <cellStyle name="Normal 6 103" xfId="3560"/>
    <cellStyle name="Normal 6 104" xfId="3561"/>
    <cellStyle name="Normal 6 105" xfId="3562"/>
    <cellStyle name="Normal 6 106" xfId="3563"/>
    <cellStyle name="Normal 6 107" xfId="3564"/>
    <cellStyle name="Normal 6 108" xfId="3565"/>
    <cellStyle name="Normal 6 109" xfId="3566"/>
    <cellStyle name="Normal 6 11" xfId="3567"/>
    <cellStyle name="Normal 6 11 2" xfId="3568"/>
    <cellStyle name="Normal 6 110" xfId="3569"/>
    <cellStyle name="Normal 6 111" xfId="3570"/>
    <cellStyle name="Normal 6 112" xfId="3571"/>
    <cellStyle name="Normal 6 113" xfId="3572"/>
    <cellStyle name="Normal 6 114" xfId="3573"/>
    <cellStyle name="Normal 6 115" xfId="3574"/>
    <cellStyle name="Normal 6 116" xfId="3575"/>
    <cellStyle name="Normal 6 117" xfId="3576"/>
    <cellStyle name="Normal 6 12" xfId="3577"/>
    <cellStyle name="Normal 6 12 2" xfId="3578"/>
    <cellStyle name="Normal 6 13" xfId="3579"/>
    <cellStyle name="Normal 6 13 2" xfId="3580"/>
    <cellStyle name="Normal 6 14" xfId="3581"/>
    <cellStyle name="Normal 6 14 2" xfId="3582"/>
    <cellStyle name="Normal 6 15" xfId="3583"/>
    <cellStyle name="Normal 6 15 2" xfId="3584"/>
    <cellStyle name="Normal 6 16" xfId="3585"/>
    <cellStyle name="Normal 6 16 2" xfId="3586"/>
    <cellStyle name="Normal 6 17" xfId="3587"/>
    <cellStyle name="Normal 6 17 2" xfId="3588"/>
    <cellStyle name="Normal 6 18" xfId="3589"/>
    <cellStyle name="Normal 6 18 2" xfId="3590"/>
    <cellStyle name="Normal 6 19" xfId="3591"/>
    <cellStyle name="Normal 6 19 2" xfId="3592"/>
    <cellStyle name="Normal 6 2" xfId="3593"/>
    <cellStyle name="Normal 6 2 2" xfId="3594"/>
    <cellStyle name="Normal 6 2 3" xfId="3595"/>
    <cellStyle name="Normal 6 2 4" xfId="3596"/>
    <cellStyle name="Normal 6 2 5" xfId="3597"/>
    <cellStyle name="Normal 6 20" xfId="3598"/>
    <cellStyle name="Normal 6 20 2" xfId="3599"/>
    <cellStyle name="Normal 6 21" xfId="3600"/>
    <cellStyle name="Normal 6 21 2" xfId="3601"/>
    <cellStyle name="Normal 6 21 2 2" xfId="3602"/>
    <cellStyle name="Normal 6 21 3" xfId="3603"/>
    <cellStyle name="Normal 6 21 4" xfId="3604"/>
    <cellStyle name="Normal 6 22" xfId="3605"/>
    <cellStyle name="Normal 6 22 2" xfId="3606"/>
    <cellStyle name="Normal 6 22 2 2" xfId="3607"/>
    <cellStyle name="Normal 6 22 3" xfId="3608"/>
    <cellStyle name="Normal 6 22 4" xfId="3609"/>
    <cellStyle name="Normal 6 23" xfId="3610"/>
    <cellStyle name="Normal 6 23 2" xfId="3611"/>
    <cellStyle name="Normal 6 24" xfId="3612"/>
    <cellStyle name="Normal 6 24 2" xfId="3613"/>
    <cellStyle name="Normal 6 25" xfId="3614"/>
    <cellStyle name="Normal 6 25 2" xfId="3615"/>
    <cellStyle name="Normal 6 26" xfId="3616"/>
    <cellStyle name="Normal 6 26 2" xfId="3617"/>
    <cellStyle name="Normal 6 27" xfId="3618"/>
    <cellStyle name="Normal 6 27 2" xfId="3619"/>
    <cellStyle name="Normal 6 28" xfId="3620"/>
    <cellStyle name="Normal 6 28 2" xfId="3621"/>
    <cellStyle name="Normal 6 29" xfId="3622"/>
    <cellStyle name="Normal 6 29 2" xfId="3623"/>
    <cellStyle name="Normal 6 3" xfId="3624"/>
    <cellStyle name="Normal 6 3 2" xfId="3625"/>
    <cellStyle name="Normal 6 3 3" xfId="3626"/>
    <cellStyle name="Normal 6 3 4" xfId="3627"/>
    <cellStyle name="Normal 6 30" xfId="3628"/>
    <cellStyle name="Normal 6 31" xfId="3629"/>
    <cellStyle name="Normal 6 32" xfId="3630"/>
    <cellStyle name="Normal 6 33" xfId="3631"/>
    <cellStyle name="Normal 6 34" xfId="3632"/>
    <cellStyle name="Normal 6 35" xfId="3633"/>
    <cellStyle name="Normal 6 36" xfId="3634"/>
    <cellStyle name="Normal 6 37" xfId="3635"/>
    <cellStyle name="Normal 6 38" xfId="3636"/>
    <cellStyle name="Normal 6 39" xfId="3637"/>
    <cellStyle name="Normal 6 4" xfId="3638"/>
    <cellStyle name="Normal 6 4 2" xfId="3639"/>
    <cellStyle name="Normal 6 40" xfId="3640"/>
    <cellStyle name="Normal 6 41" xfId="3641"/>
    <cellStyle name="Normal 6 42" xfId="3642"/>
    <cellStyle name="Normal 6 43" xfId="3643"/>
    <cellStyle name="Normal 6 44" xfId="3644"/>
    <cellStyle name="Normal 6 45" xfId="3645"/>
    <cellStyle name="Normal 6 46" xfId="3646"/>
    <cellStyle name="Normal 6 47" xfId="3647"/>
    <cellStyle name="Normal 6 48" xfId="3648"/>
    <cellStyle name="Normal 6 49" xfId="3649"/>
    <cellStyle name="Normal 6 5" xfId="3650"/>
    <cellStyle name="Normal 6 5 2" xfId="3651"/>
    <cellStyle name="Normal 6 50" xfId="3652"/>
    <cellStyle name="Normal 6 51" xfId="3653"/>
    <cellStyle name="Normal 6 52" xfId="3654"/>
    <cellStyle name="Normal 6 53" xfId="3655"/>
    <cellStyle name="Normal 6 54" xfId="3656"/>
    <cellStyle name="Normal 6 55" xfId="3657"/>
    <cellStyle name="Normal 6 56" xfId="3658"/>
    <cellStyle name="Normal 6 57" xfId="3659"/>
    <cellStyle name="Normal 6 58" xfId="3660"/>
    <cellStyle name="Normal 6 59" xfId="3661"/>
    <cellStyle name="Normal 6 6" xfId="3662"/>
    <cellStyle name="Normal 6 6 2" xfId="3663"/>
    <cellStyle name="Normal 6 60" xfId="3664"/>
    <cellStyle name="Normal 6 61" xfId="3665"/>
    <cellStyle name="Normal 6 62" xfId="3666"/>
    <cellStyle name="Normal 6 63" xfId="3667"/>
    <cellStyle name="Normal 6 64" xfId="3668"/>
    <cellStyle name="Normal 6 65" xfId="3669"/>
    <cellStyle name="Normal 6 66" xfId="3670"/>
    <cellStyle name="Normal 6 67" xfId="3671"/>
    <cellStyle name="Normal 6 68" xfId="3672"/>
    <cellStyle name="Normal 6 69" xfId="3673"/>
    <cellStyle name="Normal 6 7" xfId="3674"/>
    <cellStyle name="Normal 6 7 2" xfId="3675"/>
    <cellStyle name="Normal 6 70" xfId="3676"/>
    <cellStyle name="Normal 6 71" xfId="3677"/>
    <cellStyle name="Normal 6 72" xfId="3678"/>
    <cellStyle name="Normal 6 73" xfId="3679"/>
    <cellStyle name="Normal 6 74" xfId="3680"/>
    <cellStyle name="Normal 6 75" xfId="3681"/>
    <cellStyle name="Normal 6 76" xfId="3682"/>
    <cellStyle name="Normal 6 77" xfId="3683"/>
    <cellStyle name="Normal 6 78" xfId="3684"/>
    <cellStyle name="Normal 6 79" xfId="3685"/>
    <cellStyle name="Normal 6 8" xfId="3686"/>
    <cellStyle name="Normal 6 8 2" xfId="3687"/>
    <cellStyle name="Normal 6 80" xfId="3688"/>
    <cellStyle name="Normal 6 81" xfId="3689"/>
    <cellStyle name="Normal 6 82" xfId="3690"/>
    <cellStyle name="Normal 6 83" xfId="3691"/>
    <cellStyle name="Normal 6 84" xfId="3692"/>
    <cellStyle name="Normal 6 85" xfId="3693"/>
    <cellStyle name="Normal 6 86" xfId="3694"/>
    <cellStyle name="Normal 6 87" xfId="3695"/>
    <cellStyle name="Normal 6 88" xfId="3696"/>
    <cellStyle name="Normal 6 89" xfId="3697"/>
    <cellStyle name="Normal 6 9" xfId="3698"/>
    <cellStyle name="Normal 6 9 2" xfId="3699"/>
    <cellStyle name="Normal 6 90" xfId="3700"/>
    <cellStyle name="Normal 6 91" xfId="3701"/>
    <cellStyle name="Normal 6 92" xfId="3702"/>
    <cellStyle name="Normal 6 93" xfId="3703"/>
    <cellStyle name="Normal 6 94" xfId="3704"/>
    <cellStyle name="Normal 6 95" xfId="3705"/>
    <cellStyle name="Normal 6 96" xfId="3706"/>
    <cellStyle name="Normal 6 97" xfId="3707"/>
    <cellStyle name="Normal 6 98" xfId="3708"/>
    <cellStyle name="Normal 6 99" xfId="3709"/>
    <cellStyle name="Normal 60 2" xfId="3710"/>
    <cellStyle name="Normal 60 3" xfId="3711"/>
    <cellStyle name="Normal 60 4" xfId="3712"/>
    <cellStyle name="Normal 60 5" xfId="3713"/>
    <cellStyle name="Normal 60 6" xfId="3714"/>
    <cellStyle name="Normal 60 7" xfId="3715"/>
    <cellStyle name="Normal 60 8" xfId="3716"/>
    <cellStyle name="Normal 61 2" xfId="3717"/>
    <cellStyle name="Normal 61 3" xfId="3718"/>
    <cellStyle name="Normal 61 4" xfId="3719"/>
    <cellStyle name="Normal 61 5" xfId="3720"/>
    <cellStyle name="Normal 61 6" xfId="3721"/>
    <cellStyle name="Normal 61 7" xfId="3722"/>
    <cellStyle name="Normal 61 8" xfId="3723"/>
    <cellStyle name="Normal 62 2" xfId="3724"/>
    <cellStyle name="Normal 62 3" xfId="3725"/>
    <cellStyle name="Normal 62 4" xfId="3726"/>
    <cellStyle name="Normal 62 5" xfId="3727"/>
    <cellStyle name="Normal 62 6" xfId="3728"/>
    <cellStyle name="Normal 62 7" xfId="3729"/>
    <cellStyle name="Normal 62 8" xfId="3730"/>
    <cellStyle name="Normal 63 2" xfId="3731"/>
    <cellStyle name="Normal 63 3" xfId="3732"/>
    <cellStyle name="Normal 63 4" xfId="3733"/>
    <cellStyle name="Normal 63 5" xfId="3734"/>
    <cellStyle name="Normal 63 6" xfId="3735"/>
    <cellStyle name="Normal 63 7" xfId="3736"/>
    <cellStyle name="Normal 63 8" xfId="3737"/>
    <cellStyle name="Normal 64 2" xfId="3738"/>
    <cellStyle name="Normal 64 3" xfId="3739"/>
    <cellStyle name="Normal 64 4" xfId="3740"/>
    <cellStyle name="Normal 64 5" xfId="3741"/>
    <cellStyle name="Normal 64 6" xfId="3742"/>
    <cellStyle name="Normal 64 7" xfId="3743"/>
    <cellStyle name="Normal 64 8" xfId="3744"/>
    <cellStyle name="Normal 65" xfId="3745"/>
    <cellStyle name="Normal 65 2" xfId="3746"/>
    <cellStyle name="Normal 65 3" xfId="3747"/>
    <cellStyle name="Normal 65 4" xfId="3748"/>
    <cellStyle name="Normal 65 5" xfId="3749"/>
    <cellStyle name="Normal 65 6" xfId="3750"/>
    <cellStyle name="Normal 65 7" xfId="3751"/>
    <cellStyle name="Normal 65 8" xfId="3752"/>
    <cellStyle name="Normal 67 2" xfId="3753"/>
    <cellStyle name="Normal 67 3" xfId="3754"/>
    <cellStyle name="Normal 67 4" xfId="3755"/>
    <cellStyle name="Normal 67 5" xfId="3756"/>
    <cellStyle name="Normal 67 6" xfId="3757"/>
    <cellStyle name="Normal 67 7" xfId="3758"/>
    <cellStyle name="Normal 67 8" xfId="3759"/>
    <cellStyle name="Normal 69 2" xfId="3760"/>
    <cellStyle name="Normal 69 3" xfId="3761"/>
    <cellStyle name="Normal 69 4" xfId="3762"/>
    <cellStyle name="Normal 69 5" xfId="3763"/>
    <cellStyle name="Normal 69 6" xfId="3764"/>
    <cellStyle name="Normal 69 7" xfId="3765"/>
    <cellStyle name="Normal 69 8" xfId="3766"/>
    <cellStyle name="Normal 7" xfId="3767"/>
    <cellStyle name="Normal-- 7" xfId="3768"/>
    <cellStyle name="Normal 7 10" xfId="3769"/>
    <cellStyle name="Normal 7 11" xfId="3770"/>
    <cellStyle name="Normal 7 12" xfId="3771"/>
    <cellStyle name="Normal 7 13" xfId="3772"/>
    <cellStyle name="Normal 7 14" xfId="3773"/>
    <cellStyle name="Normal 7 15" xfId="3774"/>
    <cellStyle name="Normal 7 16" xfId="3775"/>
    <cellStyle name="Normal 7 17" xfId="3776"/>
    <cellStyle name="Normal 7 18" xfId="3777"/>
    <cellStyle name="Normal 7 19" xfId="3778"/>
    <cellStyle name="Normal 7 2" xfId="3779"/>
    <cellStyle name="Normal 7 2 2" xfId="3780"/>
    <cellStyle name="Normal 7 2 3" xfId="3781"/>
    <cellStyle name="Normal 7 2 4" xfId="3782"/>
    <cellStyle name="Normal 7 20" xfId="3783"/>
    <cellStyle name="Normal 7 21" xfId="3784"/>
    <cellStyle name="Normal 7 22" xfId="3785"/>
    <cellStyle name="Normal 7 23" xfId="3786"/>
    <cellStyle name="Normal 7 24" xfId="3787"/>
    <cellStyle name="Normal 7 25" xfId="3788"/>
    <cellStyle name="Normal 7 26" xfId="3789"/>
    <cellStyle name="Normal 7 27" xfId="3790"/>
    <cellStyle name="Normal 7 28" xfId="3791"/>
    <cellStyle name="Normal 7 29" xfId="3792"/>
    <cellStyle name="Normal 7 3" xfId="3793"/>
    <cellStyle name="Normal 7 30" xfId="3794"/>
    <cellStyle name="Normal 7 31" xfId="3795"/>
    <cellStyle name="Normal 7 32" xfId="3796"/>
    <cellStyle name="Normal 7 33" xfId="3797"/>
    <cellStyle name="Normal 7 34" xfId="3798"/>
    <cellStyle name="Normal 7 35" xfId="3799"/>
    <cellStyle name="Normal 7 36" xfId="3800"/>
    <cellStyle name="Normal 7 37" xfId="3801"/>
    <cellStyle name="Normal 7 38" xfId="3802"/>
    <cellStyle name="Normal 7 4" xfId="3803"/>
    <cellStyle name="Normal 7 5" xfId="3804"/>
    <cellStyle name="Normal 7 6" xfId="3805"/>
    <cellStyle name="Normal 7 7" xfId="3806"/>
    <cellStyle name="Normal 7 8" xfId="3807"/>
    <cellStyle name="Normal 7 9" xfId="3808"/>
    <cellStyle name="Normal 70 2" xfId="3809"/>
    <cellStyle name="Normal 70 3" xfId="3810"/>
    <cellStyle name="Normal 70 4" xfId="3811"/>
    <cellStyle name="Normal 70 5" xfId="3812"/>
    <cellStyle name="Normal 70 6" xfId="3813"/>
    <cellStyle name="Normal 70 7" xfId="3814"/>
    <cellStyle name="Normal 70 8" xfId="3815"/>
    <cellStyle name="Normal 71 2" xfId="3816"/>
    <cellStyle name="Normal 71 3" xfId="3817"/>
    <cellStyle name="Normal 71 4" xfId="3818"/>
    <cellStyle name="Normal 71 5" xfId="3819"/>
    <cellStyle name="Normal 71 6" xfId="3820"/>
    <cellStyle name="Normal 71 7" xfId="3821"/>
    <cellStyle name="Normal 71 8" xfId="3822"/>
    <cellStyle name="Normal 72 2" xfId="3823"/>
    <cellStyle name="Normal 72 3" xfId="3824"/>
    <cellStyle name="Normal 72 4" xfId="3825"/>
    <cellStyle name="Normal 72 5" xfId="3826"/>
    <cellStyle name="Normal 72 6" xfId="3827"/>
    <cellStyle name="Normal 72 7" xfId="3828"/>
    <cellStyle name="Normal 72 8" xfId="3829"/>
    <cellStyle name="Normal 73 2" xfId="3830"/>
    <cellStyle name="Normal 73 3" xfId="3831"/>
    <cellStyle name="Normal 73 4" xfId="3832"/>
    <cellStyle name="Normal 73 5" xfId="3833"/>
    <cellStyle name="Normal 73 6" xfId="3834"/>
    <cellStyle name="Normal 73 7" xfId="3835"/>
    <cellStyle name="Normal 73 8" xfId="3836"/>
    <cellStyle name="Normal 74 2" xfId="3837"/>
    <cellStyle name="Normal 74 3" xfId="3838"/>
    <cellStyle name="Normal 74 4" xfId="3839"/>
    <cellStyle name="Normal 74 5" xfId="3840"/>
    <cellStyle name="Normal 74 6" xfId="3841"/>
    <cellStyle name="Normal 74 7" xfId="3842"/>
    <cellStyle name="Normal 74 8" xfId="3843"/>
    <cellStyle name="Normal 75 2" xfId="3844"/>
    <cellStyle name="Normal 75 3" xfId="3845"/>
    <cellStyle name="Normal 75 4" xfId="3846"/>
    <cellStyle name="Normal 75 5" xfId="3847"/>
    <cellStyle name="Normal 75 6" xfId="3848"/>
    <cellStyle name="Normal 75 7" xfId="3849"/>
    <cellStyle name="Normal 75 8" xfId="3850"/>
    <cellStyle name="Normal 76" xfId="3851"/>
    <cellStyle name="Normal 77" xfId="3852"/>
    <cellStyle name="Normal 8" xfId="3853"/>
    <cellStyle name="Normal-- 8" xfId="3854"/>
    <cellStyle name="Normal 8 10" xfId="3855"/>
    <cellStyle name="Normal 8 11" xfId="3856"/>
    <cellStyle name="Normal 8 12" xfId="3857"/>
    <cellStyle name="Normal 8 13" xfId="3858"/>
    <cellStyle name="Normal 8 14" xfId="3859"/>
    <cellStyle name="Normal 8 15" xfId="3860"/>
    <cellStyle name="Normal 8 16" xfId="3861"/>
    <cellStyle name="Normal 8 17" xfId="3862"/>
    <cellStyle name="Normal 8 18" xfId="3863"/>
    <cellStyle name="Normal 8 19" xfId="3864"/>
    <cellStyle name="Normal 8 2" xfId="3865"/>
    <cellStyle name="Normal 8 2 2" xfId="3866"/>
    <cellStyle name="Normal 8 20" xfId="3867"/>
    <cellStyle name="Normal 8 21" xfId="3868"/>
    <cellStyle name="Normal 8 21 2" xfId="3869"/>
    <cellStyle name="Normal 8 21 2 2" xfId="3870"/>
    <cellStyle name="Normal 8 21 2 2 2" xfId="3871"/>
    <cellStyle name="Normal 8 21 2 3" xfId="3872"/>
    <cellStyle name="Normal 8 21 3" xfId="3873"/>
    <cellStyle name="Normal 8 21 3 2" xfId="3874"/>
    <cellStyle name="Normal 8 21 4" xfId="3875"/>
    <cellStyle name="Normal 8 22" xfId="3876"/>
    <cellStyle name="Normal 8 22 2" xfId="3877"/>
    <cellStyle name="Normal 8 22 2 2" xfId="3878"/>
    <cellStyle name="Normal 8 22 2 2 2" xfId="3879"/>
    <cellStyle name="Normal 8 22 2 3" xfId="3880"/>
    <cellStyle name="Normal 8 22 3" xfId="3881"/>
    <cellStyle name="Normal 8 22 3 2" xfId="3882"/>
    <cellStyle name="Normal 8 22 4" xfId="3883"/>
    <cellStyle name="Normal 8 23" xfId="3884"/>
    <cellStyle name="Normal 8 23 2" xfId="3885"/>
    <cellStyle name="Normal 8 23 2 2" xfId="3886"/>
    <cellStyle name="Normal 8 23 3" xfId="3887"/>
    <cellStyle name="Normal 8 24" xfId="3888"/>
    <cellStyle name="Normal 8 24 2" xfId="3889"/>
    <cellStyle name="Normal 8 25" xfId="3890"/>
    <cellStyle name="Normal 8 26" xfId="3891"/>
    <cellStyle name="Normal 8 27" xfId="3892"/>
    <cellStyle name="Normal 8 28" xfId="3893"/>
    <cellStyle name="Normal 8 29" xfId="3894"/>
    <cellStyle name="Normal 8 3" xfId="3895"/>
    <cellStyle name="Normal 8 3 2" xfId="3896"/>
    <cellStyle name="Normal 8 30" xfId="3897"/>
    <cellStyle name="Normal 8 31" xfId="3898"/>
    <cellStyle name="Normal 8 32" xfId="3899"/>
    <cellStyle name="Normal 8 33" xfId="3900"/>
    <cellStyle name="Normal 8 34" xfId="3901"/>
    <cellStyle name="Normal 8 35" xfId="3902"/>
    <cellStyle name="Normal 8 36" xfId="3903"/>
    <cellStyle name="Normal 8 37" xfId="3904"/>
    <cellStyle name="Normal 8 38" xfId="3905"/>
    <cellStyle name="Normal 8 39" xfId="3906"/>
    <cellStyle name="Normal 8 4" xfId="3907"/>
    <cellStyle name="Normal 8 40" xfId="3908"/>
    <cellStyle name="Normal 8 41" xfId="3909"/>
    <cellStyle name="Normal 8 42" xfId="3910"/>
    <cellStyle name="Normal 8 5" xfId="3911"/>
    <cellStyle name="Normal 8 6" xfId="3912"/>
    <cellStyle name="Normal 8 7" xfId="3913"/>
    <cellStyle name="Normal 8 8" xfId="3914"/>
    <cellStyle name="Normal 8 9" xfId="3915"/>
    <cellStyle name="Normal 9" xfId="3916"/>
    <cellStyle name="Normal 9 2" xfId="3917"/>
    <cellStyle name="Normal 9 2 2" xfId="3918"/>
    <cellStyle name="Normal 9 3" xfId="3919"/>
    <cellStyle name="Normal 9 4" xfId="3920"/>
    <cellStyle name="Normal 9 5" xfId="3921"/>
    <cellStyle name="Normal 9 6" xfId="3922"/>
    <cellStyle name="Normal_OEB Trial Balance - Regulatory-July24-07" xfId="4516"/>
    <cellStyle name="Normal_Sheet2" xfId="4515"/>
    <cellStyle name="Normal2" xfId="3923"/>
    <cellStyle name="Normale_97.98.us" xfId="3924"/>
    <cellStyle name="NormalGB" xfId="3925"/>
    <cellStyle name="Normalx" xfId="3926"/>
    <cellStyle name="Note 2" xfId="3927"/>
    <cellStyle name="Note 2 10" xfId="3928"/>
    <cellStyle name="Note 2 11" xfId="3929"/>
    <cellStyle name="Note 2 12" xfId="3930"/>
    <cellStyle name="Note 2 13" xfId="3931"/>
    <cellStyle name="Note 2 2" xfId="3932"/>
    <cellStyle name="Note 2 2 2" xfId="3933"/>
    <cellStyle name="Note 2 2 2 2" xfId="3934"/>
    <cellStyle name="Note 2 2 2 3" xfId="3935"/>
    <cellStyle name="Note 2 2 3" xfId="3936"/>
    <cellStyle name="Note 2 2 4" xfId="3937"/>
    <cellStyle name="Note 2 2 5" xfId="3938"/>
    <cellStyle name="Note 2 2 6" xfId="3939"/>
    <cellStyle name="Note 2 3" xfId="3940"/>
    <cellStyle name="Note 2 3 2" xfId="3941"/>
    <cellStyle name="Note 2 4" xfId="3942"/>
    <cellStyle name="Note 2 5" xfId="3943"/>
    <cellStyle name="Note 2 6" xfId="3944"/>
    <cellStyle name="Note 2 7" xfId="3945"/>
    <cellStyle name="Note 2 8" xfId="3946"/>
    <cellStyle name="Note 2 9" xfId="3947"/>
    <cellStyle name="Note 3" xfId="3948"/>
    <cellStyle name="Note 3 2" xfId="3949"/>
    <cellStyle name="Note 3 3" xfId="3950"/>
    <cellStyle name="Note 4" xfId="3951"/>
    <cellStyle name="Note 4 2" xfId="3952"/>
    <cellStyle name="Note 5" xfId="3953"/>
    <cellStyle name="Note 5 2" xfId="3954"/>
    <cellStyle name="Note 6" xfId="3955"/>
    <cellStyle name="Note 6 2" xfId="3956"/>
    <cellStyle name="Note 7" xfId="3957"/>
    <cellStyle name="Note 7 2" xfId="3958"/>
    <cellStyle name="Note 8" xfId="3959"/>
    <cellStyle name="Note 8 2" xfId="3960"/>
    <cellStyle name="Note 8 2 2" xfId="3961"/>
    <cellStyle name="Note 8 2 2 2" xfId="3962"/>
    <cellStyle name="Note 8 2 2 2 2" xfId="3963"/>
    <cellStyle name="Note 8 2 2 3" xfId="3964"/>
    <cellStyle name="Note 8 2 3" xfId="3965"/>
    <cellStyle name="Note 8 2 3 2" xfId="3966"/>
    <cellStyle name="Note 8 2 4" xfId="3967"/>
    <cellStyle name="Note 8 3" xfId="3968"/>
    <cellStyle name="Note 8 3 2" xfId="3969"/>
    <cellStyle name="Note 8 3 2 2" xfId="3970"/>
    <cellStyle name="Note 8 3 2 2 2" xfId="3971"/>
    <cellStyle name="Note 8 3 2 3" xfId="3972"/>
    <cellStyle name="Note 8 3 3" xfId="3973"/>
    <cellStyle name="Note 8 3 3 2" xfId="3974"/>
    <cellStyle name="Note 8 3 4" xfId="3975"/>
    <cellStyle name="Note 8 4" xfId="3976"/>
    <cellStyle name="Note 8 4 2" xfId="3977"/>
    <cellStyle name="Note 8 4 2 2" xfId="3978"/>
    <cellStyle name="Note 8 4 3" xfId="3979"/>
    <cellStyle name="Note 8 5" xfId="3980"/>
    <cellStyle name="Note 8 5 2" xfId="3981"/>
    <cellStyle name="Note 8 6" xfId="3982"/>
    <cellStyle name="Nr 0 dec" xfId="3983"/>
    <cellStyle name="Nr 0 dec - Input" xfId="3984"/>
    <cellStyle name="Nr 0 dec - Subtotal" xfId="3985"/>
    <cellStyle name="Nr 0 dec_Data" xfId="3986"/>
    <cellStyle name="Nr 1 dec" xfId="3987"/>
    <cellStyle name="Nr 1 dec - Input" xfId="3988"/>
    <cellStyle name="Nr, 0 dec" xfId="3989"/>
    <cellStyle name="number" xfId="3990"/>
    <cellStyle name="Number, 1 dec" xfId="3991"/>
    <cellStyle name="Output (1dp#)" xfId="3992"/>
    <cellStyle name="Output (1dpx)_ Pies " xfId="3993"/>
    <cellStyle name="Output 2" xfId="3994"/>
    <cellStyle name="Output 2 10" xfId="3995"/>
    <cellStyle name="Output 2 11" xfId="3996"/>
    <cellStyle name="Output 2 2" xfId="3997"/>
    <cellStyle name="Output 2 2 2" xfId="3998"/>
    <cellStyle name="Output 2 2 3" xfId="3999"/>
    <cellStyle name="Output 2 2 4" xfId="4000"/>
    <cellStyle name="Output 2 3" xfId="4001"/>
    <cellStyle name="Output 2 4" xfId="4002"/>
    <cellStyle name="Output 2 5" xfId="4003"/>
    <cellStyle name="Output 2 6" xfId="4004"/>
    <cellStyle name="Output 2 7" xfId="4005"/>
    <cellStyle name="Output 2 8" xfId="4006"/>
    <cellStyle name="Output 2 9" xfId="4007"/>
    <cellStyle name="Page Heading" xfId="4008"/>
    <cellStyle name="Page Heading Large" xfId="4009"/>
    <cellStyle name="Page Heading Small" xfId="4010"/>
    <cellStyle name="Page Number" xfId="4011"/>
    <cellStyle name="pb_page_heading_LS" xfId="4012"/>
    <cellStyle name="Per aandeel" xfId="4013"/>
    <cellStyle name="Percent" xfId="21" builtinId="5"/>
    <cellStyle name="Percent (1)" xfId="4014"/>
    <cellStyle name="Percent [0]" xfId="4015"/>
    <cellStyle name="Percent [00]" xfId="4016"/>
    <cellStyle name="Percent [1]" xfId="4017"/>
    <cellStyle name="Percent [2]" xfId="4018"/>
    <cellStyle name="Percent [2] 2" xfId="4019"/>
    <cellStyle name="Percent [2] 3" xfId="4020"/>
    <cellStyle name="Percent 1 dec" xfId="4021"/>
    <cellStyle name="Percent 1 dec - Input" xfId="4022"/>
    <cellStyle name="Percent 1 dec_Data" xfId="4023"/>
    <cellStyle name="Percent 10" xfId="4024"/>
    <cellStyle name="Percent 2" xfId="22"/>
    <cellStyle name="Percent 2 10" xfId="4025"/>
    <cellStyle name="Percent 2 10 2" xfId="4026"/>
    <cellStyle name="Percent 2 10 2 2" xfId="4027"/>
    <cellStyle name="Percent 2 10 3" xfId="4028"/>
    <cellStyle name="Percent 2 11" xfId="4029"/>
    <cellStyle name="Percent 2 12" xfId="4030"/>
    <cellStyle name="Percent 2 12 2" xfId="4031"/>
    <cellStyle name="Percent 2 12 2 2" xfId="4032"/>
    <cellStyle name="Percent 2 12 3" xfId="4033"/>
    <cellStyle name="Percent 2 13" xfId="4034"/>
    <cellStyle name="Percent 2 13 2" xfId="4035"/>
    <cellStyle name="Percent 2 14" xfId="4036"/>
    <cellStyle name="Percent 2 15" xfId="4037"/>
    <cellStyle name="Percent 2 16" xfId="4038"/>
    <cellStyle name="Percent 2 17" xfId="4039"/>
    <cellStyle name="Percent 2 18" xfId="4040"/>
    <cellStyle name="Percent 2 19" xfId="4041"/>
    <cellStyle name="Percent 2 2" xfId="4042"/>
    <cellStyle name="Percent 2 2 2" xfId="4043"/>
    <cellStyle name="Percent 2 2 3" xfId="4044"/>
    <cellStyle name="Percent 2 2 4" xfId="4045"/>
    <cellStyle name="Percent 2 2 4 2" xfId="4046"/>
    <cellStyle name="Percent 2 2 4 2 2" xfId="4047"/>
    <cellStyle name="Percent 2 2 4 2 2 2" xfId="4048"/>
    <cellStyle name="Percent 2 2 4 2 3" xfId="4049"/>
    <cellStyle name="Percent 2 2 4 3" xfId="4050"/>
    <cellStyle name="Percent 2 2 4 3 2" xfId="4051"/>
    <cellStyle name="Percent 2 2 4 4" xfId="4052"/>
    <cellStyle name="Percent 2 2 5" xfId="4053"/>
    <cellStyle name="Percent 2 2 6" xfId="4054"/>
    <cellStyle name="Percent 2 3" xfId="4055"/>
    <cellStyle name="Percent 2 4" xfId="4056"/>
    <cellStyle name="Percent 2 5" xfId="4057"/>
    <cellStyle name="Percent 2 5 2" xfId="4058"/>
    <cellStyle name="Percent 2 5 2 2" xfId="4059"/>
    <cellStyle name="Percent 2 5 2 2 2" xfId="4060"/>
    <cellStyle name="Percent 2 5 2 2 2 2" xfId="4061"/>
    <cellStyle name="Percent 2 5 2 2 3" xfId="4062"/>
    <cellStyle name="Percent 2 5 2 3" xfId="4063"/>
    <cellStyle name="Percent 2 5 2 3 2" xfId="4064"/>
    <cellStyle name="Percent 2 5 2 4" xfId="4065"/>
    <cellStyle name="Percent 2 5 3" xfId="4066"/>
    <cellStyle name="Percent 2 5 3 2" xfId="4067"/>
    <cellStyle name="Percent 2 5 3 2 2" xfId="4068"/>
    <cellStyle name="Percent 2 5 3 2 2 2" xfId="4069"/>
    <cellStyle name="Percent 2 5 3 2 3" xfId="4070"/>
    <cellStyle name="Percent 2 5 3 3" xfId="4071"/>
    <cellStyle name="Percent 2 5 3 3 2" xfId="4072"/>
    <cellStyle name="Percent 2 5 3 4" xfId="4073"/>
    <cellStyle name="Percent 2 5 4" xfId="4074"/>
    <cellStyle name="Percent 2 5 4 2" xfId="4075"/>
    <cellStyle name="Percent 2 5 4 2 2" xfId="4076"/>
    <cellStyle name="Percent 2 5 4 3" xfId="4077"/>
    <cellStyle name="Percent 2 5 5" xfId="4078"/>
    <cellStyle name="Percent 2 5 5 2" xfId="4079"/>
    <cellStyle name="Percent 2 5 6" xfId="4080"/>
    <cellStyle name="Percent 2 6" xfId="4081"/>
    <cellStyle name="Percent 2 6 2" xfId="4082"/>
    <cellStyle name="Percent 2 6 2 2" xfId="4083"/>
    <cellStyle name="Percent 2 6 2 2 2" xfId="4084"/>
    <cellStyle name="Percent 2 6 2 2 2 2" xfId="4085"/>
    <cellStyle name="Percent 2 6 2 2 3" xfId="4086"/>
    <cellStyle name="Percent 2 6 2 3" xfId="4087"/>
    <cellStyle name="Percent 2 6 2 3 2" xfId="4088"/>
    <cellStyle name="Percent 2 6 2 4" xfId="4089"/>
    <cellStyle name="Percent 2 6 3" xfId="4090"/>
    <cellStyle name="Percent 2 6 3 2" xfId="4091"/>
    <cellStyle name="Percent 2 6 3 2 2" xfId="4092"/>
    <cellStyle name="Percent 2 6 3 2 2 2" xfId="4093"/>
    <cellStyle name="Percent 2 6 3 2 3" xfId="4094"/>
    <cellStyle name="Percent 2 6 3 3" xfId="4095"/>
    <cellStyle name="Percent 2 6 3 3 2" xfId="4096"/>
    <cellStyle name="Percent 2 6 3 4" xfId="4097"/>
    <cellStyle name="Percent 2 6 4" xfId="4098"/>
    <cellStyle name="Percent 2 6 4 2" xfId="4099"/>
    <cellStyle name="Percent 2 6 4 2 2" xfId="4100"/>
    <cellStyle name="Percent 2 6 4 3" xfId="4101"/>
    <cellStyle name="Percent 2 6 5" xfId="4102"/>
    <cellStyle name="Percent 2 6 5 2" xfId="4103"/>
    <cellStyle name="Percent 2 6 6" xfId="4104"/>
    <cellStyle name="Percent 2 7" xfId="4105"/>
    <cellStyle name="Percent 2 7 2" xfId="4106"/>
    <cellStyle name="Percent 2 7 3" xfId="4107"/>
    <cellStyle name="Percent 2 7 4" xfId="4108"/>
    <cellStyle name="Percent 2 7 4 2" xfId="4109"/>
    <cellStyle name="Percent 2 7 4 2 2" xfId="4110"/>
    <cellStyle name="Percent 2 7 4 3" xfId="4111"/>
    <cellStyle name="Percent 2 7 5" xfId="4112"/>
    <cellStyle name="Percent 2 7 5 2" xfId="4113"/>
    <cellStyle name="Percent 2 7 6" xfId="4114"/>
    <cellStyle name="Percent 2 8" xfId="4115"/>
    <cellStyle name="Percent 2 8 2" xfId="4116"/>
    <cellStyle name="Percent 2 8 2 2" xfId="4117"/>
    <cellStyle name="Percent 2 8 2 2 2" xfId="4118"/>
    <cellStyle name="Percent 2 8 2 3" xfId="4119"/>
    <cellStyle name="Percent 2 8 3" xfId="4120"/>
    <cellStyle name="Percent 2 8 3 2" xfId="4121"/>
    <cellStyle name="Percent 2 8 4" xfId="4122"/>
    <cellStyle name="Percent 2 9" xfId="4123"/>
    <cellStyle name="Percent 3" xfId="26"/>
    <cellStyle name="Percent 3 2" xfId="4124"/>
    <cellStyle name="Percent 3 2 2" xfId="4125"/>
    <cellStyle name="Percent 3 2 2 2" xfId="4126"/>
    <cellStyle name="Percent 3 2 3" xfId="4127"/>
    <cellStyle name="Percent 3 2 4" xfId="4128"/>
    <cellStyle name="Percent 3 3" xfId="4129"/>
    <cellStyle name="Percent 3 4" xfId="4130"/>
    <cellStyle name="Percent 4" xfId="4131"/>
    <cellStyle name="Percent 4 2" xfId="4132"/>
    <cellStyle name="Percent 4 2 2" xfId="4133"/>
    <cellStyle name="Percent 4 3" xfId="4134"/>
    <cellStyle name="Percent 4 3 2" xfId="4135"/>
    <cellStyle name="Percent 4 3 2 2" xfId="4136"/>
    <cellStyle name="Percent 4 3 3" xfId="4137"/>
    <cellStyle name="Percent 5" xfId="4138"/>
    <cellStyle name="Percent 5 2" xfId="4139"/>
    <cellStyle name="Percent 5 2 2" xfId="4140"/>
    <cellStyle name="Percent 5 2 2 2" xfId="4141"/>
    <cellStyle name="Percent 5 2 3" xfId="4142"/>
    <cellStyle name="Percent 6" xfId="4143"/>
    <cellStyle name="Percent 6 2" xfId="4144"/>
    <cellStyle name="Percent 6 2 2" xfId="4145"/>
    <cellStyle name="Percent 6 2 2 2" xfId="4146"/>
    <cellStyle name="Percent 6 2 3" xfId="4147"/>
    <cellStyle name="Percent 6 3" xfId="4148"/>
    <cellStyle name="Percent 6 3 2" xfId="4149"/>
    <cellStyle name="Percent 6 3 2 2" xfId="4150"/>
    <cellStyle name="Percent 6 3 3" xfId="4151"/>
    <cellStyle name="Percent 7" xfId="4152"/>
    <cellStyle name="Percent 7 2" xfId="4153"/>
    <cellStyle name="Percent 7 2 2" xfId="4154"/>
    <cellStyle name="Percent 7 2 2 2" xfId="4155"/>
    <cellStyle name="Percent 7 2 3" xfId="4156"/>
    <cellStyle name="Percent 7 3" xfId="4157"/>
    <cellStyle name="Percent 7 3 2" xfId="4158"/>
    <cellStyle name="Percent 7 4" xfId="4159"/>
    <cellStyle name="Percent 8" xfId="4160"/>
    <cellStyle name="Percent 9" xfId="4161"/>
    <cellStyle name="Percent Hard" xfId="4162"/>
    <cellStyle name="percentage" xfId="4163"/>
    <cellStyle name="PercentChange" xfId="4164"/>
    <cellStyle name="PLAN1" xfId="4165"/>
    <cellStyle name="Porcentaje" xfId="4166"/>
    <cellStyle name="Pourcentage_Profit &amp; Loss" xfId="4167"/>
    <cellStyle name="PrePop Currency (0)" xfId="4168"/>
    <cellStyle name="PrePop Currency (2)" xfId="4169"/>
    <cellStyle name="PrePop Units (0)" xfId="4170"/>
    <cellStyle name="PrePop Units (1)" xfId="4171"/>
    <cellStyle name="PrePop Units (2)" xfId="4172"/>
    <cellStyle name="Procenten" xfId="4173"/>
    <cellStyle name="Procenten estimate" xfId="4174"/>
    <cellStyle name="Procenten_EMI" xfId="4175"/>
    <cellStyle name="Profit figure" xfId="4176"/>
    <cellStyle name="Protected" xfId="4177"/>
    <cellStyle name="ProtectedDates" xfId="4178"/>
    <cellStyle name="PSChar" xfId="4179"/>
    <cellStyle name="PSDate" xfId="4180"/>
    <cellStyle name="PSDec" xfId="4181"/>
    <cellStyle name="PSHeading" xfId="4182"/>
    <cellStyle name="PSInt" xfId="4183"/>
    <cellStyle name="PSSpacer" xfId="4184"/>
    <cellStyle name="RatioX" xfId="4185"/>
    <cellStyle name="Red font" xfId="4186"/>
    <cellStyle name="ref" xfId="4187"/>
    <cellStyle name="Right" xfId="4188"/>
    <cellStyle name="Salomon Logo" xfId="4189"/>
    <cellStyle name="ScripFactor" xfId="4190"/>
    <cellStyle name="SectionHeading" xfId="4191"/>
    <cellStyle name="Shade" xfId="4192"/>
    <cellStyle name="Shaded" xfId="4193"/>
    <cellStyle name="Single Accounting" xfId="4194"/>
    <cellStyle name="SingleLineAcctgn" xfId="4195"/>
    <cellStyle name="SingleLinePercent" xfId="4196"/>
    <cellStyle name="Source Superscript" xfId="4197"/>
    <cellStyle name="Source Text" xfId="4198"/>
    <cellStyle name="ssp " xfId="4199"/>
    <cellStyle name="Standard" xfId="4200"/>
    <cellStyle name="Style 1" xfId="4201"/>
    <cellStyle name="Style 10" xfId="4202"/>
    <cellStyle name="Style 100" xfId="4203"/>
    <cellStyle name="Style 101" xfId="4204"/>
    <cellStyle name="Style 102" xfId="4205"/>
    <cellStyle name="Style 103" xfId="4206"/>
    <cellStyle name="Style 104" xfId="4207"/>
    <cellStyle name="Style 105" xfId="4208"/>
    <cellStyle name="Style 106" xfId="4209"/>
    <cellStyle name="Style 107" xfId="4210"/>
    <cellStyle name="Style 108" xfId="4211"/>
    <cellStyle name="Style 109" xfId="4212"/>
    <cellStyle name="Style 11" xfId="4213"/>
    <cellStyle name="Style 110" xfId="4214"/>
    <cellStyle name="Style 111" xfId="4215"/>
    <cellStyle name="Style 112" xfId="4216"/>
    <cellStyle name="Style 113" xfId="4217"/>
    <cellStyle name="Style 114" xfId="4218"/>
    <cellStyle name="Style 115" xfId="4219"/>
    <cellStyle name="Style 116" xfId="4220"/>
    <cellStyle name="Style 117" xfId="4221"/>
    <cellStyle name="Style 118" xfId="4222"/>
    <cellStyle name="Style 119" xfId="4223"/>
    <cellStyle name="Style 12" xfId="4224"/>
    <cellStyle name="Style 120" xfId="4225"/>
    <cellStyle name="Style 121" xfId="4226"/>
    <cellStyle name="Style 122" xfId="4227"/>
    <cellStyle name="Style 123" xfId="4228"/>
    <cellStyle name="Style 124" xfId="4229"/>
    <cellStyle name="Style 125" xfId="4230"/>
    <cellStyle name="Style 126" xfId="4231"/>
    <cellStyle name="Style 127" xfId="4232"/>
    <cellStyle name="Style 128" xfId="4233"/>
    <cellStyle name="Style 129" xfId="4234"/>
    <cellStyle name="Style 13" xfId="4235"/>
    <cellStyle name="Style 130" xfId="4236"/>
    <cellStyle name="Style 131" xfId="4237"/>
    <cellStyle name="Style 132" xfId="4238"/>
    <cellStyle name="Style 133" xfId="4239"/>
    <cellStyle name="Style 134" xfId="4240"/>
    <cellStyle name="Style 135" xfId="4241"/>
    <cellStyle name="Style 136" xfId="4242"/>
    <cellStyle name="Style 137" xfId="4243"/>
    <cellStyle name="Style 138" xfId="4244"/>
    <cellStyle name="Style 139" xfId="4245"/>
    <cellStyle name="Style 14" xfId="4246"/>
    <cellStyle name="Style 140" xfId="4247"/>
    <cellStyle name="Style 141" xfId="4248"/>
    <cellStyle name="Style 142" xfId="4249"/>
    <cellStyle name="Style 143" xfId="4250"/>
    <cellStyle name="Style 144" xfId="4251"/>
    <cellStyle name="Style 145" xfId="4252"/>
    <cellStyle name="Style 146" xfId="4253"/>
    <cellStyle name="Style 147" xfId="4254"/>
    <cellStyle name="Style 148" xfId="4255"/>
    <cellStyle name="Style 149" xfId="4256"/>
    <cellStyle name="Style 15" xfId="4257"/>
    <cellStyle name="Style 150" xfId="4258"/>
    <cellStyle name="Style 151" xfId="4259"/>
    <cellStyle name="Style 152" xfId="4260"/>
    <cellStyle name="Style 153" xfId="4261"/>
    <cellStyle name="Style 154" xfId="4262"/>
    <cellStyle name="Style 155" xfId="4263"/>
    <cellStyle name="Style 156" xfId="4264"/>
    <cellStyle name="Style 157" xfId="4265"/>
    <cellStyle name="Style 158" xfId="4266"/>
    <cellStyle name="Style 159" xfId="4267"/>
    <cellStyle name="Style 16" xfId="4268"/>
    <cellStyle name="Style 160" xfId="4269"/>
    <cellStyle name="Style 161" xfId="4270"/>
    <cellStyle name="Style 162" xfId="4271"/>
    <cellStyle name="Style 163" xfId="4272"/>
    <cellStyle name="Style 164" xfId="4273"/>
    <cellStyle name="Style 165" xfId="4274"/>
    <cellStyle name="Style 166" xfId="4275"/>
    <cellStyle name="Style 167" xfId="4276"/>
    <cellStyle name="Style 168" xfId="4277"/>
    <cellStyle name="Style 169" xfId="4278"/>
    <cellStyle name="Style 17" xfId="4279"/>
    <cellStyle name="Style 170" xfId="4280"/>
    <cellStyle name="Style 171" xfId="4281"/>
    <cellStyle name="Style 172" xfId="4282"/>
    <cellStyle name="Style 173" xfId="4283"/>
    <cellStyle name="Style 174" xfId="4284"/>
    <cellStyle name="Style 175" xfId="4285"/>
    <cellStyle name="Style 176" xfId="4286"/>
    <cellStyle name="Style 177" xfId="4287"/>
    <cellStyle name="Style 178" xfId="4288"/>
    <cellStyle name="Style 179" xfId="4289"/>
    <cellStyle name="Style 18" xfId="4290"/>
    <cellStyle name="Style 180" xfId="4291"/>
    <cellStyle name="Style 181" xfId="4292"/>
    <cellStyle name="Style 182" xfId="4293"/>
    <cellStyle name="Style 183" xfId="4294"/>
    <cellStyle name="Style 184" xfId="4295"/>
    <cellStyle name="Style 185" xfId="4296"/>
    <cellStyle name="Style 186" xfId="4297"/>
    <cellStyle name="Style 187" xfId="4298"/>
    <cellStyle name="Style 188" xfId="4299"/>
    <cellStyle name="Style 189" xfId="4300"/>
    <cellStyle name="Style 19" xfId="4301"/>
    <cellStyle name="Style 190" xfId="4302"/>
    <cellStyle name="Style 191" xfId="4303"/>
    <cellStyle name="Style 192" xfId="4304"/>
    <cellStyle name="Style 193" xfId="4305"/>
    <cellStyle name="Style 194" xfId="4306"/>
    <cellStyle name="Style 195" xfId="4307"/>
    <cellStyle name="Style 196" xfId="4308"/>
    <cellStyle name="Style 197" xfId="4309"/>
    <cellStyle name="Style 198" xfId="4310"/>
    <cellStyle name="Style 199" xfId="4311"/>
    <cellStyle name="Style 2" xfId="4312"/>
    <cellStyle name="Style 20" xfId="4313"/>
    <cellStyle name="Style 200" xfId="4314"/>
    <cellStyle name="Style 201" xfId="4315"/>
    <cellStyle name="Style 202" xfId="4316"/>
    <cellStyle name="Style 203" xfId="4317"/>
    <cellStyle name="Style 204" xfId="4318"/>
    <cellStyle name="Style 205" xfId="4319"/>
    <cellStyle name="Style 206" xfId="4320"/>
    <cellStyle name="Style 207" xfId="4321"/>
    <cellStyle name="Style 208" xfId="4322"/>
    <cellStyle name="Style 209" xfId="4323"/>
    <cellStyle name="Style 21" xfId="4324"/>
    <cellStyle name="Style 21 2" xfId="4325"/>
    <cellStyle name="Style 22" xfId="4326"/>
    <cellStyle name="Style 22 2" xfId="4327"/>
    <cellStyle name="Style 22 3" xfId="4328"/>
    <cellStyle name="Style 22 4" xfId="4329"/>
    <cellStyle name="Style 23" xfId="4330"/>
    <cellStyle name="Style 23 2" xfId="4331"/>
    <cellStyle name="Style 23 3" xfId="4332"/>
    <cellStyle name="Style 24" xfId="4333"/>
    <cellStyle name="Style 24 2" xfId="4334"/>
    <cellStyle name="Style 24 3" xfId="4335"/>
    <cellStyle name="Style 24 4" xfId="4336"/>
    <cellStyle name="Style 25" xfId="4337"/>
    <cellStyle name="Style 25 2" xfId="4338"/>
    <cellStyle name="Style 25 3" xfId="4339"/>
    <cellStyle name="Style 26" xfId="4340"/>
    <cellStyle name="Style 26 2" xfId="4341"/>
    <cellStyle name="Style 26 3" xfId="4342"/>
    <cellStyle name="Style 26 4" xfId="4343"/>
    <cellStyle name="Style 27" xfId="4344"/>
    <cellStyle name="Style 28" xfId="4345"/>
    <cellStyle name="Style 29" xfId="4346"/>
    <cellStyle name="Style 3" xfId="4347"/>
    <cellStyle name="Style 30" xfId="4348"/>
    <cellStyle name="Style 31" xfId="4349"/>
    <cellStyle name="Style 32" xfId="4350"/>
    <cellStyle name="Style 33" xfId="4351"/>
    <cellStyle name="Style 34" xfId="4352"/>
    <cellStyle name="Style 35" xfId="4353"/>
    <cellStyle name="Style 36" xfId="4354"/>
    <cellStyle name="Style 37" xfId="4355"/>
    <cellStyle name="Style 38" xfId="4356"/>
    <cellStyle name="Style 39" xfId="4357"/>
    <cellStyle name="Style 4" xfId="4358"/>
    <cellStyle name="Style 40" xfId="4359"/>
    <cellStyle name="Style 41" xfId="4360"/>
    <cellStyle name="Style 42" xfId="4361"/>
    <cellStyle name="Style 43" xfId="4362"/>
    <cellStyle name="Style 44" xfId="4363"/>
    <cellStyle name="Style 45" xfId="4364"/>
    <cellStyle name="Style 46" xfId="4365"/>
    <cellStyle name="Style 47" xfId="4366"/>
    <cellStyle name="Style 48" xfId="4367"/>
    <cellStyle name="Style 49" xfId="4368"/>
    <cellStyle name="Style 5" xfId="4369"/>
    <cellStyle name="Style 50" xfId="4370"/>
    <cellStyle name="Style 51" xfId="4371"/>
    <cellStyle name="Style 52" xfId="4372"/>
    <cellStyle name="Style 53" xfId="4373"/>
    <cellStyle name="Style 54" xfId="4374"/>
    <cellStyle name="Style 55" xfId="4375"/>
    <cellStyle name="Style 56" xfId="4376"/>
    <cellStyle name="Style 57" xfId="4377"/>
    <cellStyle name="Style 58" xfId="4378"/>
    <cellStyle name="Style 59" xfId="4379"/>
    <cellStyle name="Style 6" xfId="4380"/>
    <cellStyle name="Style 60" xfId="4381"/>
    <cellStyle name="Style 61" xfId="4382"/>
    <cellStyle name="Style 62" xfId="4383"/>
    <cellStyle name="Style 63" xfId="4384"/>
    <cellStyle name="Style 64" xfId="4385"/>
    <cellStyle name="Style 65" xfId="4386"/>
    <cellStyle name="Style 66" xfId="4387"/>
    <cellStyle name="Style 67" xfId="4388"/>
    <cellStyle name="Style 68" xfId="4389"/>
    <cellStyle name="Style 69" xfId="4390"/>
    <cellStyle name="Style 7" xfId="4391"/>
    <cellStyle name="Style 70" xfId="4392"/>
    <cellStyle name="Style 71" xfId="4393"/>
    <cellStyle name="Style 72" xfId="4394"/>
    <cellStyle name="Style 73" xfId="4395"/>
    <cellStyle name="Style 74" xfId="4396"/>
    <cellStyle name="Style 75" xfId="4397"/>
    <cellStyle name="Style 76" xfId="4398"/>
    <cellStyle name="Style 77" xfId="4399"/>
    <cellStyle name="Style 78" xfId="4400"/>
    <cellStyle name="Style 79" xfId="4401"/>
    <cellStyle name="Style 8" xfId="4402"/>
    <cellStyle name="Style 80" xfId="4403"/>
    <cellStyle name="Style 81" xfId="4404"/>
    <cellStyle name="Style 82" xfId="4405"/>
    <cellStyle name="Style 83" xfId="4406"/>
    <cellStyle name="Style 84" xfId="4407"/>
    <cellStyle name="Style 85" xfId="4408"/>
    <cellStyle name="Style 86" xfId="4409"/>
    <cellStyle name="Style 87" xfId="4410"/>
    <cellStyle name="Style 88" xfId="4411"/>
    <cellStyle name="Style 89" xfId="4412"/>
    <cellStyle name="Style 9" xfId="4413"/>
    <cellStyle name="Style 90" xfId="4414"/>
    <cellStyle name="Style 91" xfId="4415"/>
    <cellStyle name="Style 92" xfId="4416"/>
    <cellStyle name="Style 93" xfId="4417"/>
    <cellStyle name="Style 94" xfId="4418"/>
    <cellStyle name="Style 95" xfId="4419"/>
    <cellStyle name="Style 96" xfId="4420"/>
    <cellStyle name="Style 97" xfId="4421"/>
    <cellStyle name="Style 98" xfId="4422"/>
    <cellStyle name="Style 99" xfId="4423"/>
    <cellStyle name="STYLE1" xfId="4424"/>
    <cellStyle name="STYLE2" xfId="4425"/>
    <cellStyle name="STYLE3" xfId="4426"/>
    <cellStyle name="Subhead" xfId="4427"/>
    <cellStyle name="Subtotal_left" xfId="4428"/>
    <cellStyle name="SwitchCell" xfId="4429"/>
    <cellStyle name="t" xfId="4430"/>
    <cellStyle name="Table Col Head" xfId="4431"/>
    <cellStyle name="Table Head" xfId="4432"/>
    <cellStyle name="Table Head Aligned" xfId="4433"/>
    <cellStyle name="Table Head Blue" xfId="4434"/>
    <cellStyle name="Table Head Green" xfId="4435"/>
    <cellStyle name="Table Head_Val_Sum_Graph" xfId="4436"/>
    <cellStyle name="Table Sub Head" xfId="4437"/>
    <cellStyle name="Table Text" xfId="4438"/>
    <cellStyle name="Table Title" xfId="4439"/>
    <cellStyle name="Table Units" xfId="4440"/>
    <cellStyle name="Table_Header" xfId="4441"/>
    <cellStyle name="TableBorder" xfId="4442"/>
    <cellStyle name="TableColumnHeader" xfId="4443"/>
    <cellStyle name="TableColumnHeader 2" xfId="4444"/>
    <cellStyle name="TableColumnHeader 3" xfId="4445"/>
    <cellStyle name="TableHeading" xfId="4446"/>
    <cellStyle name="TableHighlight" xfId="4447"/>
    <cellStyle name="TableNote" xfId="4448"/>
    <cellStyle name="test a style" xfId="4449"/>
    <cellStyle name="Text 1" xfId="4450"/>
    <cellStyle name="Text Head 1" xfId="4451"/>
    <cellStyle name="Text Indent A" xfId="4452"/>
    <cellStyle name="Text Indent B" xfId="4453"/>
    <cellStyle name="Text Indent C" xfId="4454"/>
    <cellStyle name="Text Wrap" xfId="4455"/>
    <cellStyle name="Time" xfId="4456"/>
    <cellStyle name="Times 10" xfId="4457"/>
    <cellStyle name="Times 12" xfId="4458"/>
    <cellStyle name="Times New Roman" xfId="4459"/>
    <cellStyle name="Title 2" xfId="4460"/>
    <cellStyle name="Title 2 2" xfId="4461"/>
    <cellStyle name="Title 3" xfId="4462"/>
    <cellStyle name="title1" xfId="4463"/>
    <cellStyle name="title2" xfId="4464"/>
    <cellStyle name="Title-2" xfId="4465"/>
    <cellStyle name="Titles" xfId="4466"/>
    <cellStyle name="titre_col" xfId="4467"/>
    <cellStyle name="TOC" xfId="4468"/>
    <cellStyle name="Total 2" xfId="4469"/>
    <cellStyle name="Total 2 10" xfId="4470"/>
    <cellStyle name="Total 2 11" xfId="4471"/>
    <cellStyle name="Total 2 12" xfId="4472"/>
    <cellStyle name="Total 2 2" xfId="4473"/>
    <cellStyle name="Total 2 2 2" xfId="4474"/>
    <cellStyle name="Total 2 2 3" xfId="4475"/>
    <cellStyle name="Total 2 2 4" xfId="4476"/>
    <cellStyle name="Total 2 3" xfId="4477"/>
    <cellStyle name="Total 2 4" xfId="4478"/>
    <cellStyle name="Total 2 5" xfId="4479"/>
    <cellStyle name="Total 2 6" xfId="4480"/>
    <cellStyle name="Total 2 7" xfId="4481"/>
    <cellStyle name="Total 2 8" xfId="4482"/>
    <cellStyle name="Total 2 9" xfId="4483"/>
    <cellStyle name="Total 3" xfId="4484"/>
    <cellStyle name="Total Bold" xfId="4485"/>
    <cellStyle name="Totals" xfId="4486"/>
    <cellStyle name="Underline_Single" xfId="4487"/>
    <cellStyle name="UnProtectedCalc" xfId="4488"/>
    <cellStyle name="Valuta (0)_Sheet1" xfId="4489"/>
    <cellStyle name="Valuta_piv_polio" xfId="4490"/>
    <cellStyle name="Währung [0]_A17 - 31.03.1998" xfId="4491"/>
    <cellStyle name="Währung_A17 - 31.03.1998" xfId="4492"/>
    <cellStyle name="Warburg" xfId="4493"/>
    <cellStyle name="Warning Text 2" xfId="4494"/>
    <cellStyle name="Warning Text 2 2" xfId="4495"/>
    <cellStyle name="Warning Text 2 3" xfId="4496"/>
    <cellStyle name="Warning Text 2 4" xfId="4497"/>
    <cellStyle name="Warning Text 2 5" xfId="4498"/>
    <cellStyle name="Warning Text 2 6" xfId="4499"/>
    <cellStyle name="Warning Text 2 7" xfId="4500"/>
    <cellStyle name="Warning Text 2 8" xfId="4501"/>
    <cellStyle name="Warning Text 2 9" xfId="4502"/>
    <cellStyle name="wild guess" xfId="4503"/>
    <cellStyle name="Wildguess" xfId="4504"/>
    <cellStyle name="Year" xfId="4505"/>
    <cellStyle name="Year Estimate" xfId="4506"/>
    <cellStyle name="Year, Actual" xfId="4507"/>
    <cellStyle name="YearE_ Pies " xfId="4508"/>
    <cellStyle name="YearFormat" xfId="4509"/>
    <cellStyle name="Yen" xfId="4510"/>
    <cellStyle name="YesNo" xfId="4511"/>
    <cellStyle name="쬞\?1@" xfId="4512"/>
    <cellStyle name="常规 2" xfId="4513"/>
    <cellStyle name="標準_car_JP" xfId="45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s>
</file>

<file path=xl/drawings/drawing1.xml><?xml version="1.0" encoding="utf-8"?>
<xdr:wsDr xmlns:xdr="http://schemas.openxmlformats.org/drawingml/2006/spreadsheetDrawing" xmlns:a="http://schemas.openxmlformats.org/drawingml/2006/main">
  <xdr:twoCellAnchor>
    <xdr:from>
      <xdr:col>18</xdr:col>
      <xdr:colOff>537880</xdr:colOff>
      <xdr:row>519</xdr:row>
      <xdr:rowOff>795617</xdr:rowOff>
    </xdr:from>
    <xdr:to>
      <xdr:col>24</xdr:col>
      <xdr:colOff>11203</xdr:colOff>
      <xdr:row>525</xdr:row>
      <xdr:rowOff>78440</xdr:rowOff>
    </xdr:to>
    <xdr:sp macro="" textlink="">
      <xdr:nvSpPr>
        <xdr:cNvPr id="2" name="Rectangle 1"/>
        <xdr:cNvSpPr/>
      </xdr:nvSpPr>
      <xdr:spPr>
        <a:xfrm>
          <a:off x="11519645" y="102040764"/>
          <a:ext cx="3104029" cy="10085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This spreadsheet is an internal table developed to fuel the OEB</a:t>
          </a:r>
          <a:r>
            <a:rPr lang="en-US" sz="1100" baseline="0"/>
            <a:t> spreadsheet.  This one is static and is sourced from the IESO CDM report .  Note that there is one set of links for the Retro fit, which has spanned many rate classes.</a:t>
          </a:r>
          <a:endParaRPr lang="en-US" sz="1100"/>
        </a:p>
      </xdr:txBody>
    </xdr:sp>
    <xdr:clientData/>
  </xdr:twoCellAnchor>
  <xdr:twoCellAnchor>
    <xdr:from>
      <xdr:col>4</xdr:col>
      <xdr:colOff>268941</xdr:colOff>
      <xdr:row>582</xdr:row>
      <xdr:rowOff>134470</xdr:rowOff>
    </xdr:from>
    <xdr:to>
      <xdr:col>5</xdr:col>
      <xdr:colOff>35859</xdr:colOff>
      <xdr:row>584</xdr:row>
      <xdr:rowOff>50986</xdr:rowOff>
    </xdr:to>
    <xdr:sp macro="" textlink="">
      <xdr:nvSpPr>
        <xdr:cNvPr id="3" name="Rectangle 2"/>
        <xdr:cNvSpPr/>
      </xdr:nvSpPr>
      <xdr:spPr>
        <a:xfrm>
          <a:off x="3707466" y="115158370"/>
          <a:ext cx="538443" cy="240366"/>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900"/>
            <a:t>A-3 </a:t>
          </a:r>
          <a:r>
            <a:rPr lang="en-CA" sz="900" baseline="0"/>
            <a:t> </a:t>
          </a:r>
          <a:r>
            <a:rPr lang="en-CA" sz="900"/>
            <a:t> 1</a:t>
          </a:r>
        </a:p>
      </xdr:txBody>
    </xdr:sp>
    <xdr:clientData/>
  </xdr:twoCellAnchor>
  <xdr:twoCellAnchor>
    <xdr:from>
      <xdr:col>9</xdr:col>
      <xdr:colOff>470648</xdr:colOff>
      <xdr:row>584</xdr:row>
      <xdr:rowOff>44824</xdr:rowOff>
    </xdr:from>
    <xdr:to>
      <xdr:col>10</xdr:col>
      <xdr:colOff>360830</xdr:colOff>
      <xdr:row>586</xdr:row>
      <xdr:rowOff>84604</xdr:rowOff>
    </xdr:to>
    <xdr:sp macro="" textlink="">
      <xdr:nvSpPr>
        <xdr:cNvPr id="4" name="Rectangle 3"/>
        <xdr:cNvSpPr/>
      </xdr:nvSpPr>
      <xdr:spPr>
        <a:xfrm>
          <a:off x="6290423" y="115392574"/>
          <a:ext cx="499782" cy="41125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900"/>
            <a:t>A-3 </a:t>
          </a:r>
          <a:r>
            <a:rPr lang="en-CA" sz="900" baseline="0"/>
            <a:t> </a:t>
          </a:r>
          <a:r>
            <a:rPr lang="en-CA" sz="900"/>
            <a:t> 3</a:t>
          </a:r>
        </a:p>
      </xdr:txBody>
    </xdr:sp>
    <xdr:clientData/>
  </xdr:twoCellAnchor>
  <xdr:twoCellAnchor>
    <xdr:from>
      <xdr:col>9</xdr:col>
      <xdr:colOff>291353</xdr:colOff>
      <xdr:row>587</xdr:row>
      <xdr:rowOff>134470</xdr:rowOff>
    </xdr:from>
    <xdr:to>
      <xdr:col>10</xdr:col>
      <xdr:colOff>181535</xdr:colOff>
      <xdr:row>589</xdr:row>
      <xdr:rowOff>62192</xdr:rowOff>
    </xdr:to>
    <xdr:sp macro="" textlink="">
      <xdr:nvSpPr>
        <xdr:cNvPr id="5" name="Rectangle 4"/>
        <xdr:cNvSpPr/>
      </xdr:nvSpPr>
      <xdr:spPr>
        <a:xfrm>
          <a:off x="6111128" y="116034670"/>
          <a:ext cx="499782" cy="289672"/>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900"/>
            <a:t>A-1 </a:t>
          </a:r>
          <a:r>
            <a:rPr lang="en-CA" sz="900" baseline="0"/>
            <a:t> </a:t>
          </a:r>
          <a:r>
            <a:rPr lang="en-CA" sz="900"/>
            <a:t> 1</a:t>
          </a:r>
        </a:p>
      </xdr:txBody>
    </xdr:sp>
    <xdr:clientData/>
  </xdr:twoCellAnchor>
  <xdr:twoCellAnchor>
    <xdr:from>
      <xdr:col>12</xdr:col>
      <xdr:colOff>0</xdr:colOff>
      <xdr:row>583</xdr:row>
      <xdr:rowOff>0</xdr:rowOff>
    </xdr:from>
    <xdr:to>
      <xdr:col>12</xdr:col>
      <xdr:colOff>495300</xdr:colOff>
      <xdr:row>585</xdr:row>
      <xdr:rowOff>28575</xdr:rowOff>
    </xdr:to>
    <xdr:sp macro="" textlink="">
      <xdr:nvSpPr>
        <xdr:cNvPr id="6" name="Rectangle 5"/>
        <xdr:cNvSpPr/>
      </xdr:nvSpPr>
      <xdr:spPr>
        <a:xfrm>
          <a:off x="7324725" y="115157250"/>
          <a:ext cx="495300" cy="40957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900"/>
            <a:t>A-3 </a:t>
          </a:r>
          <a:r>
            <a:rPr lang="en-CA" sz="900" baseline="0"/>
            <a:t> </a:t>
          </a:r>
          <a:r>
            <a:rPr lang="en-CA" sz="900"/>
            <a:t> 4</a:t>
          </a:r>
        </a:p>
      </xdr:txBody>
    </xdr:sp>
    <xdr:clientData/>
  </xdr:twoCellAnchor>
  <xdr:twoCellAnchor>
    <xdr:from>
      <xdr:col>12</xdr:col>
      <xdr:colOff>380999</xdr:colOff>
      <xdr:row>589</xdr:row>
      <xdr:rowOff>100852</xdr:rowOff>
    </xdr:from>
    <xdr:to>
      <xdr:col>13</xdr:col>
      <xdr:colOff>459440</xdr:colOff>
      <xdr:row>590</xdr:row>
      <xdr:rowOff>156882</xdr:rowOff>
    </xdr:to>
    <xdr:sp macro="" textlink="">
      <xdr:nvSpPr>
        <xdr:cNvPr id="7" name="Rectangle 6"/>
        <xdr:cNvSpPr/>
      </xdr:nvSpPr>
      <xdr:spPr>
        <a:xfrm>
          <a:off x="7705724" y="116363002"/>
          <a:ext cx="688041" cy="23700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900"/>
            <a:t>A-3 </a:t>
          </a:r>
          <a:r>
            <a:rPr lang="en-CA" sz="900" baseline="0"/>
            <a:t> </a:t>
          </a:r>
          <a:r>
            <a:rPr lang="en-CA" sz="900"/>
            <a:t> 5</a:t>
          </a:r>
        </a:p>
      </xdr:txBody>
    </xdr:sp>
    <xdr:clientData/>
  </xdr:twoCellAnchor>
  <xdr:twoCellAnchor>
    <xdr:from>
      <xdr:col>4</xdr:col>
      <xdr:colOff>302559</xdr:colOff>
      <xdr:row>591</xdr:row>
      <xdr:rowOff>100853</xdr:rowOff>
    </xdr:from>
    <xdr:to>
      <xdr:col>5</xdr:col>
      <xdr:colOff>69477</xdr:colOff>
      <xdr:row>593</xdr:row>
      <xdr:rowOff>17369</xdr:rowOff>
    </xdr:to>
    <xdr:sp macro="" textlink="">
      <xdr:nvSpPr>
        <xdr:cNvPr id="8" name="Rectangle 7"/>
        <xdr:cNvSpPr/>
      </xdr:nvSpPr>
      <xdr:spPr>
        <a:xfrm>
          <a:off x="3741084" y="116724953"/>
          <a:ext cx="538443" cy="287991"/>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900"/>
            <a:t>A-6</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bbacon/My%20Documents/Lakeland/2013%20Rate%20Appl/Dummy%20Fil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dmin/Ontario%20Energy%20Board/Rate%20Design/2013/Post%20Settlement%20Conference%20Documents/Cost_Allocation_Model__2013_PSC.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BBacon/Documents/Thunder%20Bay/2017%20Rate%20Appl/Load%20Foreccast/Load%20History%20V0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ustomer%20Count%20Comparison_2016%20and%20201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Admin/Ontario%20Energy%20Board/Rate%20Design/2017%20COS/2%20-%20Prel%20Application/Int%20LFM%20(BLG)/2006-2010%20Final%20OPA%20CDM%20Results.Thunder%20Bay%20Hydro%20Electricity%20Distribution%20Inc..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Admin/Ontario%20Energy%20Board/Rate%20Design/2017%20COS/5%20-%20Inter-2nd%20Round/VECC%20-%20BJA%20BACKUP/2011-2014%20TBHPersistenceReport_IES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Admin/Ontario%20Energy%20Board/Rate%20Design/2017%20COS/2%20-%20Prel%20Application/Int%20LFM%20(BLG)/TBHEDI_EB_16_XXXX_CH2%20APP%20V2_4_20151231.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Admin/Regulatory/LRAM/LRAM%202014/Annual%20Retrofit%20Savings%20by%20Class%202011-2014%20-%20Final.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2017%20Rate%20Design%20Model_SC_NoLU_B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Bacon/My%20Documents/Norfolk/2011%20Rates/Evidence/Documents%20and%20Settings/dg/Desktop/Dummy%20Fi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dg/Desktop/Dummy%20Fil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bbacon/Documents/Thunder%20Bay/2013%20Rate%20Application/Load%20Forecast/Dummy%20Fil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BBacon/My%20Documents/Norfolk/2011%20Rates/Evidence/LDC%20FTY%20-%20LF/CostAlloc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DC%20FTY%20-%20LF/CostAlloc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BBacon/Documents/Thunder%20Bay/2013%20Rate%20Application/Settlement/April%2013%202013%20Models/Thunder%20Bay%20Hydro%202013%20Load%20Forecast%20Settlemen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dmin/Ontario%20Energy%20Board/Rate%20Design/2017%20COS/2%20-%20Prel%20Application/Int%20Exh3/Distribution%20Revenue%20Trend.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nance/Admin/Ontario%20Energy%20Board/Rate%20Design/2017%20COS/2%20-%20Prel%20Application/Int%20Exh3/Distribution%20Revenue%20Tre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1 Intro"/>
      <sheetName val="I2 LDC class"/>
      <sheetName val="I3 TB Data"/>
      <sheetName val="I4 BO ASSETS"/>
      <sheetName val="I5.1 Misc Data"/>
      <sheetName val="I5.2 Weighting Factors"/>
      <sheetName val="I6.1 Revenue"/>
      <sheetName val="I6.2 Customer Data"/>
      <sheetName val="I7.1 Meter Capital"/>
      <sheetName val="I7.2 Meter Reading"/>
      <sheetName val="I8 Demand Data"/>
      <sheetName val="I9 Direct Allocation"/>
      <sheetName val="O1 Revenue to cost|RR"/>
      <sheetName val="O2 Fixed Charge|Floor|Ceiling"/>
      <sheetName val="O2.1 Line Tran PLCC Adj"/>
      <sheetName val="O2.2 Primary Cost PLCC Adj"/>
      <sheetName val="O2.3 Secondary Cost PLCC Adj"/>
      <sheetName val="O3.1 Line Tran Unit Cost"/>
      <sheetName val="O3.2 Substat Tran Unit Cost "/>
      <sheetName val="O3.3 Primary Cost Pool"/>
      <sheetName val="O3.4 Secondary Cost Pool"/>
      <sheetName val="O3.5 USL Metering Credit"/>
      <sheetName val="O3.6 MicroFIT Charge"/>
      <sheetName val="O4 Summary by Class &amp; Accounts"/>
      <sheetName val="O5 Details by Class &amp; Accounts"/>
      <sheetName val="O6 Source Data for E2"/>
      <sheetName val="O7 Amortization"/>
      <sheetName val="E1 Categorization"/>
      <sheetName val="E2 Allocators"/>
      <sheetName val="E3 PLCC"/>
      <sheetName val="E4 TB Allocation Details"/>
      <sheetName val="E5 Reconciliation"/>
      <sheetName val="Click here if comple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3">
          <cell r="C23">
            <v>19210612.922063187</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 2017 Load History"/>
      <sheetName val="Large User Review"/>
      <sheetName val="Data Source Summary"/>
      <sheetName val="Data Input (old)"/>
      <sheetName val="2017 Data References"/>
      <sheetName val="LTLT"/>
    </sheetNames>
    <sheetDataSet>
      <sheetData sheetId="0" refreshError="1">
        <row r="41">
          <cell r="B41">
            <v>112653596.7</v>
          </cell>
          <cell r="D41">
            <v>22843354.319999941</v>
          </cell>
          <cell r="F41">
            <v>36735</v>
          </cell>
          <cell r="H41">
            <v>11167128.489999978</v>
          </cell>
          <cell r="J41">
            <v>4330</v>
          </cell>
          <cell r="L41">
            <v>16478656.440000014</v>
          </cell>
          <cell r="O41">
            <v>535</v>
          </cell>
          <cell r="Q41">
            <v>9862037.5</v>
          </cell>
          <cell r="T41">
            <v>14</v>
          </cell>
        </row>
        <row r="42">
          <cell r="B42">
            <v>91844790.5</v>
          </cell>
          <cell r="D42">
            <v>30944887.000000566</v>
          </cell>
          <cell r="F42">
            <v>43389</v>
          </cell>
          <cell r="H42">
            <v>17327915.790000074</v>
          </cell>
          <cell r="J42">
            <v>4397</v>
          </cell>
          <cell r="L42">
            <v>27689060.52999993</v>
          </cell>
          <cell r="O42">
            <v>578</v>
          </cell>
          <cell r="Q42">
            <v>11690812.520000001</v>
          </cell>
          <cell r="T42">
            <v>17</v>
          </cell>
        </row>
        <row r="43">
          <cell r="B43">
            <v>94187868.199999988</v>
          </cell>
          <cell r="D43">
            <v>31192272.98</v>
          </cell>
          <cell r="F43">
            <v>43566</v>
          </cell>
          <cell r="H43">
            <v>17359594.600000046</v>
          </cell>
          <cell r="J43">
            <v>4397</v>
          </cell>
          <cell r="L43">
            <v>28367059.099999957</v>
          </cell>
          <cell r="O43">
            <v>583</v>
          </cell>
          <cell r="Q43">
            <v>11740010.240000002</v>
          </cell>
          <cell r="T43">
            <v>17</v>
          </cell>
        </row>
        <row r="44">
          <cell r="B44">
            <v>83302866.800000012</v>
          </cell>
          <cell r="D44">
            <v>27103570.060000088</v>
          </cell>
          <cell r="F44">
            <v>43534</v>
          </cell>
          <cell r="H44">
            <v>15664134.650000088</v>
          </cell>
          <cell r="J44">
            <v>4373</v>
          </cell>
          <cell r="L44">
            <v>24673273.639999956</v>
          </cell>
          <cell r="O44">
            <v>596</v>
          </cell>
          <cell r="Q44">
            <v>12027362.889999999</v>
          </cell>
          <cell r="T44">
            <v>17</v>
          </cell>
        </row>
        <row r="45">
          <cell r="B45">
            <v>79992116</v>
          </cell>
          <cell r="D45">
            <v>25155490.760000035</v>
          </cell>
          <cell r="F45">
            <v>43500</v>
          </cell>
          <cell r="H45">
            <v>13519280.619999945</v>
          </cell>
          <cell r="J45">
            <v>4345</v>
          </cell>
          <cell r="L45">
            <v>23679737.790000018</v>
          </cell>
          <cell r="O45">
            <v>611</v>
          </cell>
          <cell r="Q45">
            <v>13222460.050000001</v>
          </cell>
          <cell r="T45">
            <v>18</v>
          </cell>
        </row>
        <row r="46">
          <cell r="B46">
            <v>77505956.700000003</v>
          </cell>
          <cell r="D46">
            <v>23427104.32999998</v>
          </cell>
          <cell r="F46">
            <v>43465</v>
          </cell>
          <cell r="H46">
            <v>11067497.459999962</v>
          </cell>
          <cell r="J46">
            <v>4345</v>
          </cell>
          <cell r="L46">
            <v>20438074.969999976</v>
          </cell>
          <cell r="O46">
            <v>616</v>
          </cell>
          <cell r="Q46">
            <v>13183429.859999999</v>
          </cell>
          <cell r="T46">
            <v>18</v>
          </cell>
        </row>
        <row r="47">
          <cell r="B47">
            <v>82122401</v>
          </cell>
          <cell r="D47">
            <v>24261259.010000143</v>
          </cell>
          <cell r="F47">
            <v>43633</v>
          </cell>
          <cell r="H47">
            <v>11931407.94000005</v>
          </cell>
          <cell r="J47">
            <v>4331</v>
          </cell>
          <cell r="L47">
            <v>21927427.629999969</v>
          </cell>
          <cell r="O47">
            <v>619</v>
          </cell>
          <cell r="Q47">
            <v>13766070.739999998</v>
          </cell>
          <cell r="T47">
            <v>18</v>
          </cell>
        </row>
        <row r="48">
          <cell r="B48">
            <v>78031999</v>
          </cell>
          <cell r="D48">
            <v>24804295.33000008</v>
          </cell>
          <cell r="F48">
            <v>43625</v>
          </cell>
          <cell r="H48">
            <v>11870804.780000113</v>
          </cell>
          <cell r="J48">
            <v>4354</v>
          </cell>
          <cell r="L48">
            <v>22070964.019999966</v>
          </cell>
          <cell r="O48">
            <v>626</v>
          </cell>
          <cell r="Q48">
            <v>12805554.739999998</v>
          </cell>
          <cell r="T48">
            <v>18</v>
          </cell>
        </row>
        <row r="49">
          <cell r="B49">
            <v>69444119.299999997</v>
          </cell>
          <cell r="D49">
            <v>24983512.450000003</v>
          </cell>
          <cell r="F49">
            <v>43713</v>
          </cell>
          <cell r="H49">
            <v>10678451.039999977</v>
          </cell>
          <cell r="J49">
            <v>4342</v>
          </cell>
          <cell r="L49">
            <v>21905565.900000006</v>
          </cell>
          <cell r="O49">
            <v>640</v>
          </cell>
          <cell r="Q49">
            <v>12976915.74</v>
          </cell>
          <cell r="T49">
            <v>18</v>
          </cell>
        </row>
        <row r="50">
          <cell r="B50">
            <v>84165425.299999997</v>
          </cell>
          <cell r="D50">
            <v>27927641.870000076</v>
          </cell>
          <cell r="F50">
            <v>43713</v>
          </cell>
          <cell r="H50">
            <v>11511565.809999987</v>
          </cell>
          <cell r="J50">
            <v>4301</v>
          </cell>
          <cell r="L50">
            <v>23608817.460000038</v>
          </cell>
          <cell r="O50">
            <v>647</v>
          </cell>
          <cell r="Q50">
            <v>14064243.83</v>
          </cell>
          <cell r="T50">
            <v>17</v>
          </cell>
        </row>
        <row r="51">
          <cell r="B51">
            <v>89152255.599999994</v>
          </cell>
          <cell r="D51">
            <v>30807187.569999743</v>
          </cell>
          <cell r="F51">
            <v>43708</v>
          </cell>
          <cell r="H51">
            <v>11957903.960000059</v>
          </cell>
          <cell r="J51">
            <v>4300</v>
          </cell>
          <cell r="L51">
            <v>24880228.719999958</v>
          </cell>
          <cell r="O51">
            <v>647</v>
          </cell>
          <cell r="Q51">
            <v>14094673.089999998</v>
          </cell>
          <cell r="T51">
            <v>17</v>
          </cell>
        </row>
        <row r="52">
          <cell r="B52">
            <v>104140645</v>
          </cell>
          <cell r="D52">
            <v>36673911.080000579</v>
          </cell>
          <cell r="F52">
            <v>43631</v>
          </cell>
          <cell r="H52">
            <v>13635988.280000184</v>
          </cell>
          <cell r="J52">
            <v>4280</v>
          </cell>
          <cell r="L52">
            <v>28520683.069999959</v>
          </cell>
          <cell r="O52">
            <v>333</v>
          </cell>
          <cell r="Q52">
            <v>14344112.389999999</v>
          </cell>
          <cell r="T52">
            <v>17</v>
          </cell>
        </row>
        <row r="53">
          <cell r="B53">
            <v>107111200.5</v>
          </cell>
          <cell r="D53">
            <v>38014660.490000144</v>
          </cell>
          <cell r="F53">
            <v>43530</v>
          </cell>
          <cell r="H53">
            <v>15330630.270000041</v>
          </cell>
          <cell r="J53">
            <v>4363</v>
          </cell>
          <cell r="L53">
            <v>30116382.980000038</v>
          </cell>
          <cell r="O53">
            <v>647</v>
          </cell>
          <cell r="Q53">
            <v>13074780.039999999</v>
          </cell>
          <cell r="T53">
            <v>18</v>
          </cell>
        </row>
        <row r="54">
          <cell r="B54">
            <v>93736958.200000003</v>
          </cell>
          <cell r="D54">
            <v>32921590.989999924</v>
          </cell>
          <cell r="F54">
            <v>43558</v>
          </cell>
          <cell r="H54">
            <v>13820223.840000024</v>
          </cell>
          <cell r="J54">
            <v>4394</v>
          </cell>
          <cell r="L54">
            <v>26672243.319999967</v>
          </cell>
          <cell r="O54">
            <v>601</v>
          </cell>
          <cell r="Q54">
            <v>11676878.9</v>
          </cell>
          <cell r="T54">
            <v>18</v>
          </cell>
        </row>
        <row r="55">
          <cell r="B55">
            <v>90806909.799999997</v>
          </cell>
          <cell r="D55">
            <v>31183992.070000343</v>
          </cell>
          <cell r="F55">
            <v>43618</v>
          </cell>
          <cell r="H55">
            <v>13391804.699999955</v>
          </cell>
          <cell r="J55">
            <v>4420</v>
          </cell>
          <cell r="L55">
            <v>25141921.97000001</v>
          </cell>
          <cell r="O55">
            <v>562</v>
          </cell>
          <cell r="Q55">
            <v>12750067.079999996</v>
          </cell>
          <cell r="T55">
            <v>18</v>
          </cell>
        </row>
        <row r="56">
          <cell r="B56">
            <v>83542339.300000012</v>
          </cell>
          <cell r="D56">
            <v>27040375.419999946</v>
          </cell>
          <cell r="F56">
            <v>43673</v>
          </cell>
          <cell r="H56">
            <v>12031969.870000001</v>
          </cell>
          <cell r="J56">
            <v>4465</v>
          </cell>
          <cell r="L56">
            <v>22143191.730000012</v>
          </cell>
          <cell r="O56">
            <v>517</v>
          </cell>
          <cell r="Q56">
            <v>13487172.91</v>
          </cell>
          <cell r="T56">
            <v>18</v>
          </cell>
        </row>
        <row r="57">
          <cell r="B57">
            <v>79464457.200000003</v>
          </cell>
          <cell r="D57">
            <v>25265965.369999997</v>
          </cell>
          <cell r="F57">
            <v>43755</v>
          </cell>
          <cell r="H57">
            <v>11503053.680000041</v>
          </cell>
          <cell r="J57">
            <v>4459</v>
          </cell>
          <cell r="L57">
            <v>20987165.360000011</v>
          </cell>
          <cell r="O57">
            <v>497</v>
          </cell>
          <cell r="Q57">
            <v>13794737.400000002</v>
          </cell>
          <cell r="T57">
            <v>18</v>
          </cell>
        </row>
        <row r="58">
          <cell r="B58">
            <v>75943872.5</v>
          </cell>
          <cell r="D58">
            <v>23296606.519999966</v>
          </cell>
          <cell r="F58">
            <v>43676</v>
          </cell>
          <cell r="H58">
            <v>11209215.519999966</v>
          </cell>
          <cell r="J58">
            <v>4438</v>
          </cell>
          <cell r="L58">
            <v>19836289.700000007</v>
          </cell>
          <cell r="O58">
            <v>452</v>
          </cell>
          <cell r="Q58">
            <v>13261985.689999998</v>
          </cell>
          <cell r="T58">
            <v>18</v>
          </cell>
        </row>
        <row r="59">
          <cell r="B59">
            <v>78797711</v>
          </cell>
          <cell r="D59">
            <v>23900944.639999881</v>
          </cell>
          <cell r="F59">
            <v>43539</v>
          </cell>
          <cell r="H59">
            <v>11730066.360000063</v>
          </cell>
          <cell r="J59">
            <v>4493</v>
          </cell>
          <cell r="L59">
            <v>21238166.920000013</v>
          </cell>
          <cell r="O59">
            <v>431</v>
          </cell>
          <cell r="Q59">
            <v>13635318.189999999</v>
          </cell>
          <cell r="T59">
            <v>18</v>
          </cell>
        </row>
        <row r="60">
          <cell r="B60">
            <v>75332986.099999994</v>
          </cell>
          <cell r="D60">
            <v>24355354.600000039</v>
          </cell>
          <cell r="F60">
            <v>43738</v>
          </cell>
          <cell r="H60">
            <v>11661961.490000008</v>
          </cell>
          <cell r="J60">
            <v>4491</v>
          </cell>
          <cell r="L60">
            <v>21418208.409999985</v>
          </cell>
          <cell r="O60">
            <v>429</v>
          </cell>
          <cell r="Q60">
            <v>13527694.810000001</v>
          </cell>
          <cell r="T60">
            <v>18</v>
          </cell>
        </row>
        <row r="61">
          <cell r="B61">
            <v>67696548</v>
          </cell>
          <cell r="D61">
            <v>24440428.159999877</v>
          </cell>
          <cell r="F61">
            <v>44000</v>
          </cell>
          <cell r="H61">
            <v>10980046.939999988</v>
          </cell>
          <cell r="J61">
            <v>4492</v>
          </cell>
          <cell r="L61">
            <v>20859271.22000001</v>
          </cell>
          <cell r="O61">
            <v>428</v>
          </cell>
          <cell r="Q61">
            <v>12622703.469999999</v>
          </cell>
          <cell r="T61">
            <v>18</v>
          </cell>
        </row>
        <row r="62">
          <cell r="B62">
            <v>83136508</v>
          </cell>
          <cell r="D62">
            <v>27797989.669999942</v>
          </cell>
          <cell r="F62">
            <v>43746</v>
          </cell>
          <cell r="H62">
            <v>11662354.17</v>
          </cell>
          <cell r="J62">
            <v>4507</v>
          </cell>
          <cell r="L62">
            <v>22319549.140000019</v>
          </cell>
          <cell r="O62">
            <v>434</v>
          </cell>
          <cell r="Q62">
            <v>14258085.000000002</v>
          </cell>
          <cell r="T62">
            <v>18</v>
          </cell>
        </row>
        <row r="63">
          <cell r="B63">
            <v>92345974.900000006</v>
          </cell>
          <cell r="D63">
            <v>31881933.449999981</v>
          </cell>
          <cell r="F63">
            <v>43748</v>
          </cell>
          <cell r="H63">
            <v>12675809.860000007</v>
          </cell>
          <cell r="J63">
            <v>4517</v>
          </cell>
          <cell r="L63">
            <v>24898434.920000006</v>
          </cell>
          <cell r="O63">
            <v>438</v>
          </cell>
          <cell r="Q63">
            <v>14599664.919999998</v>
          </cell>
          <cell r="T63">
            <v>18</v>
          </cell>
        </row>
        <row r="64">
          <cell r="B64">
            <v>115028093.5</v>
          </cell>
          <cell r="D64">
            <v>37787462.930000082</v>
          </cell>
          <cell r="F64">
            <v>43752</v>
          </cell>
          <cell r="H64">
            <v>15116274.879999993</v>
          </cell>
          <cell r="J64">
            <v>4526</v>
          </cell>
          <cell r="L64">
            <v>29608811.340000007</v>
          </cell>
          <cell r="O64">
            <v>439</v>
          </cell>
          <cell r="Q64">
            <v>15440779.390000001</v>
          </cell>
          <cell r="T64">
            <v>18</v>
          </cell>
        </row>
        <row r="65">
          <cell r="B65">
            <v>105962994.40000001</v>
          </cell>
          <cell r="D65">
            <v>38555412.55000025</v>
          </cell>
          <cell r="F65">
            <v>43644</v>
          </cell>
          <cell r="H65">
            <v>15154298.049999971</v>
          </cell>
          <cell r="J65">
            <v>4498</v>
          </cell>
          <cell r="L65">
            <v>29257179.950000018</v>
          </cell>
          <cell r="O65">
            <v>473</v>
          </cell>
          <cell r="Q65">
            <v>13891930.359999999</v>
          </cell>
          <cell r="T65">
            <v>18</v>
          </cell>
        </row>
        <row r="66">
          <cell r="B66">
            <v>95758180</v>
          </cell>
          <cell r="D66">
            <v>32616109.059999909</v>
          </cell>
          <cell r="F66">
            <v>43682</v>
          </cell>
          <cell r="H66">
            <v>13641936.870000023</v>
          </cell>
          <cell r="J66">
            <v>4491</v>
          </cell>
          <cell r="L66">
            <v>27178450.539999988</v>
          </cell>
          <cell r="O66">
            <v>477</v>
          </cell>
          <cell r="Q66">
            <v>11609550.650000002</v>
          </cell>
          <cell r="T66">
            <v>18</v>
          </cell>
        </row>
        <row r="67">
          <cell r="B67">
            <v>94701570.700000003</v>
          </cell>
          <cell r="D67">
            <v>32556214.300000075</v>
          </cell>
          <cell r="F67">
            <v>43727</v>
          </cell>
          <cell r="H67">
            <v>13648088.129999986</v>
          </cell>
          <cell r="J67">
            <v>4480</v>
          </cell>
          <cell r="L67">
            <v>26804323.800000008</v>
          </cell>
          <cell r="O67">
            <v>476</v>
          </cell>
          <cell r="Q67">
            <v>12415213.91</v>
          </cell>
          <cell r="T67">
            <v>18</v>
          </cell>
        </row>
        <row r="68">
          <cell r="B68">
            <v>85485176.099999994</v>
          </cell>
          <cell r="D68">
            <v>28157361.650000103</v>
          </cell>
          <cell r="F68">
            <v>43680</v>
          </cell>
          <cell r="H68">
            <v>11856071.629999984</v>
          </cell>
          <cell r="J68">
            <v>4472</v>
          </cell>
          <cell r="L68">
            <v>22932702.839999989</v>
          </cell>
          <cell r="O68">
            <v>474</v>
          </cell>
          <cell r="Q68">
            <v>13820066.210000001</v>
          </cell>
          <cell r="T68">
            <v>18</v>
          </cell>
        </row>
        <row r="69">
          <cell r="B69">
            <v>80081468.5</v>
          </cell>
          <cell r="D69">
            <v>25958482.530000001</v>
          </cell>
          <cell r="F69">
            <v>43789</v>
          </cell>
          <cell r="H69">
            <v>11342214.670000011</v>
          </cell>
          <cell r="J69">
            <v>4445</v>
          </cell>
          <cell r="L69">
            <v>21898868.649999999</v>
          </cell>
          <cell r="O69">
            <v>476</v>
          </cell>
          <cell r="Q69">
            <v>13872111.880000001</v>
          </cell>
          <cell r="T69">
            <v>18</v>
          </cell>
        </row>
        <row r="70">
          <cell r="B70">
            <v>77568366.300000012</v>
          </cell>
          <cell r="D70">
            <v>23827610.500000045</v>
          </cell>
          <cell r="F70">
            <v>43875</v>
          </cell>
          <cell r="H70">
            <v>11131037.810000004</v>
          </cell>
          <cell r="J70">
            <v>4450</v>
          </cell>
          <cell r="L70">
            <v>21021876.090000004</v>
          </cell>
          <cell r="O70">
            <v>477</v>
          </cell>
          <cell r="Q70">
            <v>12867615.49</v>
          </cell>
          <cell r="T70">
            <v>18</v>
          </cell>
        </row>
        <row r="71">
          <cell r="B71">
            <v>79435703</v>
          </cell>
          <cell r="D71">
            <v>24764452.77000007</v>
          </cell>
          <cell r="F71">
            <v>43688</v>
          </cell>
          <cell r="H71">
            <v>11725874.649999997</v>
          </cell>
          <cell r="J71">
            <v>4422</v>
          </cell>
          <cell r="L71">
            <v>21695834.309999999</v>
          </cell>
          <cell r="O71">
            <v>476</v>
          </cell>
          <cell r="Q71">
            <v>13316769.34</v>
          </cell>
          <cell r="T71">
            <v>18</v>
          </cell>
        </row>
        <row r="72">
          <cell r="B72">
            <v>83006555</v>
          </cell>
          <cell r="D72">
            <v>25255805.320000075</v>
          </cell>
          <cell r="F72">
            <v>43795</v>
          </cell>
          <cell r="H72">
            <v>11877642.739999982</v>
          </cell>
          <cell r="J72">
            <v>4435</v>
          </cell>
          <cell r="L72">
            <v>22267606.790000003</v>
          </cell>
          <cell r="O72">
            <v>475</v>
          </cell>
          <cell r="Q72">
            <v>13269121.989999998</v>
          </cell>
          <cell r="T72">
            <v>18</v>
          </cell>
        </row>
        <row r="73">
          <cell r="B73">
            <v>76565456</v>
          </cell>
          <cell r="D73">
            <v>24913988.220000021</v>
          </cell>
          <cell r="F73">
            <v>43882</v>
          </cell>
          <cell r="H73">
            <v>11035991.490000013</v>
          </cell>
          <cell r="J73">
            <v>4439</v>
          </cell>
          <cell r="L73">
            <v>20970044.239999998</v>
          </cell>
          <cell r="O73">
            <v>474</v>
          </cell>
          <cell r="Q73">
            <v>12321111.48</v>
          </cell>
          <cell r="T73">
            <v>18</v>
          </cell>
        </row>
        <row r="74">
          <cell r="B74">
            <v>85159042.199999988</v>
          </cell>
          <cell r="D74">
            <v>27835723.390000269</v>
          </cell>
          <cell r="F74">
            <v>43898</v>
          </cell>
          <cell r="H74">
            <v>11725611.659999957</v>
          </cell>
          <cell r="J74">
            <v>4440</v>
          </cell>
          <cell r="L74">
            <v>22726743.390000008</v>
          </cell>
          <cell r="O74">
            <v>476</v>
          </cell>
          <cell r="Q74">
            <v>13259993.019999998</v>
          </cell>
          <cell r="T74">
            <v>18</v>
          </cell>
        </row>
        <row r="75">
          <cell r="B75">
            <v>89719754.400000006</v>
          </cell>
          <cell r="D75">
            <v>30318950.679999791</v>
          </cell>
          <cell r="F75">
            <v>43908</v>
          </cell>
          <cell r="H75">
            <v>12317932.960000003</v>
          </cell>
          <cell r="J75">
            <v>4465</v>
          </cell>
          <cell r="L75">
            <v>23917781.749999996</v>
          </cell>
          <cell r="O75">
            <v>478</v>
          </cell>
          <cell r="Q75">
            <v>14150359.510000002</v>
          </cell>
          <cell r="T75">
            <v>18</v>
          </cell>
        </row>
        <row r="76">
          <cell r="B76">
            <v>101146790.90000001</v>
          </cell>
          <cell r="D76">
            <v>35374340.480000086</v>
          </cell>
          <cell r="F76">
            <v>43793</v>
          </cell>
          <cell r="H76">
            <v>13753116.740000051</v>
          </cell>
          <cell r="J76">
            <v>4471</v>
          </cell>
          <cell r="L76">
            <v>26175856.450000007</v>
          </cell>
          <cell r="O76">
            <v>477</v>
          </cell>
          <cell r="Q76">
            <v>13320894.790000003</v>
          </cell>
          <cell r="T76">
            <v>18</v>
          </cell>
        </row>
        <row r="77">
          <cell r="B77">
            <v>100881928.3</v>
          </cell>
          <cell r="D77">
            <v>36712335.590000197</v>
          </cell>
          <cell r="F77">
            <v>43791</v>
          </cell>
          <cell r="H77">
            <v>14717580.350000001</v>
          </cell>
          <cell r="J77">
            <v>4441</v>
          </cell>
          <cell r="L77">
            <v>28530794.519999996</v>
          </cell>
          <cell r="O77">
            <v>477</v>
          </cell>
          <cell r="Q77">
            <v>11877508.939999999</v>
          </cell>
          <cell r="T77">
            <v>17</v>
          </cell>
        </row>
        <row r="78">
          <cell r="B78">
            <v>104241221.3</v>
          </cell>
          <cell r="D78">
            <v>32266195.500000108</v>
          </cell>
          <cell r="F78">
            <v>43785</v>
          </cell>
          <cell r="H78">
            <v>13558641.52</v>
          </cell>
          <cell r="J78">
            <v>4426</v>
          </cell>
          <cell r="L78">
            <v>26198686.230000004</v>
          </cell>
          <cell r="O78">
            <v>475</v>
          </cell>
          <cell r="Q78">
            <v>10349953.170000002</v>
          </cell>
          <cell r="T78">
            <v>17</v>
          </cell>
        </row>
        <row r="79">
          <cell r="B79">
            <v>90436363.299999997</v>
          </cell>
          <cell r="D79">
            <v>33150979.240000058</v>
          </cell>
          <cell r="F79">
            <v>43856</v>
          </cell>
          <cell r="H79">
            <v>14209911.489999987</v>
          </cell>
          <cell r="J79">
            <v>4441</v>
          </cell>
          <cell r="L79">
            <v>27472385.659999985</v>
          </cell>
          <cell r="O79">
            <v>478</v>
          </cell>
          <cell r="Q79">
            <v>11650421.59</v>
          </cell>
          <cell r="T79">
            <v>18</v>
          </cell>
        </row>
        <row r="80">
          <cell r="B80">
            <v>86799127.299999997</v>
          </cell>
          <cell r="D80">
            <v>28627065.020000082</v>
          </cell>
          <cell r="F80">
            <v>43869</v>
          </cell>
          <cell r="H80">
            <v>12272586.760000007</v>
          </cell>
          <cell r="J80">
            <v>4442</v>
          </cell>
          <cell r="L80">
            <v>23674635.879999995</v>
          </cell>
          <cell r="O80">
            <v>480</v>
          </cell>
          <cell r="Q80">
            <v>13238007.189999999</v>
          </cell>
          <cell r="T80">
            <v>17</v>
          </cell>
        </row>
        <row r="81">
          <cell r="B81">
            <v>82768005.299999997</v>
          </cell>
          <cell r="D81">
            <v>26571396.520000149</v>
          </cell>
          <cell r="F81">
            <v>43842</v>
          </cell>
          <cell r="H81">
            <v>11551602.899999985</v>
          </cell>
          <cell r="J81">
            <v>4426</v>
          </cell>
          <cell r="L81">
            <v>22507067.52</v>
          </cell>
          <cell r="O81">
            <v>485</v>
          </cell>
          <cell r="Q81">
            <v>12587530.52</v>
          </cell>
          <cell r="T81">
            <v>16</v>
          </cell>
        </row>
        <row r="82">
          <cell r="B82">
            <v>76349685.299999997</v>
          </cell>
          <cell r="D82">
            <v>24748365.239999816</v>
          </cell>
          <cell r="F82">
            <v>43856</v>
          </cell>
          <cell r="H82">
            <v>11122434.069999963</v>
          </cell>
          <cell r="J82">
            <v>4443</v>
          </cell>
          <cell r="L82">
            <v>22085684.420000009</v>
          </cell>
          <cell r="O82">
            <v>484</v>
          </cell>
          <cell r="Q82">
            <v>12153449.079999998</v>
          </cell>
          <cell r="T82">
            <v>16</v>
          </cell>
        </row>
        <row r="83">
          <cell r="B83">
            <v>86502455.299999997</v>
          </cell>
          <cell r="D83">
            <v>25888517.460000087</v>
          </cell>
          <cell r="F83">
            <v>43816</v>
          </cell>
          <cell r="H83">
            <v>12307378.490000024</v>
          </cell>
          <cell r="J83">
            <v>4432</v>
          </cell>
          <cell r="L83">
            <v>23193555.539999992</v>
          </cell>
          <cell r="O83">
            <v>478</v>
          </cell>
          <cell r="Q83">
            <v>13198009.07</v>
          </cell>
          <cell r="T83">
            <v>17</v>
          </cell>
        </row>
        <row r="84">
          <cell r="B84">
            <v>79170605.299999997</v>
          </cell>
          <cell r="D84">
            <v>26199143.039999906</v>
          </cell>
          <cell r="F84">
            <v>44159</v>
          </cell>
          <cell r="H84">
            <v>11929052.770000022</v>
          </cell>
          <cell r="J84">
            <v>4437</v>
          </cell>
          <cell r="L84">
            <v>22417126.280000005</v>
          </cell>
          <cell r="O84">
            <v>481</v>
          </cell>
          <cell r="Q84">
            <v>12691872.970000001</v>
          </cell>
          <cell r="T84">
            <v>17</v>
          </cell>
        </row>
        <row r="85">
          <cell r="B85">
            <v>79953415.299999997</v>
          </cell>
          <cell r="D85">
            <v>25956181.139999911</v>
          </cell>
          <cell r="F85">
            <v>44035</v>
          </cell>
          <cell r="H85">
            <v>11239412.900000025</v>
          </cell>
          <cell r="J85">
            <v>4403</v>
          </cell>
          <cell r="L85">
            <v>21763821.530000001</v>
          </cell>
          <cell r="O85">
            <v>483</v>
          </cell>
          <cell r="Q85">
            <v>12870996</v>
          </cell>
          <cell r="T85">
            <v>18</v>
          </cell>
        </row>
        <row r="86">
          <cell r="B86">
            <v>89695545.299999997</v>
          </cell>
          <cell r="D86">
            <v>29475965.61000016</v>
          </cell>
          <cell r="F86">
            <v>43993</v>
          </cell>
          <cell r="H86">
            <v>11801421.799999995</v>
          </cell>
          <cell r="J86">
            <v>4432</v>
          </cell>
          <cell r="L86">
            <v>23906576.679999992</v>
          </cell>
          <cell r="O86">
            <v>488</v>
          </cell>
          <cell r="Q86">
            <v>13603641.65</v>
          </cell>
          <cell r="T86">
            <v>18</v>
          </cell>
        </row>
        <row r="87">
          <cell r="B87">
            <v>96385095.299999997</v>
          </cell>
          <cell r="D87">
            <v>31967182.769999605</v>
          </cell>
          <cell r="F87">
            <v>44123</v>
          </cell>
          <cell r="H87">
            <v>12822028.619999986</v>
          </cell>
          <cell r="J87">
            <v>4430</v>
          </cell>
          <cell r="L87">
            <v>25919156.050000008</v>
          </cell>
          <cell r="O87">
            <v>491</v>
          </cell>
          <cell r="Q87">
            <v>14298273.840000002</v>
          </cell>
          <cell r="T87">
            <v>20</v>
          </cell>
        </row>
        <row r="88">
          <cell r="B88">
            <v>104953125.3</v>
          </cell>
          <cell r="D88">
            <v>36868027.479999997</v>
          </cell>
          <cell r="F88">
            <v>43950</v>
          </cell>
          <cell r="H88">
            <v>14078380.420000011</v>
          </cell>
          <cell r="J88">
            <v>4411</v>
          </cell>
          <cell r="L88">
            <v>27992722.820000011</v>
          </cell>
          <cell r="O88">
            <v>488</v>
          </cell>
          <cell r="Q88">
            <v>13591167.870000001</v>
          </cell>
          <cell r="T88">
            <v>20</v>
          </cell>
        </row>
        <row r="89">
          <cell r="B89">
            <v>110117330.5</v>
          </cell>
          <cell r="D89">
            <v>38700757.240000278</v>
          </cell>
          <cell r="F89">
            <v>43905</v>
          </cell>
          <cell r="H89">
            <v>14832051.379999967</v>
          </cell>
          <cell r="J89">
            <v>4415</v>
          </cell>
          <cell r="L89">
            <v>30247356.060000006</v>
          </cell>
          <cell r="O89">
            <v>489</v>
          </cell>
          <cell r="Q89">
            <v>12551559.93</v>
          </cell>
          <cell r="T89">
            <v>14</v>
          </cell>
        </row>
        <row r="90">
          <cell r="B90">
            <v>99989942.900000006</v>
          </cell>
          <cell r="D90">
            <v>34507023.20000001</v>
          </cell>
          <cell r="F90">
            <v>43803</v>
          </cell>
          <cell r="H90">
            <v>13779215.899999993</v>
          </cell>
          <cell r="J90">
            <v>4377</v>
          </cell>
          <cell r="L90">
            <v>28460283.130000003</v>
          </cell>
          <cell r="O90">
            <v>492</v>
          </cell>
          <cell r="Q90">
            <v>11398199.959999999</v>
          </cell>
          <cell r="T90">
            <v>14</v>
          </cell>
        </row>
        <row r="91">
          <cell r="B91">
            <v>100611886.68000001</v>
          </cell>
          <cell r="D91">
            <v>34325569.499999963</v>
          </cell>
          <cell r="F91">
            <v>43839</v>
          </cell>
          <cell r="H91">
            <v>13829301.070000036</v>
          </cell>
          <cell r="J91">
            <v>4394</v>
          </cell>
          <cell r="L91">
            <v>28715021.629999995</v>
          </cell>
          <cell r="O91">
            <v>505</v>
          </cell>
          <cell r="Q91">
            <v>12575641.660000002</v>
          </cell>
          <cell r="T91">
            <v>14</v>
          </cell>
        </row>
        <row r="92">
          <cell r="B92">
            <v>87646201.5</v>
          </cell>
          <cell r="D92">
            <v>28484611.509999972</v>
          </cell>
          <cell r="F92">
            <v>43964</v>
          </cell>
          <cell r="H92">
            <v>11430988.720000001</v>
          </cell>
          <cell r="J92">
            <v>4387</v>
          </cell>
          <cell r="L92">
            <v>23920979.839999989</v>
          </cell>
          <cell r="O92">
            <v>499</v>
          </cell>
          <cell r="Q92">
            <v>13219777.799999999</v>
          </cell>
          <cell r="T92">
            <v>14</v>
          </cell>
        </row>
        <row r="93">
          <cell r="B93">
            <v>80569551.700000003</v>
          </cell>
          <cell r="D93">
            <v>26044982.910000205</v>
          </cell>
          <cell r="F93">
            <v>44218</v>
          </cell>
          <cell r="H93">
            <v>10893804.240000037</v>
          </cell>
          <cell r="J93">
            <v>4398</v>
          </cell>
          <cell r="L93">
            <v>22761853.509999983</v>
          </cell>
          <cell r="O93">
            <v>499</v>
          </cell>
          <cell r="Q93">
            <v>12878786.009999998</v>
          </cell>
          <cell r="T93">
            <v>14</v>
          </cell>
        </row>
        <row r="94">
          <cell r="B94">
            <v>76274568.700000003</v>
          </cell>
          <cell r="D94">
            <v>24018303.7999999</v>
          </cell>
          <cell r="F94">
            <v>43978</v>
          </cell>
          <cell r="H94">
            <v>10521914.630000027</v>
          </cell>
          <cell r="J94">
            <v>4361</v>
          </cell>
          <cell r="L94">
            <v>21516931.129999999</v>
          </cell>
          <cell r="O94">
            <v>503</v>
          </cell>
          <cell r="Q94">
            <v>12041382.300000001</v>
          </cell>
          <cell r="T94">
            <v>14</v>
          </cell>
        </row>
        <row r="95">
          <cell r="B95">
            <v>82862067</v>
          </cell>
          <cell r="D95">
            <v>25420951.430000067</v>
          </cell>
          <cell r="F95">
            <v>43908</v>
          </cell>
          <cell r="H95">
            <v>11128406.430000007</v>
          </cell>
          <cell r="J95">
            <v>4354</v>
          </cell>
          <cell r="L95">
            <v>22581221.450000003</v>
          </cell>
          <cell r="O95">
            <v>500</v>
          </cell>
          <cell r="Q95">
            <v>13513526.199999999</v>
          </cell>
          <cell r="T95">
            <v>14</v>
          </cell>
        </row>
        <row r="96">
          <cell r="B96">
            <v>84559303.400000006</v>
          </cell>
          <cell r="D96">
            <v>26294357.740000248</v>
          </cell>
          <cell r="F96">
            <v>44235</v>
          </cell>
          <cell r="H96">
            <v>11424088.600000011</v>
          </cell>
          <cell r="J96">
            <v>4366</v>
          </cell>
          <cell r="L96">
            <v>22725768.199999981</v>
          </cell>
          <cell r="O96">
            <v>499</v>
          </cell>
          <cell r="Q96">
            <v>14005988.789999999</v>
          </cell>
          <cell r="T96">
            <v>14</v>
          </cell>
        </row>
        <row r="97">
          <cell r="B97">
            <v>81130423.579999998</v>
          </cell>
          <cell r="D97">
            <v>26006212.489999998</v>
          </cell>
          <cell r="F97">
            <v>44236</v>
          </cell>
          <cell r="H97">
            <v>10536500.330000013</v>
          </cell>
          <cell r="J97">
            <v>4384</v>
          </cell>
          <cell r="L97">
            <v>22003813.639999993</v>
          </cell>
          <cell r="O97">
            <v>503</v>
          </cell>
          <cell r="Q97">
            <v>13917831.9</v>
          </cell>
          <cell r="T97">
            <v>14</v>
          </cell>
        </row>
        <row r="98">
          <cell r="B98">
            <v>88166144.840000004</v>
          </cell>
          <cell r="D98">
            <v>29293413.960000347</v>
          </cell>
          <cell r="F98">
            <v>44111</v>
          </cell>
          <cell r="H98">
            <v>11282977.670000009</v>
          </cell>
          <cell r="J98">
            <v>4391</v>
          </cell>
          <cell r="L98">
            <v>24158122.459999993</v>
          </cell>
          <cell r="O98">
            <v>499</v>
          </cell>
          <cell r="Q98">
            <v>14280475.5</v>
          </cell>
          <cell r="T98">
            <v>14</v>
          </cell>
        </row>
        <row r="99">
          <cell r="B99">
            <v>96589038.900000006</v>
          </cell>
          <cell r="D99">
            <v>32018999.120000001</v>
          </cell>
          <cell r="F99">
            <v>44114</v>
          </cell>
          <cell r="H99">
            <v>12256111.299999986</v>
          </cell>
          <cell r="J99">
            <v>4392</v>
          </cell>
          <cell r="L99">
            <v>25919367.380000006</v>
          </cell>
          <cell r="O99">
            <v>500</v>
          </cell>
          <cell r="Q99">
            <v>14573776.199999999</v>
          </cell>
          <cell r="T99">
            <v>14</v>
          </cell>
        </row>
        <row r="100">
          <cell r="B100">
            <v>106439293.92</v>
          </cell>
          <cell r="D100">
            <v>36958308.960000031</v>
          </cell>
          <cell r="F100">
            <v>44063</v>
          </cell>
          <cell r="H100">
            <v>13505417.100000024</v>
          </cell>
          <cell r="J100">
            <v>4385</v>
          </cell>
          <cell r="L100">
            <v>27963038.760000017</v>
          </cell>
          <cell r="O100">
            <v>501</v>
          </cell>
          <cell r="Q100">
            <v>14885940.530000001</v>
          </cell>
          <cell r="T100">
            <v>14</v>
          </cell>
        </row>
        <row r="101">
          <cell r="B101">
            <v>117228007.68000001</v>
          </cell>
          <cell r="D101">
            <v>38668458.560000561</v>
          </cell>
          <cell r="F101">
            <v>44081</v>
          </cell>
          <cell r="H101">
            <v>14816217.600000024</v>
          </cell>
          <cell r="J101">
            <v>4415</v>
          </cell>
          <cell r="L101">
            <v>30937974.93</v>
          </cell>
          <cell r="O101">
            <v>499</v>
          </cell>
          <cell r="Q101">
            <v>14147914.230000002</v>
          </cell>
          <cell r="T101">
            <v>14</v>
          </cell>
        </row>
        <row r="102">
          <cell r="B102">
            <v>97189182.640000001</v>
          </cell>
          <cell r="D102">
            <v>34331411.410000011</v>
          </cell>
          <cell r="F102">
            <v>43971</v>
          </cell>
          <cell r="H102">
            <v>13887023.500000006</v>
          </cell>
          <cell r="J102">
            <v>4423</v>
          </cell>
          <cell r="L102">
            <v>27306089.359999992</v>
          </cell>
          <cell r="O102">
            <v>486</v>
          </cell>
          <cell r="Q102">
            <v>12581957.98</v>
          </cell>
          <cell r="T102">
            <v>15</v>
          </cell>
        </row>
        <row r="103">
          <cell r="B103">
            <v>96948633.640000001</v>
          </cell>
          <cell r="D103">
            <v>32611182.190000217</v>
          </cell>
          <cell r="F103">
            <v>44103</v>
          </cell>
          <cell r="H103">
            <v>13418396.62999998</v>
          </cell>
          <cell r="J103">
            <v>4412</v>
          </cell>
          <cell r="L103">
            <v>26515207.210000012</v>
          </cell>
          <cell r="O103">
            <v>460</v>
          </cell>
          <cell r="Q103">
            <v>13298627.379999999</v>
          </cell>
          <cell r="T103">
            <v>14</v>
          </cell>
        </row>
        <row r="104">
          <cell r="B104">
            <v>85520823.479999989</v>
          </cell>
          <cell r="D104">
            <v>28276428.909999788</v>
          </cell>
          <cell r="F104">
            <v>44019</v>
          </cell>
          <cell r="H104">
            <v>11743989.460000006</v>
          </cell>
          <cell r="J104">
            <v>4398</v>
          </cell>
          <cell r="L104">
            <v>23016461.999999993</v>
          </cell>
          <cell r="O104">
            <v>457</v>
          </cell>
          <cell r="Q104">
            <v>13633390.199999999</v>
          </cell>
          <cell r="T104">
            <v>19</v>
          </cell>
        </row>
        <row r="105">
          <cell r="B105">
            <v>80898890.099999994</v>
          </cell>
          <cell r="D105">
            <v>26338968.129999977</v>
          </cell>
          <cell r="F105">
            <v>44025</v>
          </cell>
          <cell r="H105">
            <v>11392997.179999998</v>
          </cell>
          <cell r="J105">
            <v>4405</v>
          </cell>
          <cell r="L105">
            <v>21892354.059999995</v>
          </cell>
          <cell r="O105">
            <v>459</v>
          </cell>
          <cell r="Q105">
            <v>13794108.129999999</v>
          </cell>
          <cell r="T105">
            <v>20</v>
          </cell>
        </row>
        <row r="106">
          <cell r="B106">
            <v>75735633.539999992</v>
          </cell>
          <cell r="D106">
            <v>23894672.880000148</v>
          </cell>
          <cell r="F106">
            <v>44110</v>
          </cell>
          <cell r="H106">
            <v>10739165.880000006</v>
          </cell>
          <cell r="J106">
            <v>4421</v>
          </cell>
          <cell r="L106">
            <v>20420158.799999997</v>
          </cell>
          <cell r="O106">
            <v>459</v>
          </cell>
          <cell r="Q106">
            <v>14171598.299999999</v>
          </cell>
          <cell r="T106">
            <v>20</v>
          </cell>
        </row>
        <row r="107">
          <cell r="B107">
            <v>80131442.399999991</v>
          </cell>
          <cell r="D107">
            <v>24543277.730000049</v>
          </cell>
          <cell r="F107">
            <v>44256</v>
          </cell>
          <cell r="H107">
            <v>11518786.739999982</v>
          </cell>
          <cell r="J107">
            <v>4428</v>
          </cell>
          <cell r="L107">
            <v>21540775.229999993</v>
          </cell>
          <cell r="O107">
            <v>461</v>
          </cell>
          <cell r="Q107">
            <v>13676605.42</v>
          </cell>
          <cell r="T107">
            <v>20</v>
          </cell>
        </row>
        <row r="108">
          <cell r="B108">
            <v>79250403.920000002</v>
          </cell>
          <cell r="D108">
            <v>25024173.030000053</v>
          </cell>
          <cell r="F108">
            <v>44126</v>
          </cell>
          <cell r="H108">
            <v>11273129.019999975</v>
          </cell>
          <cell r="J108">
            <v>4394</v>
          </cell>
          <cell r="L108">
            <v>21313848.719999999</v>
          </cell>
          <cell r="O108">
            <v>463</v>
          </cell>
          <cell r="Q108">
            <v>13645223.500000004</v>
          </cell>
          <cell r="T108">
            <v>20</v>
          </cell>
        </row>
        <row r="109">
          <cell r="B109">
            <v>79463540.870000005</v>
          </cell>
          <cell r="D109">
            <v>25064194.599999979</v>
          </cell>
          <cell r="F109">
            <v>44294</v>
          </cell>
          <cell r="H109">
            <v>10874645.45999998</v>
          </cell>
          <cell r="J109">
            <v>4392</v>
          </cell>
          <cell r="L109">
            <v>21313093.559999991</v>
          </cell>
          <cell r="O109">
            <v>466</v>
          </cell>
          <cell r="Q109">
            <v>13189320</v>
          </cell>
          <cell r="T109">
            <v>20</v>
          </cell>
        </row>
        <row r="110">
          <cell r="B110">
            <v>85902608.560000002</v>
          </cell>
          <cell r="D110">
            <v>28414629.599999845</v>
          </cell>
          <cell r="F110">
            <v>44311</v>
          </cell>
          <cell r="H110">
            <v>11638624.420000004</v>
          </cell>
          <cell r="J110">
            <v>4412</v>
          </cell>
          <cell r="L110">
            <v>22910607.509999979</v>
          </cell>
          <cell r="O110">
            <v>465</v>
          </cell>
          <cell r="Q110">
            <v>13474484.18</v>
          </cell>
          <cell r="T110">
            <v>20</v>
          </cell>
        </row>
        <row r="111">
          <cell r="B111">
            <v>92812844.200000003</v>
          </cell>
          <cell r="D111">
            <v>31681875.579999883</v>
          </cell>
          <cell r="F111">
            <v>44365</v>
          </cell>
          <cell r="H111">
            <v>12406564.950000012</v>
          </cell>
          <cell r="J111">
            <v>4454</v>
          </cell>
          <cell r="L111">
            <v>24309383.419999991</v>
          </cell>
          <cell r="O111">
            <v>465</v>
          </cell>
          <cell r="Q111">
            <v>13913794.199999999</v>
          </cell>
          <cell r="T111">
            <v>20</v>
          </cell>
        </row>
        <row r="112">
          <cell r="B112">
            <v>111590910.58</v>
          </cell>
          <cell r="D112">
            <v>37366129.619999848</v>
          </cell>
          <cell r="F112">
            <v>44185</v>
          </cell>
          <cell r="H112">
            <v>14682121.650000013</v>
          </cell>
          <cell r="J112">
            <v>4439</v>
          </cell>
          <cell r="L112">
            <v>28308962.869999982</v>
          </cell>
          <cell r="O112">
            <v>464</v>
          </cell>
          <cell r="Q112">
            <v>14413243.850000001</v>
          </cell>
          <cell r="T112">
            <v>20</v>
          </cell>
        </row>
        <row r="113">
          <cell r="B113">
            <v>114618041.7</v>
          </cell>
          <cell r="D113">
            <v>38920097.020000175</v>
          </cell>
          <cell r="F113">
            <v>44157</v>
          </cell>
          <cell r="H113">
            <v>15490461.069999997</v>
          </cell>
          <cell r="J113">
            <v>4449</v>
          </cell>
          <cell r="L113">
            <v>29981056.320000004</v>
          </cell>
          <cell r="O113">
            <v>466</v>
          </cell>
          <cell r="Q113">
            <v>15812201.93</v>
          </cell>
          <cell r="T113">
            <v>21</v>
          </cell>
        </row>
        <row r="114">
          <cell r="B114">
            <v>92976782.650000006</v>
          </cell>
          <cell r="D114">
            <v>33256365.220000371</v>
          </cell>
          <cell r="F114">
            <v>44040</v>
          </cell>
          <cell r="H114">
            <v>13456927.609999986</v>
          </cell>
          <cell r="J114">
            <v>4434</v>
          </cell>
          <cell r="L114">
            <v>26021216.539999973</v>
          </cell>
          <cell r="O114">
            <v>466</v>
          </cell>
          <cell r="Q114">
            <v>13734200.199999999</v>
          </cell>
          <cell r="T114">
            <v>21</v>
          </cell>
        </row>
        <row r="115">
          <cell r="B115">
            <v>99295276.140000001</v>
          </cell>
          <cell r="D115">
            <v>32485847.760000072</v>
          </cell>
          <cell r="F115">
            <v>44100</v>
          </cell>
          <cell r="H115">
            <v>13345813.870000025</v>
          </cell>
          <cell r="J115">
            <v>4422</v>
          </cell>
          <cell r="L115">
            <v>27186436.039999992</v>
          </cell>
          <cell r="O115">
            <v>487</v>
          </cell>
          <cell r="Q115">
            <v>14727440.32</v>
          </cell>
          <cell r="T115">
            <v>16</v>
          </cell>
        </row>
        <row r="116">
          <cell r="B116">
            <v>83247752.900000006</v>
          </cell>
          <cell r="D116">
            <v>27843394.499999896</v>
          </cell>
          <cell r="F116">
            <v>44350</v>
          </cell>
          <cell r="H116">
            <v>11242470.140000001</v>
          </cell>
          <cell r="J116">
            <v>4429</v>
          </cell>
          <cell r="L116">
            <v>23539059.55999998</v>
          </cell>
          <cell r="O116">
            <v>481</v>
          </cell>
          <cell r="Q116">
            <v>15291128.100000001</v>
          </cell>
          <cell r="T116">
            <v>17</v>
          </cell>
        </row>
        <row r="117">
          <cell r="B117">
            <v>82551529.650000006</v>
          </cell>
          <cell r="D117">
            <v>26410477.640000038</v>
          </cell>
          <cell r="F117">
            <v>44250</v>
          </cell>
          <cell r="H117">
            <v>11077309.790000007</v>
          </cell>
          <cell r="J117">
            <v>4381</v>
          </cell>
          <cell r="L117">
            <v>23356657.370000008</v>
          </cell>
          <cell r="O117">
            <v>483</v>
          </cell>
          <cell r="Q117">
            <v>15244296.5</v>
          </cell>
          <cell r="T117">
            <v>17</v>
          </cell>
        </row>
        <row r="118">
          <cell r="B118">
            <v>81801216.799999997</v>
          </cell>
          <cell r="D118">
            <v>24942453.350000061</v>
          </cell>
          <cell r="F118">
            <v>44190</v>
          </cell>
          <cell r="H118">
            <v>10921396.540000018</v>
          </cell>
          <cell r="J118">
            <v>4385</v>
          </cell>
          <cell r="L118">
            <v>22845169.659999996</v>
          </cell>
          <cell r="O118">
            <v>482</v>
          </cell>
          <cell r="Q118">
            <v>15657520.199999999</v>
          </cell>
          <cell r="T118">
            <v>17</v>
          </cell>
        </row>
        <row r="119">
          <cell r="B119">
            <v>86082380.5</v>
          </cell>
          <cell r="D119">
            <v>26102158.649999917</v>
          </cell>
          <cell r="F119">
            <v>44315</v>
          </cell>
          <cell r="H119">
            <v>11811198.419999963</v>
          </cell>
          <cell r="J119">
            <v>4385</v>
          </cell>
          <cell r="L119">
            <v>23894015.750000004</v>
          </cell>
          <cell r="O119">
            <v>484</v>
          </cell>
          <cell r="Q119">
            <v>15943991.919999998</v>
          </cell>
          <cell r="T119">
            <v>17</v>
          </cell>
        </row>
        <row r="120">
          <cell r="B120">
            <v>85624066.270000011</v>
          </cell>
          <cell r="D120">
            <v>26089422.109999936</v>
          </cell>
          <cell r="F120">
            <v>44305</v>
          </cell>
          <cell r="H120">
            <v>11621455.870000014</v>
          </cell>
          <cell r="J120">
            <v>4374</v>
          </cell>
          <cell r="L120">
            <v>23530513.359999999</v>
          </cell>
          <cell r="O120">
            <v>480</v>
          </cell>
          <cell r="Q120">
            <v>16351055.710000003</v>
          </cell>
          <cell r="T120">
            <v>17</v>
          </cell>
        </row>
        <row r="121">
          <cell r="B121">
            <v>81522426.670000002</v>
          </cell>
          <cell r="D121">
            <v>25222662.819999851</v>
          </cell>
          <cell r="F121">
            <v>44424</v>
          </cell>
          <cell r="H121">
            <v>10756551.00999997</v>
          </cell>
          <cell r="J121">
            <v>4400</v>
          </cell>
          <cell r="L121">
            <v>22573270.269999996</v>
          </cell>
          <cell r="O121">
            <v>481</v>
          </cell>
          <cell r="Q121">
            <v>15705419.700000003</v>
          </cell>
          <cell r="T121">
            <v>17</v>
          </cell>
        </row>
        <row r="122">
          <cell r="B122">
            <v>87834995.239999995</v>
          </cell>
          <cell r="D122">
            <v>28188329.079999827</v>
          </cell>
          <cell r="F122">
            <v>44257</v>
          </cell>
          <cell r="H122">
            <v>11210250.469999989</v>
          </cell>
          <cell r="J122">
            <v>4427</v>
          </cell>
          <cell r="L122">
            <v>23998835.469999999</v>
          </cell>
          <cell r="O122">
            <v>483</v>
          </cell>
          <cell r="Q122">
            <v>17105784.100000001</v>
          </cell>
          <cell r="T122">
            <v>17</v>
          </cell>
        </row>
        <row r="123">
          <cell r="B123">
            <v>96580697.819999993</v>
          </cell>
          <cell r="D123">
            <v>31328731.729999922</v>
          </cell>
          <cell r="F123">
            <v>44315</v>
          </cell>
          <cell r="H123">
            <v>12421436.97000001</v>
          </cell>
          <cell r="J123">
            <v>4431</v>
          </cell>
          <cell r="L123">
            <v>26134846.600000005</v>
          </cell>
          <cell r="O123">
            <v>482</v>
          </cell>
          <cell r="Q123">
            <v>17367799.609999999</v>
          </cell>
          <cell r="T123">
            <v>17</v>
          </cell>
        </row>
        <row r="124">
          <cell r="B124">
            <v>109162247.52</v>
          </cell>
          <cell r="D124">
            <v>35177920.479999423</v>
          </cell>
          <cell r="F124">
            <v>44282</v>
          </cell>
          <cell r="H124">
            <v>14062601.490000019</v>
          </cell>
          <cell r="J124">
            <v>4434</v>
          </cell>
          <cell r="L124">
            <v>29015604.499999993</v>
          </cell>
          <cell r="O124">
            <v>483</v>
          </cell>
          <cell r="Q124">
            <v>17536509.350000001</v>
          </cell>
          <cell r="T124">
            <v>17</v>
          </cell>
        </row>
        <row r="125">
          <cell r="B125">
            <v>102809927.40000001</v>
          </cell>
          <cell r="D125">
            <v>35639480.850000851</v>
          </cell>
          <cell r="F125">
            <v>44181</v>
          </cell>
          <cell r="H125">
            <v>14009855.030000025</v>
          </cell>
          <cell r="J125">
            <v>4433</v>
          </cell>
          <cell r="L125">
            <v>28857836.470000003</v>
          </cell>
          <cell r="N125">
            <v>57228.28999999995</v>
          </cell>
          <cell r="O125">
            <v>484</v>
          </cell>
          <cell r="Q125">
            <v>17691106.350000001</v>
          </cell>
          <cell r="S125">
            <v>26335.480000000003</v>
          </cell>
          <cell r="T125">
            <v>17</v>
          </cell>
          <cell r="V125">
            <v>2114832.09</v>
          </cell>
          <cell r="X125">
            <v>4637.95</v>
          </cell>
          <cell r="Y125">
            <v>1</v>
          </cell>
          <cell r="AA125">
            <v>1193898.97</v>
          </cell>
          <cell r="AC125">
            <v>2610.7599999999998</v>
          </cell>
          <cell r="AD125">
            <v>12962</v>
          </cell>
          <cell r="AF125">
            <v>11217.6</v>
          </cell>
          <cell r="AH125">
            <v>31.16</v>
          </cell>
          <cell r="AI125">
            <v>164</v>
          </cell>
          <cell r="AK125">
            <v>138368.81000000003</v>
          </cell>
          <cell r="AM125">
            <v>428</v>
          </cell>
        </row>
        <row r="126">
          <cell r="B126">
            <v>95819717.5</v>
          </cell>
          <cell r="D126">
            <v>31006600.609999921</v>
          </cell>
          <cell r="F126">
            <v>44198</v>
          </cell>
          <cell r="H126">
            <v>12948095.099999985</v>
          </cell>
          <cell r="J126">
            <v>4414</v>
          </cell>
          <cell r="L126">
            <v>27077340.080000006</v>
          </cell>
          <cell r="N126">
            <v>62644.150000000023</v>
          </cell>
          <cell r="O126">
            <v>483</v>
          </cell>
          <cell r="Q126">
            <v>15452181.919999994</v>
          </cell>
          <cell r="S126">
            <v>43380.709999999992</v>
          </cell>
          <cell r="T126">
            <v>17</v>
          </cell>
          <cell r="V126">
            <v>2032031.96</v>
          </cell>
          <cell r="X126">
            <v>4694.97</v>
          </cell>
          <cell r="Y126">
            <v>1</v>
          </cell>
          <cell r="AA126">
            <v>1079516.2</v>
          </cell>
          <cell r="AC126">
            <v>2543.27</v>
          </cell>
          <cell r="AD126">
            <v>12962</v>
          </cell>
          <cell r="AF126">
            <v>11217.6</v>
          </cell>
          <cell r="AH126">
            <v>31.16</v>
          </cell>
          <cell r="AI126">
            <v>164</v>
          </cell>
          <cell r="AK126">
            <v>138368.15999999997</v>
          </cell>
          <cell r="AM126">
            <v>428</v>
          </cell>
        </row>
        <row r="127">
          <cell r="B127">
            <v>96369451.900000006</v>
          </cell>
          <cell r="D127">
            <v>31468779.68000007</v>
          </cell>
          <cell r="F127">
            <v>44236</v>
          </cell>
          <cell r="H127">
            <v>13054109.160000017</v>
          </cell>
          <cell r="J127">
            <v>4391</v>
          </cell>
          <cell r="L127">
            <v>27505939.540000007</v>
          </cell>
          <cell r="N127">
            <v>59319.95000000007</v>
          </cell>
          <cell r="O127">
            <v>492</v>
          </cell>
          <cell r="Q127">
            <v>17657250.319999997</v>
          </cell>
          <cell r="S127">
            <v>51399.950000000004</v>
          </cell>
          <cell r="T127">
            <v>17</v>
          </cell>
          <cell r="V127">
            <v>2356607.91</v>
          </cell>
          <cell r="X127">
            <v>4599.93</v>
          </cell>
          <cell r="Y127">
            <v>1</v>
          </cell>
          <cell r="AA127">
            <v>1193794.81</v>
          </cell>
          <cell r="AC127">
            <v>2543.27</v>
          </cell>
          <cell r="AD127">
            <v>12962</v>
          </cell>
          <cell r="AF127">
            <v>11217.6</v>
          </cell>
          <cell r="AH127">
            <v>31.16</v>
          </cell>
          <cell r="AI127">
            <v>164</v>
          </cell>
          <cell r="AK127">
            <v>138368.81000000003</v>
          </cell>
          <cell r="AM127">
            <v>428</v>
          </cell>
        </row>
        <row r="128">
          <cell r="B128">
            <v>82880486.199999988</v>
          </cell>
          <cell r="D128">
            <v>26780261.130000174</v>
          </cell>
          <cell r="F128">
            <v>44282</v>
          </cell>
          <cell r="H128">
            <v>10956512.820000019</v>
          </cell>
          <cell r="J128">
            <v>4406</v>
          </cell>
          <cell r="L128">
            <v>23111766.710000001</v>
          </cell>
          <cell r="N128">
            <v>52417.160000000062</v>
          </cell>
          <cell r="O128">
            <v>505</v>
          </cell>
          <cell r="Q128">
            <v>17486841.899999999</v>
          </cell>
          <cell r="S128">
            <v>53107.922199999994</v>
          </cell>
          <cell r="T128">
            <v>17</v>
          </cell>
          <cell r="V128">
            <v>2045808</v>
          </cell>
          <cell r="X128">
            <v>4523.8999999999996</v>
          </cell>
          <cell r="Y128">
            <v>1</v>
          </cell>
          <cell r="AA128">
            <v>774522.6</v>
          </cell>
          <cell r="AC128">
            <v>2543.27</v>
          </cell>
          <cell r="AD128">
            <v>12962</v>
          </cell>
          <cell r="AF128">
            <v>11217.6</v>
          </cell>
          <cell r="AH128">
            <v>31.16</v>
          </cell>
          <cell r="AI128">
            <v>164</v>
          </cell>
          <cell r="AK128">
            <v>138367.5</v>
          </cell>
          <cell r="AM128">
            <v>428</v>
          </cell>
        </row>
        <row r="129">
          <cell r="B129">
            <v>83638022.400000006</v>
          </cell>
          <cell r="D129">
            <v>25597983.169999883</v>
          </cell>
          <cell r="F129">
            <v>44417</v>
          </cell>
          <cell r="H129">
            <v>10855268.19999999</v>
          </cell>
          <cell r="J129">
            <v>4345</v>
          </cell>
          <cell r="L129">
            <v>22990549.949999992</v>
          </cell>
          <cell r="N129">
            <v>54115.869999999937</v>
          </cell>
          <cell r="O129">
            <v>495</v>
          </cell>
          <cell r="Q129">
            <v>18441116.319999997</v>
          </cell>
          <cell r="S129">
            <v>56435.2261</v>
          </cell>
          <cell r="T129">
            <v>17</v>
          </cell>
          <cell r="V129">
            <v>2209343.96</v>
          </cell>
          <cell r="X129">
            <v>4523.8999999999996</v>
          </cell>
          <cell r="Y129">
            <v>1</v>
          </cell>
          <cell r="AA129">
            <v>786435.9</v>
          </cell>
          <cell r="AC129">
            <v>2543.27</v>
          </cell>
          <cell r="AD129">
            <v>12962</v>
          </cell>
          <cell r="AF129">
            <v>11217.6</v>
          </cell>
          <cell r="AH129">
            <v>31.16</v>
          </cell>
          <cell r="AI129">
            <v>164</v>
          </cell>
          <cell r="AK129">
            <v>138635.72</v>
          </cell>
          <cell r="AM129">
            <v>428</v>
          </cell>
        </row>
        <row r="130">
          <cell r="B130">
            <v>80788730.799999997</v>
          </cell>
          <cell r="D130">
            <v>24345684.17000021</v>
          </cell>
          <cell r="F130">
            <v>44241</v>
          </cell>
          <cell r="H130">
            <v>10708123.620000008</v>
          </cell>
          <cell r="J130">
            <v>4313</v>
          </cell>
          <cell r="L130">
            <v>22533456.889999997</v>
          </cell>
          <cell r="N130">
            <v>57587.7</v>
          </cell>
          <cell r="O130">
            <v>493</v>
          </cell>
          <cell r="Q130">
            <v>18070989.899999999</v>
          </cell>
          <cell r="S130">
            <v>56316.015799999994</v>
          </cell>
          <cell r="T130">
            <v>17</v>
          </cell>
          <cell r="V130">
            <v>2059824</v>
          </cell>
          <cell r="X130">
            <v>4409.8500000000004</v>
          </cell>
          <cell r="Y130">
            <v>1</v>
          </cell>
          <cell r="AA130">
            <v>759159.3</v>
          </cell>
          <cell r="AC130">
            <v>2543.27</v>
          </cell>
          <cell r="AD130">
            <v>12962</v>
          </cell>
          <cell r="AF130">
            <v>11217.6</v>
          </cell>
          <cell r="AH130">
            <v>31.16</v>
          </cell>
          <cell r="AI130">
            <v>164</v>
          </cell>
          <cell r="AK130">
            <v>138634.79999999999</v>
          </cell>
          <cell r="AM130">
            <v>428</v>
          </cell>
        </row>
        <row r="131">
          <cell r="B131">
            <v>88450841.719999999</v>
          </cell>
          <cell r="D131">
            <v>26114962.539999943</v>
          </cell>
          <cell r="F131">
            <v>44219</v>
          </cell>
          <cell r="H131">
            <v>11588558.24</v>
          </cell>
          <cell r="J131">
            <v>4283</v>
          </cell>
          <cell r="L131">
            <v>24301815.839999992</v>
          </cell>
          <cell r="N131">
            <v>61167.109999999993</v>
          </cell>
          <cell r="O131">
            <v>497</v>
          </cell>
          <cell r="Q131">
            <v>18594098.529999997</v>
          </cell>
          <cell r="S131">
            <v>56702.777999999984</v>
          </cell>
          <cell r="T131">
            <v>17</v>
          </cell>
          <cell r="V131">
            <v>2050703.94</v>
          </cell>
          <cell r="X131">
            <v>4390.84</v>
          </cell>
          <cell r="Y131">
            <v>1</v>
          </cell>
          <cell r="AA131">
            <v>509923.34</v>
          </cell>
          <cell r="AC131">
            <v>2543.27</v>
          </cell>
          <cell r="AD131">
            <v>12962</v>
          </cell>
          <cell r="AF131">
            <v>11217.6</v>
          </cell>
          <cell r="AH131">
            <v>31.16</v>
          </cell>
          <cell r="AI131">
            <v>164</v>
          </cell>
          <cell r="AK131">
            <v>138635.72</v>
          </cell>
          <cell r="AM131">
            <v>428</v>
          </cell>
        </row>
        <row r="132">
          <cell r="B132">
            <v>86080627.399999991</v>
          </cell>
          <cell r="D132">
            <v>26097674.579999994</v>
          </cell>
          <cell r="F132">
            <v>44380</v>
          </cell>
          <cell r="H132">
            <v>11264379.980000004</v>
          </cell>
          <cell r="J132">
            <v>4211</v>
          </cell>
          <cell r="L132">
            <v>23835759.899999991</v>
          </cell>
          <cell r="N132">
            <v>60097.079999999994</v>
          </cell>
          <cell r="O132">
            <v>493</v>
          </cell>
          <cell r="Q132">
            <v>18765961.600000005</v>
          </cell>
          <cell r="S132">
            <v>55257.911599999985</v>
          </cell>
          <cell r="T132">
            <v>17</v>
          </cell>
          <cell r="V132">
            <v>2134128.04</v>
          </cell>
          <cell r="X132">
            <v>4504.8900000000003</v>
          </cell>
          <cell r="Y132">
            <v>1</v>
          </cell>
          <cell r="AA132">
            <v>509910.94</v>
          </cell>
          <cell r="AC132">
            <v>2543.27</v>
          </cell>
          <cell r="AD132">
            <v>12962</v>
          </cell>
          <cell r="AF132">
            <v>11217.6</v>
          </cell>
          <cell r="AH132">
            <v>31.16</v>
          </cell>
          <cell r="AI132">
            <v>164</v>
          </cell>
          <cell r="AK132">
            <v>190614.66</v>
          </cell>
          <cell r="AM132">
            <v>428</v>
          </cell>
        </row>
        <row r="133">
          <cell r="B133">
            <v>79884628.359999999</v>
          </cell>
          <cell r="D133">
            <v>25191336.769999918</v>
          </cell>
          <cell r="F133">
            <v>44567</v>
          </cell>
          <cell r="H133">
            <v>10343203.63999998</v>
          </cell>
          <cell r="J133">
            <v>4237</v>
          </cell>
          <cell r="L133">
            <v>22400469.269999985</v>
          </cell>
          <cell r="N133">
            <v>62911.700000000019</v>
          </cell>
          <cell r="O133">
            <v>492</v>
          </cell>
          <cell r="Q133">
            <v>17415884.100000001</v>
          </cell>
          <cell r="S133">
            <v>54317.535199999991</v>
          </cell>
          <cell r="T133">
            <v>17</v>
          </cell>
          <cell r="V133">
            <v>1874112</v>
          </cell>
          <cell r="X133">
            <v>4504.8900000000003</v>
          </cell>
          <cell r="Y133">
            <v>1</v>
          </cell>
          <cell r="AA133">
            <v>493453.5</v>
          </cell>
          <cell r="AC133">
            <v>2544.2399999999998</v>
          </cell>
          <cell r="AD133">
            <v>12962</v>
          </cell>
          <cell r="AF133">
            <v>11217.6</v>
          </cell>
          <cell r="AH133">
            <v>31.16</v>
          </cell>
          <cell r="AI133">
            <v>164</v>
          </cell>
          <cell r="AK133">
            <v>178420.5</v>
          </cell>
          <cell r="AM133">
            <v>428</v>
          </cell>
        </row>
        <row r="134">
          <cell r="B134">
            <v>88656786.064999998</v>
          </cell>
          <cell r="D134">
            <v>28029266.82999998</v>
          </cell>
          <cell r="F134">
            <v>44364</v>
          </cell>
          <cell r="H134">
            <v>11071073.29999999</v>
          </cell>
          <cell r="J134">
            <v>4240</v>
          </cell>
          <cell r="L134">
            <v>24231401.169999972</v>
          </cell>
          <cell r="N134">
            <v>62699.499999999978</v>
          </cell>
          <cell r="O134">
            <v>491</v>
          </cell>
          <cell r="Q134">
            <v>18804253.73</v>
          </cell>
          <cell r="S134">
            <v>55360.723499999986</v>
          </cell>
          <cell r="T134">
            <v>17</v>
          </cell>
          <cell r="V134">
            <v>2179775.85</v>
          </cell>
          <cell r="X134">
            <v>4699.2</v>
          </cell>
          <cell r="Y134">
            <v>1</v>
          </cell>
          <cell r="AA134">
            <v>862910.73</v>
          </cell>
          <cell r="AC134">
            <v>2544.2399999999998</v>
          </cell>
          <cell r="AD134">
            <v>12962</v>
          </cell>
          <cell r="AF134">
            <v>11217.6</v>
          </cell>
          <cell r="AH134">
            <v>31.16</v>
          </cell>
          <cell r="AI134">
            <v>164</v>
          </cell>
          <cell r="AK134">
            <v>175636.08</v>
          </cell>
          <cell r="AM134">
            <v>428</v>
          </cell>
        </row>
        <row r="135">
          <cell r="B135">
            <v>93307650.700000003</v>
          </cell>
          <cell r="D135">
            <v>30314179.629999813</v>
          </cell>
          <cell r="F135">
            <v>44313</v>
          </cell>
          <cell r="H135">
            <v>11834500.279999968</v>
          </cell>
          <cell r="J135">
            <v>4239</v>
          </cell>
          <cell r="L135">
            <v>25214980.610000018</v>
          </cell>
          <cell r="N135">
            <v>61782.210000000006</v>
          </cell>
          <cell r="O135">
            <v>491</v>
          </cell>
          <cell r="Q135">
            <v>19335232.199999999</v>
          </cell>
          <cell r="S135">
            <v>55733.764799999997</v>
          </cell>
          <cell r="T135">
            <v>17</v>
          </cell>
          <cell r="V135">
            <v>2264544</v>
          </cell>
          <cell r="X135">
            <v>4771</v>
          </cell>
          <cell r="Y135">
            <v>1</v>
          </cell>
          <cell r="AA135">
            <v>835074.6</v>
          </cell>
          <cell r="AC135">
            <v>2544.2399999999998</v>
          </cell>
          <cell r="AD135">
            <v>12962</v>
          </cell>
          <cell r="AF135">
            <v>11217.6</v>
          </cell>
          <cell r="AH135">
            <v>31.16</v>
          </cell>
          <cell r="AI135">
            <v>164</v>
          </cell>
          <cell r="AK135">
            <v>172086.6</v>
          </cell>
          <cell r="AM135">
            <v>428</v>
          </cell>
        </row>
        <row r="136">
          <cell r="B136">
            <v>101715484.205</v>
          </cell>
          <cell r="D136">
            <v>34399460.200000234</v>
          </cell>
          <cell r="F136">
            <v>44347</v>
          </cell>
          <cell r="H136">
            <v>12997339.17999999</v>
          </cell>
          <cell r="J136">
            <v>4254</v>
          </cell>
          <cell r="L136">
            <v>27155476.329999983</v>
          </cell>
          <cell r="N136">
            <v>63621.40999999996</v>
          </cell>
          <cell r="O136">
            <v>494</v>
          </cell>
          <cell r="Q136">
            <v>18495169.470000003</v>
          </cell>
          <cell r="S136">
            <v>56130.978399999993</v>
          </cell>
          <cell r="T136">
            <v>17</v>
          </cell>
          <cell r="V136">
            <v>1818863.93</v>
          </cell>
          <cell r="X136">
            <v>4694.97</v>
          </cell>
          <cell r="Y136">
            <v>1</v>
          </cell>
          <cell r="AA136">
            <v>864091.83</v>
          </cell>
          <cell r="AC136">
            <v>2610.4299999999998</v>
          </cell>
          <cell r="AD136">
            <v>12962</v>
          </cell>
          <cell r="AF136">
            <v>11217.6</v>
          </cell>
          <cell r="AH136">
            <v>31.16</v>
          </cell>
          <cell r="AI136">
            <v>164</v>
          </cell>
          <cell r="AK136">
            <v>170238.66999999998</v>
          </cell>
          <cell r="AM136">
            <v>428</v>
          </cell>
        </row>
        <row r="137">
          <cell r="B137">
            <v>106854247.63500001</v>
          </cell>
          <cell r="D137">
            <v>36651750.410000287</v>
          </cell>
          <cell r="F137">
            <v>44296</v>
          </cell>
          <cell r="H137">
            <v>14031526.530000027</v>
          </cell>
          <cell r="J137">
            <v>4297</v>
          </cell>
          <cell r="L137">
            <v>29662727.760000009</v>
          </cell>
          <cell r="N137">
            <v>60479.450000000033</v>
          </cell>
          <cell r="O137">
            <v>493</v>
          </cell>
          <cell r="Q137">
            <v>18444795.820000004</v>
          </cell>
          <cell r="S137">
            <v>45704.305699999997</v>
          </cell>
          <cell r="T137">
            <v>17</v>
          </cell>
          <cell r="V137">
            <v>2089103.95</v>
          </cell>
          <cell r="X137">
            <v>4694.97</v>
          </cell>
          <cell r="Y137">
            <v>1</v>
          </cell>
          <cell r="AA137">
            <v>1209239.01</v>
          </cell>
          <cell r="AC137">
            <v>2612.37</v>
          </cell>
          <cell r="AD137">
            <v>12976</v>
          </cell>
          <cell r="AF137">
            <v>10465.200000000001</v>
          </cell>
          <cell r="AH137">
            <v>29.07</v>
          </cell>
          <cell r="AI137">
            <v>153</v>
          </cell>
          <cell r="AK137">
            <v>169654.63000000003</v>
          </cell>
          <cell r="AM137">
            <v>435</v>
          </cell>
        </row>
        <row r="138">
          <cell r="B138">
            <v>101765170.88</v>
          </cell>
          <cell r="D138">
            <v>32943660.569999944</v>
          </cell>
          <cell r="F138">
            <v>44278</v>
          </cell>
          <cell r="H138">
            <v>13413294.690000024</v>
          </cell>
          <cell r="J138">
            <v>4295</v>
          </cell>
          <cell r="L138">
            <v>28296502.539999969</v>
          </cell>
          <cell r="N138">
            <v>66271.059999999983</v>
          </cell>
          <cell r="O138">
            <v>492</v>
          </cell>
          <cell r="Q138">
            <v>16548944.210000001</v>
          </cell>
          <cell r="S138">
            <v>34877.9018</v>
          </cell>
          <cell r="T138">
            <v>17</v>
          </cell>
          <cell r="V138">
            <v>1970543.96</v>
          </cell>
          <cell r="X138">
            <v>4656.96</v>
          </cell>
          <cell r="Y138">
            <v>1</v>
          </cell>
          <cell r="AA138">
            <v>985437.6</v>
          </cell>
          <cell r="AC138">
            <v>2612.37</v>
          </cell>
          <cell r="AD138">
            <v>12976</v>
          </cell>
          <cell r="AF138">
            <v>10465.200000000001</v>
          </cell>
          <cell r="AH138">
            <v>29.07</v>
          </cell>
          <cell r="AI138">
            <v>153</v>
          </cell>
          <cell r="AK138">
            <v>167756.68000000002</v>
          </cell>
          <cell r="AM138">
            <v>435</v>
          </cell>
        </row>
        <row r="139">
          <cell r="B139">
            <v>97266360.674999997</v>
          </cell>
          <cell r="D139">
            <v>32857535.92000011</v>
          </cell>
          <cell r="F139">
            <v>44348</v>
          </cell>
          <cell r="H139">
            <v>13148947.050000003</v>
          </cell>
          <cell r="J139">
            <v>4289</v>
          </cell>
          <cell r="L139">
            <v>27525692.98999998</v>
          </cell>
          <cell r="N139">
            <v>65223.580000000045</v>
          </cell>
          <cell r="O139">
            <v>494</v>
          </cell>
          <cell r="Q139">
            <v>18208968.48</v>
          </cell>
          <cell r="S139">
            <v>46866.105299999996</v>
          </cell>
          <cell r="T139">
            <v>17</v>
          </cell>
          <cell r="V139">
            <v>2177280.04</v>
          </cell>
          <cell r="X139">
            <v>4732.99</v>
          </cell>
          <cell r="Y139">
            <v>1</v>
          </cell>
          <cell r="AA139">
            <v>959567.17999999993</v>
          </cell>
          <cell r="AC139">
            <v>2545.19</v>
          </cell>
          <cell r="AD139">
            <v>12976</v>
          </cell>
          <cell r="AF139">
            <v>10465.200000000001</v>
          </cell>
          <cell r="AH139">
            <v>29.07</v>
          </cell>
          <cell r="AI139">
            <v>153</v>
          </cell>
          <cell r="AK139">
            <v>174834.73000000004</v>
          </cell>
          <cell r="AM139">
            <v>435</v>
          </cell>
        </row>
        <row r="140">
          <cell r="B140">
            <v>86347252.030000001</v>
          </cell>
          <cell r="D140">
            <v>27092407.240000095</v>
          </cell>
          <cell r="F140">
            <v>44296</v>
          </cell>
          <cell r="H140">
            <v>11132064.210000025</v>
          </cell>
          <cell r="J140">
            <v>4308</v>
          </cell>
          <cell r="L140">
            <v>23410934.150000002</v>
          </cell>
          <cell r="N140">
            <v>59564.579999999951</v>
          </cell>
          <cell r="O140">
            <v>511</v>
          </cell>
          <cell r="Q140">
            <v>18525051.899999999</v>
          </cell>
          <cell r="S140">
            <v>50271.474799999996</v>
          </cell>
          <cell r="T140">
            <v>17</v>
          </cell>
          <cell r="V140">
            <v>2016624</v>
          </cell>
          <cell r="X140">
            <v>4665.0200000000004</v>
          </cell>
          <cell r="Y140">
            <v>1</v>
          </cell>
          <cell r="AA140">
            <v>788681.7</v>
          </cell>
          <cell r="AC140">
            <v>2545.19</v>
          </cell>
          <cell r="AD140">
            <v>12976</v>
          </cell>
          <cell r="AF140">
            <v>10465.200000000001</v>
          </cell>
          <cell r="AH140">
            <v>29.07</v>
          </cell>
          <cell r="AI140">
            <v>153</v>
          </cell>
          <cell r="AK140">
            <v>180571.8</v>
          </cell>
          <cell r="AM140">
            <v>435</v>
          </cell>
        </row>
        <row r="141">
          <cell r="B141">
            <v>81662415.745000005</v>
          </cell>
          <cell r="D141">
            <v>25115209.089999869</v>
          </cell>
          <cell r="F141">
            <v>44412</v>
          </cell>
          <cell r="H141">
            <v>10476503.350000001</v>
          </cell>
          <cell r="J141">
            <v>4288</v>
          </cell>
          <cell r="L141">
            <v>22478351.149999984</v>
          </cell>
          <cell r="N141">
            <v>54174.369999999995</v>
          </cell>
          <cell r="O141">
            <v>502</v>
          </cell>
          <cell r="Q141">
            <v>18887712.240000002</v>
          </cell>
          <cell r="S141">
            <v>51364.268200000006</v>
          </cell>
          <cell r="T141">
            <v>18</v>
          </cell>
          <cell r="V141">
            <v>2100383.92</v>
          </cell>
          <cell r="X141">
            <v>4523.8999999999996</v>
          </cell>
          <cell r="Y141">
            <v>1</v>
          </cell>
          <cell r="AA141">
            <v>690030.86</v>
          </cell>
          <cell r="AC141">
            <v>2545.19</v>
          </cell>
          <cell r="AD141">
            <v>12976</v>
          </cell>
          <cell r="AF141">
            <v>10465.200000000001</v>
          </cell>
          <cell r="AH141">
            <v>29.07</v>
          </cell>
          <cell r="AI141">
            <v>153</v>
          </cell>
          <cell r="AK141">
            <v>180652.28000000003</v>
          </cell>
          <cell r="AM141">
            <v>435</v>
          </cell>
        </row>
        <row r="142">
          <cell r="B142">
            <v>78216252.605000004</v>
          </cell>
          <cell r="D142">
            <v>23534586.620000288</v>
          </cell>
          <cell r="F142">
            <v>44550</v>
          </cell>
          <cell r="H142">
            <v>10397828.820000019</v>
          </cell>
          <cell r="J142">
            <v>4266</v>
          </cell>
          <cell r="L142">
            <v>22018767.950000007</v>
          </cell>
          <cell r="N142">
            <v>60618.849999999977</v>
          </cell>
          <cell r="O142">
            <v>500</v>
          </cell>
          <cell r="Q142">
            <v>16968325.600000001</v>
          </cell>
          <cell r="S142">
            <v>46244.941599999991</v>
          </cell>
          <cell r="T142">
            <v>18</v>
          </cell>
          <cell r="V142">
            <v>2018304</v>
          </cell>
          <cell r="X142">
            <v>4713.9799999999996</v>
          </cell>
          <cell r="Y142">
            <v>1</v>
          </cell>
          <cell r="AA142">
            <v>591162.6</v>
          </cell>
          <cell r="AC142">
            <v>2545.19</v>
          </cell>
          <cell r="AD142">
            <v>12976</v>
          </cell>
          <cell r="AF142">
            <v>10465.200000000001</v>
          </cell>
          <cell r="AH142">
            <v>29.07</v>
          </cell>
          <cell r="AI142">
            <v>153</v>
          </cell>
          <cell r="AK142">
            <v>178017</v>
          </cell>
          <cell r="AM142">
            <v>435</v>
          </cell>
        </row>
        <row r="143">
          <cell r="B143">
            <v>83572228.700000003</v>
          </cell>
          <cell r="D143">
            <v>25046931.960000161</v>
          </cell>
          <cell r="F143">
            <v>44365</v>
          </cell>
          <cell r="H143">
            <v>11107289.329999989</v>
          </cell>
          <cell r="J143">
            <v>4253</v>
          </cell>
          <cell r="L143">
            <v>23322571.340000018</v>
          </cell>
          <cell r="N143">
            <v>57995.190000000017</v>
          </cell>
          <cell r="O143">
            <v>501</v>
          </cell>
          <cell r="Q143">
            <v>16940072.219999999</v>
          </cell>
          <cell r="S143">
            <v>50804.720800000003</v>
          </cell>
          <cell r="T143">
            <v>18</v>
          </cell>
          <cell r="V143">
            <v>2016288.05</v>
          </cell>
          <cell r="X143">
            <v>4580.92</v>
          </cell>
          <cell r="Y143">
            <v>1</v>
          </cell>
          <cell r="AA143">
            <v>644054.44999999995</v>
          </cell>
          <cell r="AC143">
            <v>2612.37</v>
          </cell>
          <cell r="AD143">
            <v>12976</v>
          </cell>
          <cell r="AF143">
            <v>10465.200000000001</v>
          </cell>
          <cell r="AH143">
            <v>29.07</v>
          </cell>
          <cell r="AI143">
            <v>153</v>
          </cell>
          <cell r="AK143">
            <v>174182.34000000005</v>
          </cell>
          <cell r="AM143">
            <v>435</v>
          </cell>
        </row>
        <row r="144">
          <cell r="B144">
            <v>81872692</v>
          </cell>
          <cell r="D144">
            <v>25330023.870000076</v>
          </cell>
          <cell r="F144">
            <v>44440</v>
          </cell>
          <cell r="H144">
            <v>10981653.73</v>
          </cell>
          <cell r="J144">
            <v>4241</v>
          </cell>
          <cell r="L144">
            <v>23240376.049999986</v>
          </cell>
          <cell r="N144">
            <v>53662.819999999949</v>
          </cell>
          <cell r="O144">
            <v>503</v>
          </cell>
          <cell r="Q144">
            <v>16301017.990000002</v>
          </cell>
          <cell r="S144">
            <v>49888.057700000005</v>
          </cell>
          <cell r="T144">
            <v>18</v>
          </cell>
          <cell r="V144">
            <v>2044944.14</v>
          </cell>
          <cell r="X144">
            <v>4390.84</v>
          </cell>
          <cell r="Y144">
            <v>1</v>
          </cell>
          <cell r="AA144">
            <v>755517.74</v>
          </cell>
          <cell r="AC144">
            <v>2612.37</v>
          </cell>
          <cell r="AD144">
            <v>12976</v>
          </cell>
          <cell r="AF144">
            <v>10465.200000000001</v>
          </cell>
          <cell r="AH144">
            <v>29.07</v>
          </cell>
          <cell r="AI144">
            <v>153</v>
          </cell>
          <cell r="AK144">
            <v>169599.12000000002</v>
          </cell>
          <cell r="AM144">
            <v>435</v>
          </cell>
        </row>
        <row r="145">
          <cell r="B145">
            <v>77223168.519999996</v>
          </cell>
          <cell r="D145">
            <v>24758256.469999984</v>
          </cell>
          <cell r="F145">
            <v>44418</v>
          </cell>
          <cell r="H145">
            <v>10221738.110000003</v>
          </cell>
          <cell r="J145">
            <v>4242</v>
          </cell>
          <cell r="L145">
            <v>22268047.419999991</v>
          </cell>
          <cell r="N145">
            <v>61543.340000000011</v>
          </cell>
          <cell r="O145">
            <v>503</v>
          </cell>
          <cell r="Q145">
            <v>15425880</v>
          </cell>
          <cell r="S145">
            <v>49390.870199999998</v>
          </cell>
          <cell r="T145">
            <v>18</v>
          </cell>
          <cell r="V145">
            <v>1695312</v>
          </cell>
          <cell r="X145">
            <v>4504.8900000000003</v>
          </cell>
          <cell r="Y145">
            <v>1</v>
          </cell>
          <cell r="AA145">
            <v>865063.8</v>
          </cell>
          <cell r="AC145">
            <v>2612.37</v>
          </cell>
          <cell r="AD145">
            <v>12976</v>
          </cell>
          <cell r="AF145">
            <v>10465.200000000001</v>
          </cell>
          <cell r="AH145">
            <v>29.07</v>
          </cell>
          <cell r="AI145">
            <v>153</v>
          </cell>
          <cell r="AK145">
            <v>163752.9</v>
          </cell>
          <cell r="AM145">
            <v>435</v>
          </cell>
        </row>
        <row r="146">
          <cell r="B146">
            <v>84323902.479999989</v>
          </cell>
          <cell r="D146">
            <v>27656765.080000009</v>
          </cell>
          <cell r="F146">
            <v>44489</v>
          </cell>
          <cell r="H146">
            <v>10659311.449999996</v>
          </cell>
          <cell r="J146">
            <v>4267</v>
          </cell>
          <cell r="L146">
            <v>23250601.389999993</v>
          </cell>
          <cell r="N146">
            <v>60210.149999999987</v>
          </cell>
          <cell r="O146">
            <v>502</v>
          </cell>
          <cell r="Q146">
            <v>17277462.809999999</v>
          </cell>
          <cell r="S146">
            <v>51105.948799999991</v>
          </cell>
          <cell r="T146">
            <v>18</v>
          </cell>
          <cell r="V146">
            <v>1997423.93</v>
          </cell>
          <cell r="X146">
            <v>4713.9799999999996</v>
          </cell>
          <cell r="Y146">
            <v>1</v>
          </cell>
          <cell r="AA146">
            <v>1038438.62</v>
          </cell>
          <cell r="AC146">
            <v>2548.56</v>
          </cell>
          <cell r="AD146">
            <v>12976</v>
          </cell>
          <cell r="AF146">
            <v>10465.200000000001</v>
          </cell>
          <cell r="AH146">
            <v>29.07</v>
          </cell>
          <cell r="AI146">
            <v>153</v>
          </cell>
          <cell r="AK146">
            <v>157642.13000000003</v>
          </cell>
          <cell r="AM146">
            <v>435</v>
          </cell>
        </row>
        <row r="147">
          <cell r="B147">
            <v>90887332.480000004</v>
          </cell>
          <cell r="D147">
            <v>30856187.839999899</v>
          </cell>
          <cell r="F147">
            <v>44459</v>
          </cell>
          <cell r="H147">
            <v>11710992.839999968</v>
          </cell>
          <cell r="J147">
            <v>4274</v>
          </cell>
          <cell r="L147">
            <v>25216488.030000024</v>
          </cell>
          <cell r="N147">
            <v>61896.639999999978</v>
          </cell>
          <cell r="O147">
            <v>500</v>
          </cell>
          <cell r="Q147">
            <v>16688817.899999999</v>
          </cell>
          <cell r="S147">
            <v>49793.945699999997</v>
          </cell>
          <cell r="T147">
            <v>18</v>
          </cell>
          <cell r="V147">
            <v>2124192</v>
          </cell>
          <cell r="X147">
            <v>4637.95</v>
          </cell>
          <cell r="Y147">
            <v>1</v>
          </cell>
          <cell r="AA147">
            <v>1132096.7999999998</v>
          </cell>
          <cell r="AC147">
            <v>2548.92</v>
          </cell>
          <cell r="AD147">
            <v>12976</v>
          </cell>
          <cell r="AF147">
            <v>10465.200000000001</v>
          </cell>
          <cell r="AH147">
            <v>29.07</v>
          </cell>
          <cell r="AI147">
            <v>153</v>
          </cell>
          <cell r="AK147">
            <v>157641.9</v>
          </cell>
          <cell r="AM147">
            <v>435</v>
          </cell>
        </row>
        <row r="148">
          <cell r="B148">
            <v>104649026.3</v>
          </cell>
          <cell r="D148">
            <v>35513367.18000026</v>
          </cell>
          <cell r="F148">
            <v>44312</v>
          </cell>
          <cell r="H148">
            <v>13514465.429999996</v>
          </cell>
          <cell r="J148">
            <v>4259</v>
          </cell>
          <cell r="L148">
            <v>28290655.52999999</v>
          </cell>
          <cell r="N148">
            <v>67126.469999999943</v>
          </cell>
          <cell r="O148">
            <v>505</v>
          </cell>
          <cell r="Q148">
            <v>16425525.790000003</v>
          </cell>
          <cell r="S148">
            <v>44178.999100000001</v>
          </cell>
          <cell r="T148">
            <v>18</v>
          </cell>
          <cell r="V148">
            <v>2028528.09</v>
          </cell>
          <cell r="X148">
            <v>4733.37</v>
          </cell>
          <cell r="Y148">
            <v>1</v>
          </cell>
          <cell r="AA148">
            <v>1248635.3599999999</v>
          </cell>
          <cell r="AC148">
            <v>2548.92</v>
          </cell>
          <cell r="AD148">
            <v>12976</v>
          </cell>
          <cell r="AF148">
            <v>10465.200000000001</v>
          </cell>
          <cell r="AH148">
            <v>29.07</v>
          </cell>
          <cell r="AI148">
            <v>153</v>
          </cell>
          <cell r="AK148">
            <v>157185.19000000003</v>
          </cell>
          <cell r="AM148">
            <v>435</v>
          </cell>
        </row>
        <row r="149">
          <cell r="B149">
            <v>104935043.73</v>
          </cell>
          <cell r="D149">
            <v>36959741.449999802</v>
          </cell>
          <cell r="F149">
            <v>44333</v>
          </cell>
          <cell r="H149">
            <v>14087644.269999996</v>
          </cell>
          <cell r="J149">
            <v>4276</v>
          </cell>
          <cell r="L149">
            <v>29938301.859999973</v>
          </cell>
          <cell r="N149">
            <v>68508.500000000015</v>
          </cell>
          <cell r="O149">
            <v>506</v>
          </cell>
          <cell r="Q149">
            <v>15433819.340000002</v>
          </cell>
          <cell r="S149">
            <v>44221.247499999998</v>
          </cell>
          <cell r="T149">
            <v>18</v>
          </cell>
          <cell r="V149">
            <v>2248271.9</v>
          </cell>
          <cell r="X149">
            <v>4921.34</v>
          </cell>
          <cell r="Y149">
            <v>1</v>
          </cell>
          <cell r="AA149">
            <v>1185332.43</v>
          </cell>
          <cell r="AC149">
            <v>2646.87</v>
          </cell>
          <cell r="AD149">
            <v>13170</v>
          </cell>
          <cell r="AF149">
            <v>10123.200000000001</v>
          </cell>
          <cell r="AH149">
            <v>28.12</v>
          </cell>
          <cell r="AI149">
            <v>148</v>
          </cell>
          <cell r="AK149">
            <v>164123.85000000003</v>
          </cell>
          <cell r="AM149">
            <v>457</v>
          </cell>
        </row>
        <row r="150">
          <cell r="B150">
            <v>96969184.5</v>
          </cell>
          <cell r="D150">
            <v>33315884.939999737</v>
          </cell>
          <cell r="F150">
            <v>44401</v>
          </cell>
          <cell r="H150">
            <v>13323309.449999977</v>
          </cell>
          <cell r="J150">
            <v>4253</v>
          </cell>
          <cell r="L150">
            <v>28649711.050000001</v>
          </cell>
          <cell r="N150">
            <v>65913.059999999954</v>
          </cell>
          <cell r="O150">
            <v>508</v>
          </cell>
          <cell r="Q150">
            <v>13552462.119999997</v>
          </cell>
          <cell r="S150">
            <v>34713.147700000001</v>
          </cell>
          <cell r="T150">
            <v>18</v>
          </cell>
          <cell r="V150">
            <v>2109743.91</v>
          </cell>
          <cell r="X150">
            <v>4771</v>
          </cell>
          <cell r="Y150">
            <v>1</v>
          </cell>
          <cell r="AA150">
            <v>1016454.64</v>
          </cell>
          <cell r="AC150">
            <v>2581.06</v>
          </cell>
          <cell r="AD150">
            <v>13170</v>
          </cell>
          <cell r="AF150">
            <v>10123.200000000001</v>
          </cell>
          <cell r="AH150">
            <v>28.12</v>
          </cell>
          <cell r="AI150">
            <v>148</v>
          </cell>
          <cell r="AK150">
            <v>164010.94999999998</v>
          </cell>
          <cell r="AM150">
            <v>457</v>
          </cell>
        </row>
        <row r="151">
          <cell r="B151">
            <v>93519586.990500003</v>
          </cell>
          <cell r="D151">
            <v>32204211.009999871</v>
          </cell>
          <cell r="F151">
            <v>44333</v>
          </cell>
          <cell r="H151">
            <v>12857263.979999973</v>
          </cell>
          <cell r="J151">
            <v>4240</v>
          </cell>
          <cell r="L151">
            <v>27818185.449999981</v>
          </cell>
          <cell r="N151">
            <v>65839.349999999962</v>
          </cell>
          <cell r="O151">
            <v>507</v>
          </cell>
          <cell r="Q151">
            <v>14076207.82</v>
          </cell>
          <cell r="S151">
            <v>38162.234799999998</v>
          </cell>
          <cell r="T151">
            <v>18</v>
          </cell>
          <cell r="V151">
            <v>2123856</v>
          </cell>
          <cell r="X151">
            <v>4900.83</v>
          </cell>
          <cell r="Y151">
            <v>1</v>
          </cell>
          <cell r="AA151">
            <v>954850.52999999991</v>
          </cell>
          <cell r="AC151">
            <v>2646.87</v>
          </cell>
          <cell r="AD151">
            <v>13170</v>
          </cell>
          <cell r="AF151">
            <v>10191.599999999999</v>
          </cell>
          <cell r="AH151">
            <v>28.31</v>
          </cell>
          <cell r="AI151">
            <v>149</v>
          </cell>
          <cell r="AK151">
            <v>162527.11000000002</v>
          </cell>
          <cell r="AM151">
            <v>457</v>
          </cell>
        </row>
        <row r="152">
          <cell r="B152">
            <v>82871977.694999993</v>
          </cell>
          <cell r="D152">
            <v>27546470.049999915</v>
          </cell>
          <cell r="F152">
            <v>44453</v>
          </cell>
          <cell r="H152">
            <v>11209729.860000009</v>
          </cell>
          <cell r="J152">
            <v>4255</v>
          </cell>
          <cell r="L152">
            <v>23652657.520000007</v>
          </cell>
          <cell r="N152">
            <v>57191.530000000035</v>
          </cell>
          <cell r="O152">
            <v>511</v>
          </cell>
          <cell r="Q152">
            <v>14985288</v>
          </cell>
          <cell r="S152">
            <v>44748.4329</v>
          </cell>
          <cell r="T152">
            <v>18</v>
          </cell>
          <cell r="V152">
            <v>2195808</v>
          </cell>
          <cell r="X152">
            <v>4847.04</v>
          </cell>
          <cell r="Y152">
            <v>1</v>
          </cell>
          <cell r="AA152">
            <v>783847.5</v>
          </cell>
          <cell r="AC152">
            <v>2646.87</v>
          </cell>
          <cell r="AD152">
            <v>13170</v>
          </cell>
          <cell r="AF152">
            <v>10191.599999999999</v>
          </cell>
          <cell r="AH152">
            <v>28.31</v>
          </cell>
          <cell r="AI152">
            <v>149</v>
          </cell>
          <cell r="AK152">
            <v>162470.69999999998</v>
          </cell>
          <cell r="AM152">
            <v>457</v>
          </cell>
        </row>
        <row r="153">
          <cell r="B153">
            <v>79155014.5</v>
          </cell>
          <cell r="D153">
            <v>25811018.169999894</v>
          </cell>
          <cell r="F153">
            <v>44678</v>
          </cell>
          <cell r="H153">
            <v>10641515.859999977</v>
          </cell>
          <cell r="J153">
            <v>4261</v>
          </cell>
          <cell r="L153">
            <v>22308792.069999997</v>
          </cell>
          <cell r="N153">
            <v>53178.690000000046</v>
          </cell>
          <cell r="O153">
            <v>506</v>
          </cell>
          <cell r="Q153">
            <v>15583445.800000001</v>
          </cell>
          <cell r="S153">
            <v>44863.560000000005</v>
          </cell>
          <cell r="T153">
            <v>18</v>
          </cell>
          <cell r="V153">
            <v>2013215.95</v>
          </cell>
          <cell r="X153">
            <v>4641.75</v>
          </cell>
          <cell r="Y153">
            <v>1</v>
          </cell>
          <cell r="AA153">
            <v>671687.23</v>
          </cell>
          <cell r="AC153">
            <v>2646.87</v>
          </cell>
          <cell r="AD153">
            <v>13170</v>
          </cell>
          <cell r="AF153">
            <v>10260</v>
          </cell>
          <cell r="AH153">
            <v>28.5</v>
          </cell>
          <cell r="AI153">
            <v>150</v>
          </cell>
          <cell r="AK153">
            <v>162517.19000000003</v>
          </cell>
          <cell r="AM153">
            <v>457</v>
          </cell>
        </row>
        <row r="154">
          <cell r="B154">
            <v>75449480.36999999</v>
          </cell>
          <cell r="D154">
            <v>23670990.890000027</v>
          </cell>
          <cell r="F154">
            <v>44475</v>
          </cell>
          <cell r="H154">
            <v>10314120.790000018</v>
          </cell>
          <cell r="J154">
            <v>4242</v>
          </cell>
          <cell r="L154">
            <v>21249644.889999986</v>
          </cell>
          <cell r="N154">
            <v>61707.740000000034</v>
          </cell>
          <cell r="O154">
            <v>503</v>
          </cell>
          <cell r="Q154">
            <v>15296954.100000001</v>
          </cell>
          <cell r="S154">
            <v>47868.481699999989</v>
          </cell>
          <cell r="T154">
            <v>18</v>
          </cell>
          <cell r="V154">
            <v>1937712</v>
          </cell>
          <cell r="X154">
            <v>4676.91</v>
          </cell>
          <cell r="Y154">
            <v>1</v>
          </cell>
          <cell r="AA154">
            <v>599038.19999999995</v>
          </cell>
          <cell r="AC154">
            <v>2646.87</v>
          </cell>
          <cell r="AD154">
            <v>13170</v>
          </cell>
          <cell r="AF154">
            <v>10123.200000000001</v>
          </cell>
          <cell r="AH154">
            <v>28.12</v>
          </cell>
          <cell r="AI154">
            <v>148</v>
          </cell>
          <cell r="AK154">
            <v>162254.69999999998</v>
          </cell>
          <cell r="AM154">
            <v>457</v>
          </cell>
        </row>
        <row r="155">
          <cell r="B155">
            <v>80091639.5</v>
          </cell>
          <cell r="D155">
            <v>24760370.830000084</v>
          </cell>
          <cell r="F155">
            <v>44447</v>
          </cell>
          <cell r="H155">
            <v>11042847.349999966</v>
          </cell>
          <cell r="J155">
            <v>4223</v>
          </cell>
          <cell r="L155">
            <v>22972303.899999972</v>
          </cell>
          <cell r="N155">
            <v>61407.879999999961</v>
          </cell>
          <cell r="O155">
            <v>504</v>
          </cell>
          <cell r="Q155">
            <v>15596493.390000002</v>
          </cell>
          <cell r="S155">
            <v>46822.209599999987</v>
          </cell>
          <cell r="T155">
            <v>18</v>
          </cell>
          <cell r="V155">
            <v>2026943.99</v>
          </cell>
          <cell r="X155">
            <v>4630.34</v>
          </cell>
          <cell r="Y155">
            <v>1</v>
          </cell>
          <cell r="AA155">
            <v>655636.18000000005</v>
          </cell>
          <cell r="AC155">
            <v>2646.87</v>
          </cell>
          <cell r="AD155">
            <v>13170</v>
          </cell>
          <cell r="AF155">
            <v>10123.200000000001</v>
          </cell>
          <cell r="AH155">
            <v>28.12</v>
          </cell>
          <cell r="AI155">
            <v>148</v>
          </cell>
          <cell r="AK155">
            <v>158817.74000000002</v>
          </cell>
          <cell r="AM155">
            <v>457</v>
          </cell>
        </row>
        <row r="156">
          <cell r="B156">
            <v>79245285.700000003</v>
          </cell>
          <cell r="D156">
            <v>25074714.10000005</v>
          </cell>
          <cell r="F156">
            <v>44683</v>
          </cell>
          <cell r="H156">
            <v>10916451.01</v>
          </cell>
          <cell r="J156">
            <v>4227</v>
          </cell>
          <cell r="L156">
            <v>22825574.800000034</v>
          </cell>
          <cell r="N156">
            <v>61206.809999999939</v>
          </cell>
          <cell r="O156">
            <v>504</v>
          </cell>
          <cell r="Q156">
            <v>14364401.57</v>
          </cell>
          <cell r="S156">
            <v>40648.621600000013</v>
          </cell>
          <cell r="T156">
            <v>18</v>
          </cell>
          <cell r="V156">
            <v>1950864.1</v>
          </cell>
          <cell r="X156">
            <v>4543.8599999999997</v>
          </cell>
          <cell r="Y156">
            <v>1</v>
          </cell>
          <cell r="AA156">
            <v>727250.08</v>
          </cell>
          <cell r="AC156">
            <v>2646.87</v>
          </cell>
          <cell r="AD156">
            <v>13170</v>
          </cell>
          <cell r="AF156">
            <v>10123.200000000001</v>
          </cell>
          <cell r="AH156">
            <v>28.12</v>
          </cell>
          <cell r="AI156">
            <v>148</v>
          </cell>
          <cell r="AK156">
            <v>162270.74000000002</v>
          </cell>
          <cell r="AM156">
            <v>457</v>
          </cell>
        </row>
        <row r="157">
          <cell r="B157">
            <v>75427974.635000005</v>
          </cell>
          <cell r="D157">
            <v>24527138.439999893</v>
          </cell>
          <cell r="F157">
            <v>44620</v>
          </cell>
          <cell r="H157">
            <v>10097320.279999997</v>
          </cell>
          <cell r="J157">
            <v>4233</v>
          </cell>
          <cell r="L157">
            <v>21467207.539999992</v>
          </cell>
          <cell r="N157">
            <v>62854.960000000021</v>
          </cell>
          <cell r="O157">
            <v>504</v>
          </cell>
          <cell r="Q157">
            <v>14397393.9</v>
          </cell>
          <cell r="S157">
            <v>45729.003799999999</v>
          </cell>
          <cell r="T157">
            <v>18</v>
          </cell>
          <cell r="V157">
            <v>1835808</v>
          </cell>
          <cell r="X157">
            <v>4499.1899999999996</v>
          </cell>
          <cell r="Y157">
            <v>1</v>
          </cell>
          <cell r="AA157">
            <v>873066.9</v>
          </cell>
          <cell r="AC157">
            <v>2646.87</v>
          </cell>
          <cell r="AD157">
            <v>13170</v>
          </cell>
          <cell r="AF157">
            <v>10123.200000000001</v>
          </cell>
          <cell r="AH157">
            <v>28.12</v>
          </cell>
          <cell r="AI157">
            <v>148</v>
          </cell>
          <cell r="AK157">
            <v>162167.84999999998</v>
          </cell>
          <cell r="AM157">
            <v>457</v>
          </cell>
        </row>
        <row r="158">
          <cell r="B158">
            <v>81562556.669999987</v>
          </cell>
          <cell r="D158">
            <v>27463878.839999922</v>
          </cell>
          <cell r="F158">
            <v>44594</v>
          </cell>
          <cell r="H158">
            <v>10600173.260000022</v>
          </cell>
          <cell r="J158">
            <v>4277</v>
          </cell>
          <cell r="L158">
            <v>22467926.269999996</v>
          </cell>
          <cell r="N158">
            <v>58993.149999999994</v>
          </cell>
          <cell r="O158">
            <v>510</v>
          </cell>
          <cell r="Q158">
            <v>15502425.75</v>
          </cell>
          <cell r="S158">
            <v>42273.474800000004</v>
          </cell>
          <cell r="T158">
            <v>18</v>
          </cell>
          <cell r="V158">
            <v>1965311.96</v>
          </cell>
          <cell r="X158">
            <v>4680.72</v>
          </cell>
          <cell r="Y158">
            <v>1</v>
          </cell>
          <cell r="AA158">
            <v>1033872.63</v>
          </cell>
          <cell r="AC158">
            <v>2581.06</v>
          </cell>
          <cell r="AD158">
            <v>13030</v>
          </cell>
          <cell r="AF158">
            <v>10396.799999999999</v>
          </cell>
          <cell r="AH158">
            <v>28.88</v>
          </cell>
          <cell r="AI158">
            <v>152</v>
          </cell>
          <cell r="AK158">
            <v>164056.03000000003</v>
          </cell>
          <cell r="AM158">
            <v>457</v>
          </cell>
        </row>
        <row r="159">
          <cell r="B159">
            <v>89093068.805000007</v>
          </cell>
          <cell r="D159">
            <v>31251337.249999966</v>
          </cell>
          <cell r="F159">
            <v>44809</v>
          </cell>
          <cell r="H159">
            <v>11883390.629999967</v>
          </cell>
          <cell r="J159">
            <v>4304</v>
          </cell>
          <cell r="L159">
            <v>24892281.799999986</v>
          </cell>
          <cell r="N159">
            <v>62792.690000000039</v>
          </cell>
          <cell r="O159">
            <v>517</v>
          </cell>
          <cell r="Q159">
            <v>16120384.199999999</v>
          </cell>
          <cell r="S159">
            <v>41887.929999999986</v>
          </cell>
          <cell r="T159">
            <v>18</v>
          </cell>
          <cell r="V159">
            <v>1107264</v>
          </cell>
          <cell r="X159">
            <v>4687.37</v>
          </cell>
          <cell r="Y159">
            <v>1</v>
          </cell>
          <cell r="AA159">
            <v>1115231.7</v>
          </cell>
          <cell r="AC159">
            <v>2581.06</v>
          </cell>
          <cell r="AD159">
            <v>13030</v>
          </cell>
          <cell r="AF159">
            <v>10602</v>
          </cell>
          <cell r="AH159">
            <v>29.45</v>
          </cell>
          <cell r="AI159">
            <v>155</v>
          </cell>
          <cell r="AK159">
            <v>163824.89999999997</v>
          </cell>
          <cell r="AM159">
            <v>457</v>
          </cell>
        </row>
        <row r="160">
          <cell r="B160">
            <v>108035010.80000001</v>
          </cell>
          <cell r="D160">
            <v>37054439.399999842</v>
          </cell>
          <cell r="F160">
            <v>44624</v>
          </cell>
          <cell r="H160">
            <v>13928152.380000029</v>
          </cell>
          <cell r="J160">
            <v>4292</v>
          </cell>
          <cell r="L160">
            <v>29306389.769999992</v>
          </cell>
          <cell r="N160">
            <v>68254.910000000047</v>
          </cell>
          <cell r="O160">
            <v>507</v>
          </cell>
          <cell r="Q160">
            <v>16570154.409999998</v>
          </cell>
          <cell r="S160">
            <v>43571.431399999994</v>
          </cell>
          <cell r="T160">
            <v>18</v>
          </cell>
          <cell r="V160">
            <v>1497600.08</v>
          </cell>
          <cell r="X160">
            <v>4772.8999999999996</v>
          </cell>
          <cell r="Y160">
            <v>1</v>
          </cell>
          <cell r="AA160">
            <v>1218259.08</v>
          </cell>
          <cell r="AC160">
            <v>2581.06</v>
          </cell>
          <cell r="AD160">
            <v>13030</v>
          </cell>
          <cell r="AF160">
            <v>10602</v>
          </cell>
          <cell r="AH160">
            <v>29.45</v>
          </cell>
          <cell r="AI160">
            <v>155</v>
          </cell>
          <cell r="AK160">
            <v>163880.88000000003</v>
          </cell>
          <cell r="AM160">
            <v>457</v>
          </cell>
        </row>
        <row r="161">
          <cell r="B161">
            <v>107537935.205</v>
          </cell>
          <cell r="D161">
            <v>38386142.999999948</v>
          </cell>
          <cell r="F161">
            <v>44558</v>
          </cell>
          <cell r="H161">
            <v>14782282.100000059</v>
          </cell>
          <cell r="J161">
            <v>4287</v>
          </cell>
          <cell r="L161">
            <v>30390902.34999999</v>
          </cell>
          <cell r="N161">
            <v>69062.969999999958</v>
          </cell>
          <cell r="O161">
            <v>507</v>
          </cell>
          <cell r="Q161">
            <v>14444840.290000001</v>
          </cell>
          <cell r="S161">
            <v>37168.924200000001</v>
          </cell>
          <cell r="T161">
            <v>19</v>
          </cell>
          <cell r="V161">
            <v>1847280.08</v>
          </cell>
          <cell r="X161">
            <v>4861.29</v>
          </cell>
          <cell r="Y161">
            <v>1</v>
          </cell>
          <cell r="AA161">
            <v>1200372.3899999999</v>
          </cell>
          <cell r="AC161">
            <v>2581.06</v>
          </cell>
          <cell r="AD161">
            <v>13030</v>
          </cell>
          <cell r="AF161">
            <v>10602</v>
          </cell>
          <cell r="AH161">
            <v>29.45</v>
          </cell>
          <cell r="AI161">
            <v>155</v>
          </cell>
          <cell r="AK161">
            <v>164261.87000000002</v>
          </cell>
          <cell r="AM161">
            <v>457</v>
          </cell>
        </row>
        <row r="162">
          <cell r="B162">
            <v>88671356.00500001</v>
          </cell>
          <cell r="D162">
            <v>32364264.230000056</v>
          </cell>
          <cell r="F162">
            <v>44533</v>
          </cell>
          <cell r="H162">
            <v>12729982.000000009</v>
          </cell>
          <cell r="J162">
            <v>4283</v>
          </cell>
          <cell r="L162">
            <v>26265717.409999982</v>
          </cell>
          <cell r="N162">
            <v>67183.910000000047</v>
          </cell>
          <cell r="O162">
            <v>509</v>
          </cell>
          <cell r="Q162">
            <v>12291525.680000002</v>
          </cell>
          <cell r="S162">
            <v>32367.094000000008</v>
          </cell>
          <cell r="T162">
            <v>19</v>
          </cell>
          <cell r="V162">
            <v>978479.88</v>
          </cell>
          <cell r="X162">
            <v>4749.1400000000003</v>
          </cell>
          <cell r="Y162">
            <v>1</v>
          </cell>
          <cell r="AA162">
            <v>1084207.32</v>
          </cell>
          <cell r="AC162">
            <v>2581.06</v>
          </cell>
          <cell r="AD162">
            <v>13030</v>
          </cell>
          <cell r="AF162">
            <v>10670.4</v>
          </cell>
          <cell r="AH162">
            <v>29.64</v>
          </cell>
          <cell r="AI162">
            <v>156</v>
          </cell>
          <cell r="AK162">
            <v>164593.80000000002</v>
          </cell>
          <cell r="AM162">
            <v>457</v>
          </cell>
        </row>
        <row r="163">
          <cell r="B163">
            <v>92595903.344999984</v>
          </cell>
          <cell r="D163">
            <v>32111110.449999887</v>
          </cell>
          <cell r="F163">
            <v>44479</v>
          </cell>
          <cell r="H163">
            <v>12895508.210000023</v>
          </cell>
          <cell r="J163">
            <v>4262</v>
          </cell>
          <cell r="L163">
            <v>27254363.600000005</v>
          </cell>
          <cell r="N163">
            <v>65718.219999999972</v>
          </cell>
          <cell r="O163">
            <v>505</v>
          </cell>
          <cell r="Q163">
            <v>14077612.120000003</v>
          </cell>
          <cell r="S163">
            <v>38673.44230000001</v>
          </cell>
          <cell r="T163">
            <v>20</v>
          </cell>
          <cell r="V163">
            <v>1660704.1</v>
          </cell>
          <cell r="X163">
            <v>4735.84</v>
          </cell>
          <cell r="Y163">
            <v>1</v>
          </cell>
          <cell r="AA163">
            <v>1200372.3899999999</v>
          </cell>
          <cell r="AC163">
            <v>2581.06</v>
          </cell>
          <cell r="AD163">
            <v>13030</v>
          </cell>
          <cell r="AF163">
            <v>10670.4</v>
          </cell>
          <cell r="AH163">
            <v>29.64</v>
          </cell>
          <cell r="AI163">
            <v>156</v>
          </cell>
          <cell r="AK163">
            <v>164261.87000000002</v>
          </cell>
          <cell r="AM163">
            <v>457</v>
          </cell>
        </row>
        <row r="164">
          <cell r="B164">
            <v>80947385.030000001</v>
          </cell>
          <cell r="D164">
            <v>27582319.489999644</v>
          </cell>
          <cell r="F164">
            <v>44545</v>
          </cell>
          <cell r="H164">
            <v>10958049.76999999</v>
          </cell>
          <cell r="J164">
            <v>4267</v>
          </cell>
          <cell r="L164">
            <v>23432984.210000034</v>
          </cell>
          <cell r="N164">
            <v>57015.48</v>
          </cell>
          <cell r="O164">
            <v>509</v>
          </cell>
          <cell r="Q164">
            <v>15547303.799999997</v>
          </cell>
          <cell r="S164">
            <v>39745.206799999993</v>
          </cell>
          <cell r="T164">
            <v>21</v>
          </cell>
          <cell r="V164">
            <v>1696368.02</v>
          </cell>
          <cell r="X164">
            <v>0</v>
          </cell>
          <cell r="Y164">
            <v>1</v>
          </cell>
          <cell r="AA164">
            <v>809824.79999999993</v>
          </cell>
          <cell r="AC164">
            <v>2581.7599999999998</v>
          </cell>
          <cell r="AD164">
            <v>13037</v>
          </cell>
          <cell r="AF164">
            <v>10670.4</v>
          </cell>
          <cell r="AH164">
            <v>29.64</v>
          </cell>
          <cell r="AI164">
            <v>156</v>
          </cell>
          <cell r="AK164">
            <v>164179.79999999999</v>
          </cell>
          <cell r="AM164">
            <v>457</v>
          </cell>
        </row>
        <row r="165">
          <cell r="B165">
            <v>77386804.879999995</v>
          </cell>
          <cell r="D165">
            <v>25664853.929999951</v>
          </cell>
          <cell r="F165">
            <v>44731</v>
          </cell>
          <cell r="H165">
            <v>10456056.380000023</v>
          </cell>
          <cell r="J165">
            <v>4262</v>
          </cell>
          <cell r="L165">
            <v>22194838.930000022</v>
          </cell>
          <cell r="N165">
            <v>52575.309999999969</v>
          </cell>
          <cell r="O165">
            <v>511</v>
          </cell>
          <cell r="Q165">
            <v>14916341.92</v>
          </cell>
          <cell r="S165">
            <v>42725.974799999989</v>
          </cell>
          <cell r="T165">
            <v>20</v>
          </cell>
          <cell r="V165">
            <v>1539792.01</v>
          </cell>
          <cell r="X165">
            <v>4667.41</v>
          </cell>
          <cell r="Y165">
            <v>1</v>
          </cell>
          <cell r="AA165">
            <v>800252.28999999992</v>
          </cell>
          <cell r="AC165">
            <v>2581.7599999999998</v>
          </cell>
          <cell r="AD165">
            <v>13037</v>
          </cell>
          <cell r="AF165">
            <v>10670.4</v>
          </cell>
          <cell r="AH165">
            <v>29.64</v>
          </cell>
          <cell r="AI165">
            <v>156</v>
          </cell>
          <cell r="AK165">
            <v>164261.87000000002</v>
          </cell>
          <cell r="AM165">
            <v>457</v>
          </cell>
        </row>
        <row r="166">
          <cell r="B166">
            <v>75548044.13499999</v>
          </cell>
          <cell r="D166">
            <v>23320632.669999916</v>
          </cell>
          <cell r="F166">
            <v>44604</v>
          </cell>
          <cell r="H166">
            <v>9998205.9600000195</v>
          </cell>
          <cell r="J166">
            <v>4231</v>
          </cell>
          <cell r="L166">
            <v>21369186.910000023</v>
          </cell>
          <cell r="N166">
            <v>58640.860000000059</v>
          </cell>
          <cell r="O166">
            <v>512</v>
          </cell>
          <cell r="Q166">
            <v>15107454.6</v>
          </cell>
          <cell r="S166">
            <v>42996.088600000003</v>
          </cell>
          <cell r="T166">
            <v>20</v>
          </cell>
          <cell r="V166">
            <v>1656048</v>
          </cell>
          <cell r="X166">
            <v>4734.8900000000003</v>
          </cell>
          <cell r="Y166">
            <v>1</v>
          </cell>
          <cell r="AA166">
            <v>774438</v>
          </cell>
          <cell r="AC166">
            <v>2581.7599999999998</v>
          </cell>
          <cell r="AD166">
            <v>13037</v>
          </cell>
          <cell r="AF166">
            <v>10670.4</v>
          </cell>
          <cell r="AH166">
            <v>29.64</v>
          </cell>
          <cell r="AI166">
            <v>156</v>
          </cell>
          <cell r="AK166">
            <v>164205.89999999997</v>
          </cell>
          <cell r="AM166">
            <v>457</v>
          </cell>
        </row>
        <row r="167">
          <cell r="B167">
            <v>75447422.900000006</v>
          </cell>
          <cell r="D167">
            <v>24041096.170000102</v>
          </cell>
          <cell r="F167">
            <v>44542</v>
          </cell>
          <cell r="H167">
            <v>10339691.300000004</v>
          </cell>
          <cell r="J167">
            <v>4236</v>
          </cell>
          <cell r="L167">
            <v>21789412.370000005</v>
          </cell>
          <cell r="N167">
            <v>52284.749999999985</v>
          </cell>
          <cell r="O167">
            <v>517</v>
          </cell>
          <cell r="Q167">
            <v>14562083.399999999</v>
          </cell>
          <cell r="S167">
            <v>40672.715400000001</v>
          </cell>
          <cell r="T167">
            <v>22</v>
          </cell>
          <cell r="V167">
            <v>1728528.07</v>
          </cell>
          <cell r="X167">
            <v>4641.75</v>
          </cell>
          <cell r="Y167">
            <v>1</v>
          </cell>
          <cell r="AA167">
            <v>672637.38</v>
          </cell>
          <cell r="AC167">
            <v>2581.7599999999998</v>
          </cell>
          <cell r="AD167">
            <v>13037</v>
          </cell>
          <cell r="AF167">
            <v>10670.4</v>
          </cell>
          <cell r="AH167">
            <v>29.64</v>
          </cell>
          <cell r="AI167">
            <v>156</v>
          </cell>
          <cell r="AK167">
            <v>164261.87000000002</v>
          </cell>
          <cell r="AM167">
            <v>457</v>
          </cell>
        </row>
        <row r="168">
          <cell r="B168">
            <v>75448475.599999994</v>
          </cell>
          <cell r="D168">
            <v>24433772.640000012</v>
          </cell>
          <cell r="F168">
            <v>44538</v>
          </cell>
          <cell r="H168">
            <v>10369728.639999986</v>
          </cell>
          <cell r="J168">
            <v>4236</v>
          </cell>
          <cell r="L168">
            <v>21831315.479999978</v>
          </cell>
          <cell r="N168">
            <v>58367.79000000003</v>
          </cell>
          <cell r="O168">
            <v>509</v>
          </cell>
          <cell r="Q168">
            <v>13555899.17</v>
          </cell>
          <cell r="S168">
            <v>40768.989499999996</v>
          </cell>
          <cell r="T168">
            <v>20</v>
          </cell>
          <cell r="V168">
            <v>1608960.14</v>
          </cell>
          <cell r="X168">
            <v>4586.63</v>
          </cell>
          <cell r="Y168">
            <v>1</v>
          </cell>
          <cell r="AA168">
            <v>759305.32000000007</v>
          </cell>
          <cell r="AC168">
            <v>2582.56</v>
          </cell>
          <cell r="AD168">
            <v>13043</v>
          </cell>
          <cell r="AF168">
            <v>10670.4</v>
          </cell>
          <cell r="AH168">
            <v>29.64</v>
          </cell>
          <cell r="AI168">
            <v>156</v>
          </cell>
          <cell r="AK168">
            <v>164261.87000000002</v>
          </cell>
          <cell r="AM168">
            <v>457</v>
          </cell>
        </row>
        <row r="169">
          <cell r="B169">
            <v>75207277.195000008</v>
          </cell>
          <cell r="D169">
            <v>24530858.359999929</v>
          </cell>
          <cell r="F169">
            <v>44722</v>
          </cell>
          <cell r="H169">
            <v>10093112.910000011</v>
          </cell>
          <cell r="J169">
            <v>4245</v>
          </cell>
          <cell r="L169">
            <v>21746633.179999996</v>
          </cell>
          <cell r="N169">
            <v>50895.789999999986</v>
          </cell>
          <cell r="O169">
            <v>500</v>
          </cell>
          <cell r="Q169">
            <v>13666422.830000002</v>
          </cell>
          <cell r="S169">
            <v>38391.228999999992</v>
          </cell>
          <cell r="T169">
            <v>21</v>
          </cell>
          <cell r="V169">
            <v>1539120</v>
          </cell>
          <cell r="X169">
            <v>4628.4399999999996</v>
          </cell>
          <cell r="Y169">
            <v>1</v>
          </cell>
          <cell r="AA169">
            <v>882531.3</v>
          </cell>
          <cell r="AC169">
            <v>2582.56</v>
          </cell>
          <cell r="AD169">
            <v>13043</v>
          </cell>
          <cell r="AF169">
            <v>10670.4</v>
          </cell>
          <cell r="AH169">
            <v>29.64</v>
          </cell>
          <cell r="AI169">
            <v>156</v>
          </cell>
          <cell r="AK169">
            <v>164205.59999999995</v>
          </cell>
          <cell r="AM169">
            <v>457</v>
          </cell>
        </row>
        <row r="170">
          <cell r="B170">
            <v>81670054.660000011</v>
          </cell>
          <cell r="D170">
            <v>27407141.959999695</v>
          </cell>
          <cell r="F170">
            <v>44786</v>
          </cell>
          <cell r="H170">
            <v>10535420.810000017</v>
          </cell>
          <cell r="J170">
            <v>4272</v>
          </cell>
          <cell r="L170">
            <v>22881653.959999997</v>
          </cell>
          <cell r="N170">
            <v>59361.820000000022</v>
          </cell>
          <cell r="O170">
            <v>498</v>
          </cell>
          <cell r="Q170">
            <v>14129966.779999997</v>
          </cell>
          <cell r="S170">
            <v>41955.737199999996</v>
          </cell>
          <cell r="T170">
            <v>20</v>
          </cell>
          <cell r="V170">
            <v>1736975.88</v>
          </cell>
          <cell r="X170">
            <v>4701.62</v>
          </cell>
          <cell r="Y170">
            <v>1</v>
          </cell>
          <cell r="AA170">
            <v>1046569.2999999999</v>
          </cell>
          <cell r="AC170">
            <v>2582.56</v>
          </cell>
          <cell r="AD170">
            <v>13043</v>
          </cell>
          <cell r="AF170">
            <v>10670.4</v>
          </cell>
          <cell r="AH170">
            <v>29.64</v>
          </cell>
          <cell r="AI170">
            <v>156</v>
          </cell>
          <cell r="AK170">
            <v>164041.04000000004</v>
          </cell>
          <cell r="AM170">
            <v>457</v>
          </cell>
        </row>
        <row r="171">
          <cell r="B171">
            <v>81617697.475000009</v>
          </cell>
          <cell r="D171">
            <v>29972143.999999814</v>
          </cell>
          <cell r="F171">
            <v>44620</v>
          </cell>
          <cell r="H171">
            <v>11117076.040000018</v>
          </cell>
          <cell r="J171">
            <v>4285</v>
          </cell>
          <cell r="L171">
            <v>23647813.830000006</v>
          </cell>
          <cell r="N171">
            <v>60483.669999999991</v>
          </cell>
          <cell r="O171">
            <v>496</v>
          </cell>
          <cell r="Q171">
            <v>13430216.1</v>
          </cell>
          <cell r="S171">
            <v>40846.714399999997</v>
          </cell>
          <cell r="T171">
            <v>20</v>
          </cell>
          <cell r="V171">
            <v>1736400</v>
          </cell>
          <cell r="X171">
            <v>4900.26</v>
          </cell>
          <cell r="Y171">
            <v>1</v>
          </cell>
          <cell r="AA171">
            <v>1128415.5</v>
          </cell>
          <cell r="AC171">
            <v>2582</v>
          </cell>
          <cell r="AD171">
            <v>13043</v>
          </cell>
          <cell r="AF171">
            <v>11491.2</v>
          </cell>
          <cell r="AH171">
            <v>31.92</v>
          </cell>
          <cell r="AI171">
            <v>168</v>
          </cell>
          <cell r="AK171">
            <v>166774.79999999996</v>
          </cell>
          <cell r="AM171">
            <v>463</v>
          </cell>
        </row>
        <row r="172">
          <cell r="B172">
            <v>101485380.41500001</v>
          </cell>
          <cell r="D172">
            <v>34913483.790000267</v>
          </cell>
          <cell r="F172">
            <v>44706</v>
          </cell>
          <cell r="H172">
            <v>13231701.560000025</v>
          </cell>
          <cell r="J172">
            <v>4313</v>
          </cell>
          <cell r="L172">
            <v>27999304.569999997</v>
          </cell>
          <cell r="N172">
            <v>67685.339999999967</v>
          </cell>
          <cell r="O172">
            <v>500</v>
          </cell>
          <cell r="Q172">
            <v>14895935.549999999</v>
          </cell>
          <cell r="S172">
            <v>41989.787199999999</v>
          </cell>
          <cell r="T172">
            <v>19</v>
          </cell>
          <cell r="V172">
            <v>1635696.09</v>
          </cell>
          <cell r="X172">
            <v>4779.5600000000004</v>
          </cell>
          <cell r="Y172">
            <v>1</v>
          </cell>
          <cell r="AA172">
            <v>1232396.32</v>
          </cell>
          <cell r="AC172">
            <v>2653.42</v>
          </cell>
          <cell r="AD172">
            <v>13055</v>
          </cell>
          <cell r="AF172">
            <v>11491.2</v>
          </cell>
          <cell r="AH172">
            <v>31.92</v>
          </cell>
          <cell r="AI172">
            <v>168</v>
          </cell>
          <cell r="AK172">
            <v>165673.38000000003</v>
          </cell>
          <cell r="AM172">
            <v>469</v>
          </cell>
        </row>
        <row r="173">
          <cell r="B173">
            <v>100899510</v>
          </cell>
          <cell r="D173">
            <v>36085553.260000087</v>
          </cell>
          <cell r="F173">
            <v>44629</v>
          </cell>
          <cell r="H173">
            <v>13822668.869999984</v>
          </cell>
          <cell r="J173">
            <v>4306</v>
          </cell>
          <cell r="L173">
            <v>28838475.690000013</v>
          </cell>
          <cell r="N173">
            <v>65026.680000000015</v>
          </cell>
          <cell r="O173">
            <v>500</v>
          </cell>
          <cell r="Q173">
            <v>13529933.879999995</v>
          </cell>
          <cell r="S173">
            <v>38268.59599999999</v>
          </cell>
          <cell r="T173">
            <v>20</v>
          </cell>
          <cell r="V173">
            <v>1839792.03</v>
          </cell>
          <cell r="X173">
            <v>4943.9799999999996</v>
          </cell>
          <cell r="Y173">
            <v>1</v>
          </cell>
          <cell r="AA173">
            <v>1233820.1499999999</v>
          </cell>
          <cell r="AC173">
            <v>2653.38</v>
          </cell>
          <cell r="AD173">
            <v>13170</v>
          </cell>
          <cell r="AF173">
            <v>11559.6</v>
          </cell>
          <cell r="AH173">
            <v>32.11</v>
          </cell>
          <cell r="AI173">
            <v>169</v>
          </cell>
          <cell r="AK173">
            <v>165411.35000000006</v>
          </cell>
          <cell r="AM173">
            <v>469</v>
          </cell>
        </row>
        <row r="174">
          <cell r="B174">
            <v>85849038</v>
          </cell>
          <cell r="D174">
            <v>30010764.890000019</v>
          </cell>
          <cell r="F174">
            <v>44651</v>
          </cell>
          <cell r="H174">
            <v>11978631.199999979</v>
          </cell>
          <cell r="J174">
            <v>4306</v>
          </cell>
          <cell r="L174">
            <v>25306729.540000018</v>
          </cell>
          <cell r="N174">
            <v>64945.370000000039</v>
          </cell>
          <cell r="O174">
            <v>499</v>
          </cell>
          <cell r="Q174">
            <v>11123740.600000001</v>
          </cell>
          <cell r="S174">
            <v>29596.026000000005</v>
          </cell>
          <cell r="T174">
            <v>20</v>
          </cell>
          <cell r="V174">
            <v>1900463.88</v>
          </cell>
          <cell r="X174">
            <v>4770.05</v>
          </cell>
          <cell r="Y174">
            <v>1</v>
          </cell>
          <cell r="AA174">
            <v>1021550.04</v>
          </cell>
          <cell r="AC174">
            <v>2653.38</v>
          </cell>
          <cell r="AD174">
            <v>13170</v>
          </cell>
          <cell r="AF174">
            <v>11491.2</v>
          </cell>
          <cell r="AH174">
            <v>31.92</v>
          </cell>
          <cell r="AI174">
            <v>168</v>
          </cell>
          <cell r="AK174">
            <v>165410.84000000005</v>
          </cell>
          <cell r="AM174">
            <v>468</v>
          </cell>
        </row>
        <row r="175">
          <cell r="B175">
            <v>82851577</v>
          </cell>
          <cell r="D175">
            <v>28911520.730000079</v>
          </cell>
          <cell r="F175">
            <v>44651</v>
          </cell>
          <cell r="H175">
            <v>11476632.719999976</v>
          </cell>
          <cell r="J175">
            <v>4314</v>
          </cell>
          <cell r="L175">
            <v>24777899.930000026</v>
          </cell>
          <cell r="N175">
            <v>61293.559999999983</v>
          </cell>
          <cell r="O175">
            <v>504</v>
          </cell>
          <cell r="Q175">
            <v>12140260.609999999</v>
          </cell>
          <cell r="S175">
            <v>34651.853199999998</v>
          </cell>
          <cell r="T175">
            <v>20</v>
          </cell>
          <cell r="V175">
            <v>2092552.26</v>
          </cell>
          <cell r="X175">
            <v>4722.53</v>
          </cell>
          <cell r="Y175">
            <v>1</v>
          </cell>
          <cell r="AA175">
            <v>993910.84</v>
          </cell>
          <cell r="AC175">
            <v>2383.38</v>
          </cell>
          <cell r="AD175">
            <v>13170</v>
          </cell>
          <cell r="AF175">
            <v>12106.800000000001</v>
          </cell>
          <cell r="AH175">
            <v>33.630000000000003</v>
          </cell>
          <cell r="AI175">
            <v>177</v>
          </cell>
          <cell r="AK175">
            <v>165411.35000000006</v>
          </cell>
          <cell r="AM175">
            <v>468</v>
          </cell>
        </row>
        <row r="176">
          <cell r="B176">
            <v>74469009</v>
          </cell>
          <cell r="D176">
            <v>25118804.909999732</v>
          </cell>
          <cell r="F176">
            <v>44625</v>
          </cell>
          <cell r="H176">
            <v>10116363.230000025</v>
          </cell>
          <cell r="J176">
            <v>4307</v>
          </cell>
          <cell r="L176">
            <v>21809289.850000009</v>
          </cell>
          <cell r="N176">
            <v>55953.29000000003</v>
          </cell>
          <cell r="O176">
            <v>502</v>
          </cell>
          <cell r="Q176">
            <v>12903896.700000001</v>
          </cell>
          <cell r="S176">
            <v>39653.295400000003</v>
          </cell>
          <cell r="T176">
            <v>20</v>
          </cell>
          <cell r="V176">
            <v>1907767.8</v>
          </cell>
          <cell r="X176">
            <v>4552.41</v>
          </cell>
          <cell r="Y176">
            <v>1</v>
          </cell>
          <cell r="AA176">
            <v>815913</v>
          </cell>
          <cell r="AC176">
            <v>2653.38</v>
          </cell>
          <cell r="AD176">
            <v>13170</v>
          </cell>
          <cell r="AF176">
            <v>11491.2</v>
          </cell>
          <cell r="AH176">
            <v>31.92</v>
          </cell>
          <cell r="AI176">
            <v>168</v>
          </cell>
          <cell r="AK176">
            <v>165410.99999999997</v>
          </cell>
          <cell r="AM176">
            <v>468</v>
          </cell>
        </row>
        <row r="177">
          <cell r="B177">
            <v>73655416</v>
          </cell>
          <cell r="D177">
            <v>24585712.38999987</v>
          </cell>
          <cell r="F177">
            <v>44628</v>
          </cell>
          <cell r="H177">
            <v>10174879.319999982</v>
          </cell>
          <cell r="J177">
            <v>4279</v>
          </cell>
          <cell r="L177">
            <v>21546572.909999996</v>
          </cell>
          <cell r="N177">
            <v>54247.879999999983</v>
          </cell>
          <cell r="O177">
            <v>504</v>
          </cell>
          <cell r="Q177">
            <v>12874149.650000002</v>
          </cell>
          <cell r="S177">
            <v>41001.369700000003</v>
          </cell>
          <cell r="T177">
            <v>20</v>
          </cell>
          <cell r="V177">
            <v>1887792.12</v>
          </cell>
          <cell r="X177">
            <v>4721.41</v>
          </cell>
          <cell r="Y177">
            <v>1</v>
          </cell>
          <cell r="AA177">
            <v>699163.77</v>
          </cell>
          <cell r="AC177">
            <v>2653.38</v>
          </cell>
          <cell r="AD177">
            <v>13170</v>
          </cell>
          <cell r="AF177">
            <v>11559.6</v>
          </cell>
          <cell r="AH177">
            <v>32.11</v>
          </cell>
          <cell r="AI177">
            <v>169</v>
          </cell>
          <cell r="AK177">
            <v>160521.10000000006</v>
          </cell>
          <cell r="AM177">
            <v>469</v>
          </cell>
        </row>
        <row r="178">
          <cell r="B178">
            <v>71835603</v>
          </cell>
          <cell r="D178">
            <v>23836918.189999718</v>
          </cell>
          <cell r="F178">
            <v>44772</v>
          </cell>
          <cell r="H178">
            <v>9916902.6700000148</v>
          </cell>
          <cell r="J178">
            <v>4287</v>
          </cell>
          <cell r="L178">
            <v>21152488.750000004</v>
          </cell>
          <cell r="N178">
            <v>56218.949999999939</v>
          </cell>
          <cell r="O178">
            <v>507</v>
          </cell>
          <cell r="Q178">
            <v>12606339.299999999</v>
          </cell>
          <cell r="S178">
            <v>39924.683199999999</v>
          </cell>
          <cell r="T178">
            <v>19</v>
          </cell>
          <cell r="V178">
            <v>2049360</v>
          </cell>
          <cell r="X178">
            <v>4732.04</v>
          </cell>
          <cell r="Y178">
            <v>1</v>
          </cell>
          <cell r="AA178">
            <v>623543.4</v>
          </cell>
          <cell r="AC178">
            <v>2653.38</v>
          </cell>
          <cell r="AD178">
            <v>13170</v>
          </cell>
          <cell r="AF178">
            <v>11217.6</v>
          </cell>
          <cell r="AH178">
            <v>31.16</v>
          </cell>
          <cell r="AI178">
            <v>164</v>
          </cell>
          <cell r="AK178">
            <v>160820.99999999997</v>
          </cell>
          <cell r="AM178">
            <v>469</v>
          </cell>
        </row>
        <row r="179">
          <cell r="B179">
            <v>80242084</v>
          </cell>
          <cell r="D179">
            <v>25905019.170000263</v>
          </cell>
          <cell r="F179">
            <v>44773</v>
          </cell>
          <cell r="H179">
            <v>10687565.209999999</v>
          </cell>
          <cell r="J179">
            <v>4285</v>
          </cell>
          <cell r="L179">
            <v>23012031.620000001</v>
          </cell>
          <cell r="N179">
            <v>52920.179999999949</v>
          </cell>
          <cell r="O179">
            <v>508</v>
          </cell>
          <cell r="Q179">
            <v>13126032.389999999</v>
          </cell>
          <cell r="S179">
            <v>39342.012900000002</v>
          </cell>
          <cell r="T179">
            <v>18</v>
          </cell>
          <cell r="V179">
            <v>2046527.93</v>
          </cell>
          <cell r="X179">
            <v>4708.59</v>
          </cell>
          <cell r="Y179">
            <v>1</v>
          </cell>
          <cell r="AA179">
            <v>636935</v>
          </cell>
          <cell r="AC179">
            <v>2653.38</v>
          </cell>
          <cell r="AD179">
            <v>13170</v>
          </cell>
          <cell r="AF179">
            <v>11217.6</v>
          </cell>
          <cell r="AH179">
            <v>31.16</v>
          </cell>
          <cell r="AI179">
            <v>164</v>
          </cell>
          <cell r="AK179">
            <v>160521.10000000006</v>
          </cell>
          <cell r="AM179">
            <v>469</v>
          </cell>
        </row>
        <row r="180">
          <cell r="B180">
            <v>79593471</v>
          </cell>
          <cell r="D180">
            <v>26075806.560000002</v>
          </cell>
          <cell r="F180">
            <v>44748</v>
          </cell>
          <cell r="H180">
            <v>10774421.849999988</v>
          </cell>
          <cell r="J180">
            <v>4286</v>
          </cell>
          <cell r="L180">
            <v>22901514.910000049</v>
          </cell>
          <cell r="N180">
            <v>62033.469999999965</v>
          </cell>
          <cell r="O180">
            <v>505</v>
          </cell>
          <cell r="Q180">
            <v>12411729.469999999</v>
          </cell>
          <cell r="S180">
            <v>40160.550900000002</v>
          </cell>
          <cell r="T180">
            <v>18</v>
          </cell>
          <cell r="V180">
            <v>2034575.88</v>
          </cell>
          <cell r="X180">
            <v>4608.4799999999996</v>
          </cell>
          <cell r="Y180">
            <v>1</v>
          </cell>
          <cell r="AA180">
            <v>802522.11</v>
          </cell>
          <cell r="AC180">
            <v>2653.38</v>
          </cell>
          <cell r="AD180">
            <v>13170</v>
          </cell>
          <cell r="AF180">
            <v>11217.6</v>
          </cell>
          <cell r="AH180">
            <v>31.16</v>
          </cell>
          <cell r="AI180">
            <v>164</v>
          </cell>
          <cell r="AK180">
            <v>160521.10000000006</v>
          </cell>
          <cell r="AM180">
            <v>469</v>
          </cell>
        </row>
        <row r="181">
          <cell r="B181">
            <v>71489469</v>
          </cell>
          <cell r="D181">
            <v>24545247.180000003</v>
          </cell>
          <cell r="F181">
            <v>44858</v>
          </cell>
          <cell r="H181">
            <v>9491235.3699999973</v>
          </cell>
          <cell r="J181">
            <v>4302</v>
          </cell>
          <cell r="L181">
            <v>21432268.879999973</v>
          </cell>
          <cell r="N181">
            <v>62301.360000000022</v>
          </cell>
          <cell r="O181">
            <v>510</v>
          </cell>
          <cell r="Q181">
            <v>11756478.059999999</v>
          </cell>
          <cell r="S181">
            <v>36653.508899999993</v>
          </cell>
          <cell r="T181">
            <v>18</v>
          </cell>
          <cell r="V181">
            <v>1899744</v>
          </cell>
          <cell r="X181">
            <v>4732.5200000000004</v>
          </cell>
          <cell r="Y181">
            <v>1</v>
          </cell>
          <cell r="AA181">
            <v>908781.29999999993</v>
          </cell>
          <cell r="AC181">
            <v>2644.54</v>
          </cell>
          <cell r="AD181">
            <v>13170</v>
          </cell>
          <cell r="AF181">
            <v>11217.6</v>
          </cell>
          <cell r="AH181">
            <v>31.16</v>
          </cell>
          <cell r="AI181">
            <v>164</v>
          </cell>
          <cell r="AK181">
            <v>160520.99999999997</v>
          </cell>
          <cell r="AM181">
            <v>469</v>
          </cell>
        </row>
        <row r="182">
          <cell r="B182">
            <v>76458169</v>
          </cell>
          <cell r="D182">
            <v>26297636.290000055</v>
          </cell>
          <cell r="F182">
            <v>44861</v>
          </cell>
          <cell r="H182">
            <v>10047653.200000029</v>
          </cell>
          <cell r="J182">
            <v>4331</v>
          </cell>
          <cell r="L182">
            <v>22472903.979999989</v>
          </cell>
          <cell r="N182">
            <v>60669.189999999973</v>
          </cell>
          <cell r="O182">
            <v>510</v>
          </cell>
          <cell r="Q182">
            <v>12590356.120000001</v>
          </cell>
          <cell r="S182">
            <v>39676.1086</v>
          </cell>
          <cell r="T182">
            <v>18</v>
          </cell>
          <cell r="V182">
            <v>2074368.1</v>
          </cell>
          <cell r="X182">
            <v>4566.67</v>
          </cell>
          <cell r="Y182">
            <v>1</v>
          </cell>
          <cell r="AA182">
            <v>1076165</v>
          </cell>
          <cell r="AC182">
            <v>2653.38</v>
          </cell>
          <cell r="AD182">
            <v>13170</v>
          </cell>
          <cell r="AF182">
            <v>11217.6</v>
          </cell>
          <cell r="AH182">
            <v>31.16</v>
          </cell>
          <cell r="AI182">
            <v>164</v>
          </cell>
          <cell r="AK182">
            <v>160697.18000000005</v>
          </cell>
          <cell r="AM182">
            <v>471</v>
          </cell>
        </row>
        <row r="183">
          <cell r="B183">
            <v>84336038</v>
          </cell>
          <cell r="D183">
            <v>29657866.35999972</v>
          </cell>
          <cell r="F183">
            <v>44810</v>
          </cell>
          <cell r="H183">
            <v>11121846.869999992</v>
          </cell>
          <cell r="J183">
            <v>4335</v>
          </cell>
          <cell r="L183">
            <v>24030452.420000006</v>
          </cell>
          <cell r="N183">
            <v>61248.900000000038</v>
          </cell>
          <cell r="O183">
            <v>515</v>
          </cell>
          <cell r="Q183">
            <v>13710651.659999998</v>
          </cell>
          <cell r="S183">
            <v>39671.6711</v>
          </cell>
          <cell r="T183">
            <v>19</v>
          </cell>
          <cell r="V183">
            <v>2083008</v>
          </cell>
          <cell r="X183">
            <v>4642.7</v>
          </cell>
          <cell r="Y183">
            <v>1</v>
          </cell>
          <cell r="AA183">
            <v>1160852.7</v>
          </cell>
          <cell r="AC183">
            <v>2653.38</v>
          </cell>
          <cell r="AD183">
            <v>13170</v>
          </cell>
          <cell r="AF183">
            <v>11217.6</v>
          </cell>
          <cell r="AH183">
            <v>31.16</v>
          </cell>
          <cell r="AI183">
            <v>164</v>
          </cell>
          <cell r="AK183">
            <v>160697.09999999995</v>
          </cell>
          <cell r="AM183">
            <v>471</v>
          </cell>
        </row>
        <row r="184">
          <cell r="B184">
            <v>99487974</v>
          </cell>
          <cell r="D184">
            <v>34557679.539999954</v>
          </cell>
          <cell r="F184">
            <v>44821</v>
          </cell>
          <cell r="H184">
            <v>13156983.93999997</v>
          </cell>
          <cell r="J184">
            <v>4331</v>
          </cell>
          <cell r="L184">
            <v>27767188.379999999</v>
          </cell>
          <cell r="N184">
            <v>66436.01999999996</v>
          </cell>
          <cell r="O184">
            <v>516</v>
          </cell>
          <cell r="Q184">
            <v>14504849.16</v>
          </cell>
          <cell r="S184">
            <v>41779.872100000008</v>
          </cell>
          <cell r="T184">
            <v>17</v>
          </cell>
          <cell r="V184">
            <v>2189472.0299999998</v>
          </cell>
          <cell r="X184">
            <v>4875.2</v>
          </cell>
          <cell r="Y184">
            <v>1</v>
          </cell>
          <cell r="AA184">
            <v>1268093.1300000001</v>
          </cell>
          <cell r="AC184">
            <v>2653.38</v>
          </cell>
          <cell r="AD184">
            <v>13170</v>
          </cell>
          <cell r="AF184">
            <v>11354.400000000001</v>
          </cell>
          <cell r="AH184">
            <v>31.54</v>
          </cell>
          <cell r="AI184">
            <v>166</v>
          </cell>
          <cell r="AK184">
            <v>160697.18000000005</v>
          </cell>
          <cell r="AM184">
            <v>471</v>
          </cell>
        </row>
        <row r="185">
          <cell r="B185">
            <v>103083133.92999999</v>
          </cell>
          <cell r="D185">
            <v>36516937.350000232</v>
          </cell>
          <cell r="F185">
            <v>44726</v>
          </cell>
          <cell r="H185">
            <v>14302277.350000005</v>
          </cell>
          <cell r="J185">
            <v>4329</v>
          </cell>
          <cell r="L185">
            <v>29631691.289999962</v>
          </cell>
          <cell r="N185">
            <v>63271.24000000002</v>
          </cell>
          <cell r="O185">
            <v>499</v>
          </cell>
          <cell r="Q185">
            <v>12920321.049999999</v>
          </cell>
          <cell r="S185">
            <v>36199.009000000005</v>
          </cell>
          <cell r="T185">
            <v>17</v>
          </cell>
          <cell r="V185">
            <v>2219423.92</v>
          </cell>
          <cell r="X185">
            <v>4987.9799999999996</v>
          </cell>
          <cell r="Y185">
            <v>1</v>
          </cell>
          <cell r="AA185">
            <v>1233820.77</v>
          </cell>
          <cell r="AC185">
            <v>2653.38</v>
          </cell>
          <cell r="AD185">
            <v>13170</v>
          </cell>
          <cell r="AF185">
            <v>9986.4</v>
          </cell>
          <cell r="AH185">
            <v>27.740000000000002</v>
          </cell>
          <cell r="AI185">
            <v>146</v>
          </cell>
          <cell r="AK185">
            <v>162050.33000000007</v>
          </cell>
          <cell r="AM185">
            <v>469</v>
          </cell>
        </row>
        <row r="186">
          <cell r="B186">
            <v>87626412.440000013</v>
          </cell>
          <cell r="D186">
            <v>31386775.589999977</v>
          </cell>
          <cell r="F186">
            <v>44775</v>
          </cell>
          <cell r="H186">
            <v>12447595.389999971</v>
          </cell>
          <cell r="J186">
            <v>4324</v>
          </cell>
          <cell r="L186">
            <v>26046838.789999999</v>
          </cell>
          <cell r="N186">
            <v>63464.179999999986</v>
          </cell>
          <cell r="O186">
            <v>500</v>
          </cell>
          <cell r="Q186">
            <v>10892440.440000001</v>
          </cell>
          <cell r="S186">
            <v>29260.383000000002</v>
          </cell>
          <cell r="T186">
            <v>17</v>
          </cell>
          <cell r="V186">
            <v>2113487.88</v>
          </cell>
          <cell r="X186">
            <v>5079.3999999999996</v>
          </cell>
          <cell r="Y186">
            <v>1</v>
          </cell>
          <cell r="AA186">
            <v>1114419.32</v>
          </cell>
          <cell r="AC186">
            <v>2653.84</v>
          </cell>
          <cell r="AD186">
            <v>13170</v>
          </cell>
          <cell r="AF186">
            <v>9986.4</v>
          </cell>
          <cell r="AH186">
            <v>27.740000000000002</v>
          </cell>
          <cell r="AI186">
            <v>146</v>
          </cell>
          <cell r="AK186">
            <v>162050.00000000003</v>
          </cell>
          <cell r="AM186">
            <v>469</v>
          </cell>
        </row>
        <row r="187">
          <cell r="B187">
            <v>89212419.409999996</v>
          </cell>
          <cell r="D187">
            <v>31223082.410000503</v>
          </cell>
          <cell r="F187">
            <v>44762</v>
          </cell>
          <cell r="H187">
            <v>12509940.990000015</v>
          </cell>
          <cell r="J187">
            <v>4331</v>
          </cell>
          <cell r="L187">
            <v>26570003.080000009</v>
          </cell>
          <cell r="N187">
            <v>64180.03999999995</v>
          </cell>
          <cell r="O187">
            <v>505</v>
          </cell>
          <cell r="Q187">
            <v>12257636.48</v>
          </cell>
          <cell r="S187">
            <v>35992.558700000001</v>
          </cell>
          <cell r="T187">
            <v>18</v>
          </cell>
          <cell r="V187">
            <v>2348112.0499999998</v>
          </cell>
          <cell r="X187">
            <v>4763.3999999999996</v>
          </cell>
          <cell r="Y187">
            <v>1</v>
          </cell>
          <cell r="AA187">
            <v>1233820.77</v>
          </cell>
          <cell r="AC187">
            <v>2653.84</v>
          </cell>
          <cell r="AD187">
            <v>13075</v>
          </cell>
          <cell r="AF187">
            <v>9986.4</v>
          </cell>
          <cell r="AH187">
            <v>27.740000000000002</v>
          </cell>
          <cell r="AI187">
            <v>146</v>
          </cell>
          <cell r="AK187">
            <v>162050.33000000007</v>
          </cell>
          <cell r="AM187">
            <v>470</v>
          </cell>
        </row>
        <row r="188">
          <cell r="B188">
            <v>78583792.420000002</v>
          </cell>
          <cell r="D188">
            <v>26878420.399999555</v>
          </cell>
          <cell r="F188">
            <v>44920</v>
          </cell>
          <cell r="H188">
            <v>10791805.250000004</v>
          </cell>
          <cell r="J188">
            <v>4324</v>
          </cell>
          <cell r="L188">
            <v>23083598.169999979</v>
          </cell>
          <cell r="N188">
            <v>56827.200000000004</v>
          </cell>
          <cell r="O188">
            <v>506</v>
          </cell>
          <cell r="Q188">
            <v>12658528.499999998</v>
          </cell>
          <cell r="S188">
            <v>38334.700199999992</v>
          </cell>
          <cell r="T188">
            <v>18</v>
          </cell>
          <cell r="V188">
            <v>2130432</v>
          </cell>
          <cell r="X188">
            <v>4677.8599999999997</v>
          </cell>
          <cell r="Y188">
            <v>1</v>
          </cell>
          <cell r="AA188">
            <v>796014</v>
          </cell>
          <cell r="AC188">
            <v>2653.84</v>
          </cell>
          <cell r="AD188">
            <v>13075</v>
          </cell>
          <cell r="AF188">
            <v>9986.4</v>
          </cell>
          <cell r="AH188">
            <v>27.740000000000002</v>
          </cell>
          <cell r="AI188">
            <v>146</v>
          </cell>
          <cell r="AK188">
            <v>167113.24000000005</v>
          </cell>
          <cell r="AM188">
            <v>470</v>
          </cell>
        </row>
        <row r="189">
          <cell r="B189">
            <v>74627645.180000007</v>
          </cell>
          <cell r="D189">
            <v>24676485.139999926</v>
          </cell>
          <cell r="F189">
            <v>44927</v>
          </cell>
          <cell r="H189">
            <v>10114377.919999992</v>
          </cell>
          <cell r="J189">
            <v>4319</v>
          </cell>
          <cell r="L189">
            <v>21824619.570000008</v>
          </cell>
          <cell r="N189">
            <v>53161.309999999947</v>
          </cell>
          <cell r="O189">
            <v>507</v>
          </cell>
          <cell r="Q189">
            <v>13172900.730000002</v>
          </cell>
          <cell r="S189">
            <v>38512.923999999992</v>
          </cell>
          <cell r="T189">
            <v>19</v>
          </cell>
          <cell r="V189">
            <v>2136095.92</v>
          </cell>
          <cell r="X189">
            <v>4636.05</v>
          </cell>
          <cell r="Y189">
            <v>1</v>
          </cell>
          <cell r="AA189">
            <v>699793.07000000007</v>
          </cell>
          <cell r="AC189">
            <v>2653.84</v>
          </cell>
          <cell r="AD189">
            <v>13075</v>
          </cell>
          <cell r="AF189">
            <v>10054.799999999999</v>
          </cell>
          <cell r="AH189">
            <v>27.93</v>
          </cell>
          <cell r="AI189">
            <v>147</v>
          </cell>
          <cell r="AK189">
            <v>156988.33999999997</v>
          </cell>
          <cell r="AM189">
            <v>470</v>
          </cell>
        </row>
        <row r="190">
          <cell r="B190">
            <v>70475526.809999987</v>
          </cell>
          <cell r="D190">
            <v>23151010.42999975</v>
          </cell>
          <cell r="F190">
            <v>44911</v>
          </cell>
          <cell r="H190">
            <v>9658664.0399999935</v>
          </cell>
          <cell r="J190">
            <v>4331</v>
          </cell>
          <cell r="L190">
            <v>20701172.160000015</v>
          </cell>
          <cell r="N190">
            <v>60292.05000000001</v>
          </cell>
          <cell r="O190">
            <v>507</v>
          </cell>
          <cell r="Q190">
            <v>12544750.5</v>
          </cell>
          <cell r="S190">
            <v>36708.876700000001</v>
          </cell>
          <cell r="T190">
            <v>18</v>
          </cell>
          <cell r="V190">
            <v>2076336</v>
          </cell>
          <cell r="X190">
            <v>4642.8</v>
          </cell>
          <cell r="Y190">
            <v>1</v>
          </cell>
          <cell r="AA190">
            <v>624423</v>
          </cell>
          <cell r="AC190">
            <v>2653.84</v>
          </cell>
          <cell r="AD190">
            <v>13075</v>
          </cell>
          <cell r="AF190">
            <v>10123.200000000001</v>
          </cell>
          <cell r="AH190">
            <v>28.12</v>
          </cell>
          <cell r="AI190">
            <v>148</v>
          </cell>
          <cell r="AK190">
            <v>161800.19999999995</v>
          </cell>
          <cell r="AM190">
            <v>470</v>
          </cell>
        </row>
        <row r="191">
          <cell r="B191">
            <v>79443992.780000001</v>
          </cell>
          <cell r="D191">
            <v>25352001.299999826</v>
          </cell>
          <cell r="F191">
            <v>44960</v>
          </cell>
          <cell r="H191">
            <v>10695218.369999992</v>
          </cell>
          <cell r="J191">
            <v>4334</v>
          </cell>
          <cell r="L191">
            <v>22583045.949999999</v>
          </cell>
          <cell r="N191">
            <v>61037.080000000053</v>
          </cell>
          <cell r="O191">
            <v>503</v>
          </cell>
          <cell r="Q191">
            <v>13875078.890000001</v>
          </cell>
          <cell r="S191">
            <v>38141.991200000004</v>
          </cell>
          <cell r="T191">
            <v>18</v>
          </cell>
          <cell r="V191">
            <v>1967375.94</v>
          </cell>
          <cell r="X191">
            <v>4718.7299999999996</v>
          </cell>
          <cell r="Y191">
            <v>1</v>
          </cell>
          <cell r="AA191">
            <v>658211.22000000009</v>
          </cell>
          <cell r="AC191">
            <v>2653.84</v>
          </cell>
          <cell r="AD191">
            <v>13075</v>
          </cell>
          <cell r="AF191">
            <v>10123.200000000001</v>
          </cell>
          <cell r="AH191">
            <v>28.12</v>
          </cell>
          <cell r="AI191">
            <v>148</v>
          </cell>
          <cell r="AK191">
            <v>181327.67999999993</v>
          </cell>
          <cell r="AM191">
            <v>470</v>
          </cell>
        </row>
        <row r="192">
          <cell r="B192">
            <v>80570453.359999999</v>
          </cell>
          <cell r="D192">
            <v>25813855.500000261</v>
          </cell>
          <cell r="F192">
            <v>44959</v>
          </cell>
          <cell r="H192">
            <v>10770620.640000014</v>
          </cell>
          <cell r="J192">
            <v>4330</v>
          </cell>
          <cell r="L192">
            <v>22784484.029999986</v>
          </cell>
          <cell r="N192">
            <v>60429.940000000031</v>
          </cell>
          <cell r="O192">
            <v>507</v>
          </cell>
          <cell r="Q192">
            <v>14198477.709999999</v>
          </cell>
          <cell r="S192">
            <v>39675.298100000007</v>
          </cell>
          <cell r="T192">
            <v>18</v>
          </cell>
          <cell r="V192">
            <v>1934208.11</v>
          </cell>
          <cell r="X192">
            <v>5251.99</v>
          </cell>
          <cell r="Y192">
            <v>1</v>
          </cell>
          <cell r="AA192">
            <v>781489.23</v>
          </cell>
          <cell r="AC192">
            <v>2653.84</v>
          </cell>
          <cell r="AD192">
            <v>13075</v>
          </cell>
          <cell r="AF192">
            <v>10191.599999999999</v>
          </cell>
          <cell r="AH192">
            <v>28.31</v>
          </cell>
          <cell r="AI192">
            <v>149</v>
          </cell>
          <cell r="AK192">
            <v>151937.2000000001</v>
          </cell>
          <cell r="AM192">
            <v>470</v>
          </cell>
        </row>
        <row r="193">
          <cell r="B193">
            <v>73932449.070000008</v>
          </cell>
          <cell r="D193">
            <v>24597483.110000037</v>
          </cell>
          <cell r="F193">
            <v>45001</v>
          </cell>
          <cell r="H193">
            <v>9905090.3899999876</v>
          </cell>
          <cell r="J193">
            <v>4340</v>
          </cell>
          <cell r="L193">
            <v>21345135.690000005</v>
          </cell>
          <cell r="N193">
            <v>61892.609999999971</v>
          </cell>
          <cell r="O193">
            <v>506</v>
          </cell>
          <cell r="Q193">
            <v>13259931.000000002</v>
          </cell>
          <cell r="S193">
            <v>39350.490300000005</v>
          </cell>
          <cell r="T193">
            <v>18</v>
          </cell>
          <cell r="V193">
            <v>2039328</v>
          </cell>
          <cell r="X193">
            <v>5017.03</v>
          </cell>
          <cell r="Y193">
            <v>1</v>
          </cell>
          <cell r="AA193">
            <v>908781.3</v>
          </cell>
          <cell r="AC193">
            <v>2653.84</v>
          </cell>
          <cell r="AD193">
            <v>13075</v>
          </cell>
          <cell r="AF193">
            <v>10191.599999999999</v>
          </cell>
          <cell r="AH193">
            <v>28.31</v>
          </cell>
          <cell r="AI193">
            <v>149</v>
          </cell>
          <cell r="AK193">
            <v>166624.19999999995</v>
          </cell>
          <cell r="AM193">
            <v>470</v>
          </cell>
        </row>
        <row r="194">
          <cell r="B194">
            <v>78071233.13000001</v>
          </cell>
          <cell r="D194">
            <v>26370882.959999766</v>
          </cell>
          <cell r="F194">
            <v>44933</v>
          </cell>
          <cell r="H194">
            <v>10394269.490000017</v>
          </cell>
          <cell r="J194">
            <v>4365</v>
          </cell>
          <cell r="L194">
            <v>22769113.109999996</v>
          </cell>
          <cell r="N194">
            <v>61767.44999999999</v>
          </cell>
          <cell r="O194">
            <v>508</v>
          </cell>
          <cell r="Q194">
            <v>13575461.719999999</v>
          </cell>
          <cell r="S194">
            <v>38710.266100000008</v>
          </cell>
          <cell r="T194">
            <v>18</v>
          </cell>
          <cell r="V194">
            <v>1829855.91</v>
          </cell>
          <cell r="X194">
            <v>4514.6400000000003</v>
          </cell>
          <cell r="Y194">
            <v>1</v>
          </cell>
          <cell r="AA194">
            <v>764880.05</v>
          </cell>
          <cell r="AC194">
            <v>2653.84</v>
          </cell>
          <cell r="AD194">
            <v>13075</v>
          </cell>
          <cell r="AF194">
            <v>10191.599999999999</v>
          </cell>
          <cell r="AH194">
            <v>28.31</v>
          </cell>
          <cell r="AI194">
            <v>149</v>
          </cell>
          <cell r="AK194">
            <v>166624.38000000006</v>
          </cell>
          <cell r="AM194">
            <v>471</v>
          </cell>
        </row>
        <row r="195">
          <cell r="B195">
            <v>84974720.149999991</v>
          </cell>
          <cell r="D195">
            <v>28854940.729999892</v>
          </cell>
          <cell r="F195">
            <v>44984</v>
          </cell>
          <cell r="H195">
            <v>11396702.920000002</v>
          </cell>
          <cell r="J195">
            <v>4380</v>
          </cell>
          <cell r="L195">
            <v>24230624.479999993</v>
          </cell>
          <cell r="N195">
            <v>62030.609999999971</v>
          </cell>
          <cell r="O195">
            <v>509</v>
          </cell>
          <cell r="Q195">
            <v>14692874.140000001</v>
          </cell>
          <cell r="S195">
            <v>36556.751799999991</v>
          </cell>
          <cell r="T195">
            <v>18</v>
          </cell>
          <cell r="V195">
            <v>2166576</v>
          </cell>
          <cell r="X195">
            <v>4803.32</v>
          </cell>
          <cell r="Y195">
            <v>1</v>
          </cell>
          <cell r="AA195">
            <v>1160886.6000000001</v>
          </cell>
          <cell r="AC195">
            <v>2653.84</v>
          </cell>
          <cell r="AD195">
            <v>13075</v>
          </cell>
          <cell r="AF195">
            <v>10191.599999999999</v>
          </cell>
          <cell r="AH195">
            <v>28.31</v>
          </cell>
          <cell r="AI195">
            <v>149</v>
          </cell>
          <cell r="AK195">
            <v>166624.19999999995</v>
          </cell>
          <cell r="AM195">
            <v>471</v>
          </cell>
        </row>
        <row r="196">
          <cell r="B196">
            <v>95477955.489999995</v>
          </cell>
          <cell r="D196">
            <v>32390431.579999913</v>
          </cell>
          <cell r="F196">
            <v>44950</v>
          </cell>
          <cell r="H196">
            <v>12702124.479999989</v>
          </cell>
          <cell r="J196">
            <v>4369</v>
          </cell>
          <cell r="L196">
            <v>26954814.169999983</v>
          </cell>
          <cell r="N196">
            <v>64143.720000000008</v>
          </cell>
          <cell r="O196">
            <v>512</v>
          </cell>
          <cell r="Q196">
            <v>14105892.180000002</v>
          </cell>
          <cell r="S196">
            <v>39275.748899999999</v>
          </cell>
          <cell r="T196">
            <v>18</v>
          </cell>
          <cell r="V196">
            <v>2062607.94</v>
          </cell>
          <cell r="X196">
            <v>4758.6499999999996</v>
          </cell>
          <cell r="Y196">
            <v>1</v>
          </cell>
          <cell r="AA196">
            <v>1268093.1300000001</v>
          </cell>
          <cell r="AC196">
            <v>2657.77</v>
          </cell>
          <cell r="AD196">
            <v>13075</v>
          </cell>
          <cell r="AF196">
            <v>10123.200000000001</v>
          </cell>
          <cell r="AH196">
            <v>28.12</v>
          </cell>
          <cell r="AI196">
            <v>148</v>
          </cell>
          <cell r="AK196">
            <v>166125.29999999996</v>
          </cell>
          <cell r="AM196">
            <v>471</v>
          </cell>
        </row>
        <row r="197">
          <cell r="B197">
            <v>96362932.530000001</v>
          </cell>
          <cell r="D197">
            <v>33402660.419999894</v>
          </cell>
          <cell r="F197">
            <v>44701</v>
          </cell>
          <cell r="H197">
            <v>13282492.840000024</v>
          </cell>
          <cell r="J197">
            <v>4474</v>
          </cell>
          <cell r="L197">
            <v>27978052.340000004</v>
          </cell>
          <cell r="N197">
            <v>65715.600000000006</v>
          </cell>
          <cell r="O197">
            <v>507</v>
          </cell>
          <cell r="Q197">
            <v>12529109.419999998</v>
          </cell>
          <cell r="S197">
            <v>36625.552800000012</v>
          </cell>
          <cell r="T197">
            <v>19</v>
          </cell>
          <cell r="V197">
            <v>2297999.9300000002</v>
          </cell>
          <cell r="X197">
            <v>5278.48</v>
          </cell>
          <cell r="Y197">
            <v>1</v>
          </cell>
          <cell r="AA197">
            <v>1239971.7899999998</v>
          </cell>
          <cell r="AC197">
            <v>2657.77</v>
          </cell>
          <cell r="AD197">
            <v>13210</v>
          </cell>
          <cell r="AF197">
            <v>11874.24</v>
          </cell>
          <cell r="AH197">
            <v>31.92</v>
          </cell>
          <cell r="AI197">
            <v>168</v>
          </cell>
          <cell r="AK197">
            <v>165621.6400000001</v>
          </cell>
          <cell r="AM197">
            <v>471</v>
          </cell>
        </row>
        <row r="198">
          <cell r="B198">
            <v>84314434.840000004</v>
          </cell>
          <cell r="D198">
            <v>29415795.669999786</v>
          </cell>
          <cell r="F198">
            <v>44705</v>
          </cell>
          <cell r="H198">
            <v>11892077.770000001</v>
          </cell>
          <cell r="J198">
            <v>4484</v>
          </cell>
          <cell r="L198">
            <v>25273761.339999985</v>
          </cell>
          <cell r="N198">
            <v>63822.270000000004</v>
          </cell>
          <cell r="O198">
            <v>512</v>
          </cell>
          <cell r="Q198">
            <v>11160065.359999999</v>
          </cell>
          <cell r="S198">
            <v>29916.937400000003</v>
          </cell>
          <cell r="T198">
            <v>19</v>
          </cell>
          <cell r="V198">
            <v>2299584</v>
          </cell>
          <cell r="X198">
            <v>5214.3999999999996</v>
          </cell>
          <cell r="Y198">
            <v>1</v>
          </cell>
          <cell r="AA198">
            <v>1059869.6699999997</v>
          </cell>
          <cell r="AC198">
            <v>2657.77</v>
          </cell>
          <cell r="AD198">
            <v>13210</v>
          </cell>
          <cell r="AF198">
            <v>11874.24</v>
          </cell>
          <cell r="AH198">
            <v>31.92</v>
          </cell>
          <cell r="AI198">
            <v>168</v>
          </cell>
          <cell r="AK198">
            <v>159889.76000000007</v>
          </cell>
          <cell r="AM198">
            <v>471</v>
          </cell>
        </row>
        <row r="199">
          <cell r="B199">
            <v>82417982.75</v>
          </cell>
          <cell r="D199">
            <v>28020794.100000076</v>
          </cell>
          <cell r="F199">
            <v>44715</v>
          </cell>
          <cell r="H199">
            <v>11479099.71000001</v>
          </cell>
          <cell r="J199">
            <v>4484</v>
          </cell>
          <cell r="L199">
            <v>24803557.269999992</v>
          </cell>
          <cell r="N199">
            <v>62679.700000000012</v>
          </cell>
          <cell r="O199">
            <v>512</v>
          </cell>
          <cell r="Q199">
            <v>12256618.18</v>
          </cell>
          <cell r="S199">
            <v>37144.121499999994</v>
          </cell>
          <cell r="T199">
            <v>19</v>
          </cell>
          <cell r="V199">
            <v>2414879.85</v>
          </cell>
          <cell r="X199">
            <v>5144.34</v>
          </cell>
          <cell r="Y199">
            <v>1</v>
          </cell>
          <cell r="AA199">
            <v>995766.5</v>
          </cell>
          <cell r="AC199">
            <v>2657.77</v>
          </cell>
          <cell r="AD199">
            <v>13210</v>
          </cell>
          <cell r="AF199">
            <v>11803.56</v>
          </cell>
          <cell r="AH199">
            <v>31.73</v>
          </cell>
          <cell r="AI199">
            <v>167</v>
          </cell>
          <cell r="AK199">
            <v>165445.14000000007</v>
          </cell>
          <cell r="AM199">
            <v>471</v>
          </cell>
        </row>
        <row r="200">
          <cell r="B200">
            <v>75267619.129999995</v>
          </cell>
          <cell r="D200">
            <v>24997873.08000005</v>
          </cell>
          <cell r="F200">
            <v>44680</v>
          </cell>
          <cell r="H200">
            <v>10218124.679999998</v>
          </cell>
          <cell r="J200">
            <v>4484</v>
          </cell>
          <cell r="L200">
            <v>22044979.170000002</v>
          </cell>
          <cell r="N200">
            <v>56834.560000000012</v>
          </cell>
          <cell r="O200">
            <v>513</v>
          </cell>
          <cell r="Q200">
            <v>13560323.399999999</v>
          </cell>
          <cell r="S200">
            <v>39354.244300000006</v>
          </cell>
          <cell r="T200">
            <v>19</v>
          </cell>
          <cell r="V200">
            <v>2116368</v>
          </cell>
          <cell r="X200">
            <v>5427.73</v>
          </cell>
          <cell r="Y200">
            <v>1</v>
          </cell>
          <cell r="AA200">
            <v>817245.6</v>
          </cell>
          <cell r="AC200">
            <v>2657.77</v>
          </cell>
          <cell r="AD200">
            <v>13210</v>
          </cell>
          <cell r="AF200">
            <v>11803.56</v>
          </cell>
          <cell r="AH200">
            <v>31.73</v>
          </cell>
          <cell r="AI200">
            <v>167</v>
          </cell>
          <cell r="AK200">
            <v>165403.19999999995</v>
          </cell>
          <cell r="AM200">
            <v>471</v>
          </cell>
        </row>
        <row r="201">
          <cell r="B201">
            <v>75427837.799999997</v>
          </cell>
          <cell r="D201">
            <v>24359301.689999789</v>
          </cell>
          <cell r="F201">
            <v>44589</v>
          </cell>
          <cell r="H201">
            <v>10124589.529999997</v>
          </cell>
          <cell r="J201">
            <v>4488</v>
          </cell>
          <cell r="L201">
            <v>21279302.760000005</v>
          </cell>
          <cell r="N201">
            <v>51803.43</v>
          </cell>
          <cell r="O201">
            <v>511</v>
          </cell>
          <cell r="Q201">
            <v>13461076.060000002</v>
          </cell>
          <cell r="S201">
            <v>41009.481899999999</v>
          </cell>
          <cell r="T201">
            <v>19</v>
          </cell>
          <cell r="V201">
            <v>2253840.12</v>
          </cell>
          <cell r="X201">
            <v>4974.3900000000003</v>
          </cell>
          <cell r="Y201">
            <v>1</v>
          </cell>
          <cell r="AA201">
            <v>700430.12</v>
          </cell>
          <cell r="AC201">
            <v>2657.77</v>
          </cell>
          <cell r="AD201">
            <v>13210</v>
          </cell>
          <cell r="AF201">
            <v>11803.56</v>
          </cell>
          <cell r="AH201">
            <v>31.73</v>
          </cell>
          <cell r="AI201">
            <v>167</v>
          </cell>
          <cell r="AK201">
            <v>165335.09000000005</v>
          </cell>
          <cell r="AM201">
            <v>471</v>
          </cell>
        </row>
        <row r="202">
          <cell r="B202">
            <v>74326086.770000011</v>
          </cell>
          <cell r="D202">
            <v>24710374.199999895</v>
          </cell>
          <cell r="F202">
            <v>44697</v>
          </cell>
          <cell r="H202">
            <v>10192835.750000022</v>
          </cell>
          <cell r="J202">
            <v>4490</v>
          </cell>
          <cell r="L202">
            <v>21429781.859999992</v>
          </cell>
          <cell r="N202">
            <v>60364.349999999977</v>
          </cell>
          <cell r="O202">
            <v>515</v>
          </cell>
          <cell r="Q202">
            <v>13314274.5</v>
          </cell>
          <cell r="S202">
            <v>40110.988100000002</v>
          </cell>
          <cell r="T202">
            <v>18</v>
          </cell>
          <cell r="V202">
            <v>2127936</v>
          </cell>
          <cell r="X202">
            <v>5090.51</v>
          </cell>
          <cell r="Y202">
            <v>1</v>
          </cell>
          <cell r="AA202">
            <v>624726.9</v>
          </cell>
          <cell r="AC202">
            <v>2657.77</v>
          </cell>
          <cell r="AD202">
            <v>13210</v>
          </cell>
          <cell r="AF202">
            <v>11803.56</v>
          </cell>
          <cell r="AH202">
            <v>31.73</v>
          </cell>
          <cell r="AI202">
            <v>167</v>
          </cell>
          <cell r="AK202">
            <v>165403.19999999995</v>
          </cell>
          <cell r="AM202">
            <v>471</v>
          </cell>
        </row>
        <row r="203">
          <cell r="B203">
            <v>84621544.800000012</v>
          </cell>
          <cell r="D203">
            <v>26676003.260000024</v>
          </cell>
          <cell r="F203">
            <v>44693</v>
          </cell>
          <cell r="H203">
            <v>11177893.739999993</v>
          </cell>
          <cell r="J203">
            <v>4504</v>
          </cell>
          <cell r="L203">
            <v>23340060.429999981</v>
          </cell>
          <cell r="N203">
            <v>63352.990000000013</v>
          </cell>
          <cell r="O203">
            <v>514</v>
          </cell>
          <cell r="Q203">
            <v>14610993.160000002</v>
          </cell>
          <cell r="S203">
            <v>39901.868000000002</v>
          </cell>
          <cell r="T203">
            <v>18</v>
          </cell>
          <cell r="V203">
            <v>2186159.9900000002</v>
          </cell>
          <cell r="X203">
            <v>4911.09</v>
          </cell>
          <cell r="Y203">
            <v>1</v>
          </cell>
          <cell r="AA203">
            <v>659155.78999999992</v>
          </cell>
          <cell r="AC203">
            <v>2477.3000000000002</v>
          </cell>
          <cell r="AD203">
            <v>13210</v>
          </cell>
          <cell r="AF203">
            <v>11803.56</v>
          </cell>
          <cell r="AH203">
            <v>31.73</v>
          </cell>
          <cell r="AI203">
            <v>167</v>
          </cell>
          <cell r="AK203">
            <v>161090.87999999995</v>
          </cell>
          <cell r="AM203">
            <v>471</v>
          </cell>
        </row>
        <row r="204">
          <cell r="B204">
            <v>79262056.269999996</v>
          </cell>
          <cell r="D204">
            <v>26201585.379999846</v>
          </cell>
          <cell r="F204">
            <v>44727</v>
          </cell>
          <cell r="H204">
            <v>10815121.590000007</v>
          </cell>
          <cell r="J204">
            <v>4503</v>
          </cell>
          <cell r="L204">
            <v>22638507.330000032</v>
          </cell>
          <cell r="N204">
            <v>60422.430000000008</v>
          </cell>
          <cell r="O204">
            <v>515</v>
          </cell>
          <cell r="Q204">
            <v>14062024.910000004</v>
          </cell>
          <cell r="S204">
            <v>35230.468500000003</v>
          </cell>
          <cell r="T204">
            <v>18</v>
          </cell>
          <cell r="V204">
            <v>2285088.12</v>
          </cell>
          <cell r="X204">
            <v>5051.21</v>
          </cell>
          <cell r="Y204">
            <v>1</v>
          </cell>
          <cell r="AA204">
            <v>782724.2699999999</v>
          </cell>
          <cell r="AC204">
            <v>2477.3000000000002</v>
          </cell>
          <cell r="AD204">
            <v>13119</v>
          </cell>
          <cell r="AF204">
            <v>11803.56</v>
          </cell>
          <cell r="AH204">
            <v>31.73</v>
          </cell>
          <cell r="AI204">
            <v>167</v>
          </cell>
          <cell r="AK204">
            <v>169800.78000000003</v>
          </cell>
          <cell r="AM204">
            <v>471</v>
          </cell>
        </row>
        <row r="205">
          <cell r="B205">
            <v>73268241.019999996</v>
          </cell>
          <cell r="D205">
            <v>24540374.200000215</v>
          </cell>
          <cell r="F205">
            <v>44764</v>
          </cell>
          <cell r="H205">
            <v>9852554.6300000139</v>
          </cell>
          <cell r="J205">
            <v>4504</v>
          </cell>
          <cell r="L205">
            <v>21056351.920000013</v>
          </cell>
          <cell r="N205">
            <v>59322.550000000032</v>
          </cell>
          <cell r="O205">
            <v>515</v>
          </cell>
          <cell r="Q205">
            <v>13341701.710000003</v>
          </cell>
          <cell r="S205">
            <v>38827.290599999993</v>
          </cell>
          <cell r="T205">
            <v>18</v>
          </cell>
          <cell r="V205">
            <v>2028528</v>
          </cell>
          <cell r="X205">
            <v>5190.4799999999996</v>
          </cell>
          <cell r="Y205">
            <v>1</v>
          </cell>
          <cell r="AA205">
            <v>910285.20000000007</v>
          </cell>
          <cell r="AC205">
            <v>2477.3000000000002</v>
          </cell>
          <cell r="AD205">
            <v>13119</v>
          </cell>
          <cell r="AF205">
            <v>11803.56</v>
          </cell>
          <cell r="AH205">
            <v>31.73</v>
          </cell>
          <cell r="AI205">
            <v>167</v>
          </cell>
          <cell r="AK205">
            <v>165403.19999999995</v>
          </cell>
          <cell r="AM205">
            <v>471</v>
          </cell>
        </row>
        <row r="206">
          <cell r="B206">
            <v>80136959.590000004</v>
          </cell>
          <cell r="D206">
            <v>26589019.44000008</v>
          </cell>
          <cell r="F206">
            <v>44784</v>
          </cell>
          <cell r="H206">
            <v>10546419.660000006</v>
          </cell>
          <cell r="J206">
            <v>4509</v>
          </cell>
          <cell r="L206">
            <v>22591003.560000002</v>
          </cell>
          <cell r="N206">
            <v>60009.089999999975</v>
          </cell>
          <cell r="O206">
            <v>516</v>
          </cell>
          <cell r="Q206">
            <v>13997442.720000001</v>
          </cell>
          <cell r="S206">
            <v>39265.116399999992</v>
          </cell>
          <cell r="T206">
            <v>18</v>
          </cell>
          <cell r="V206">
            <v>2439216.09</v>
          </cell>
          <cell r="X206">
            <v>5061.46</v>
          </cell>
          <cell r="Y206">
            <v>1</v>
          </cell>
          <cell r="AA206">
            <v>1004749.9900000001</v>
          </cell>
          <cell r="AC206">
            <v>2477.3000000000002</v>
          </cell>
          <cell r="AD206">
            <v>13119</v>
          </cell>
          <cell r="AF206">
            <v>11803.56</v>
          </cell>
          <cell r="AH206">
            <v>31.73</v>
          </cell>
          <cell r="AI206">
            <v>167</v>
          </cell>
          <cell r="AK206">
            <v>165134.21000000005</v>
          </cell>
          <cell r="AM206">
            <v>471</v>
          </cell>
        </row>
        <row r="207">
          <cell r="B207">
            <v>86049137.459999993</v>
          </cell>
          <cell r="D207">
            <v>28916497.10000005</v>
          </cell>
          <cell r="F207">
            <v>44871</v>
          </cell>
          <cell r="H207">
            <v>11363637.410000011</v>
          </cell>
          <cell r="J207">
            <v>4522</v>
          </cell>
          <cell r="L207">
            <v>24156927.709999982</v>
          </cell>
          <cell r="N207">
            <v>62738.290000000008</v>
          </cell>
          <cell r="O207">
            <v>515</v>
          </cell>
          <cell r="Q207">
            <v>14528048.400000002</v>
          </cell>
          <cell r="S207">
            <v>38994.688800000004</v>
          </cell>
          <cell r="T207">
            <v>18</v>
          </cell>
          <cell r="V207">
            <v>2447520</v>
          </cell>
          <cell r="X207">
            <v>5212.6899999999996</v>
          </cell>
          <cell r="Y207">
            <v>1</v>
          </cell>
          <cell r="AA207">
            <v>1083823.8</v>
          </cell>
          <cell r="AC207">
            <v>2477.3000000000002</v>
          </cell>
          <cell r="AD207">
            <v>13119</v>
          </cell>
          <cell r="AF207">
            <v>11803.56</v>
          </cell>
          <cell r="AH207">
            <v>31.73</v>
          </cell>
          <cell r="AI207">
            <v>167</v>
          </cell>
          <cell r="AK207">
            <v>165962.99999999997</v>
          </cell>
          <cell r="AM207">
            <v>463</v>
          </cell>
        </row>
        <row r="208">
          <cell r="B208">
            <v>96001001.330000013</v>
          </cell>
          <cell r="D208">
            <v>33312146.319999933</v>
          </cell>
          <cell r="F208">
            <v>44915</v>
          </cell>
          <cell r="H208">
            <v>12733993.179999996</v>
          </cell>
          <cell r="J208">
            <v>4517</v>
          </cell>
          <cell r="L208">
            <v>26882954.980000008</v>
          </cell>
          <cell r="N208">
            <v>67107.989999999976</v>
          </cell>
          <cell r="O208">
            <v>517</v>
          </cell>
          <cell r="Q208">
            <v>14524051.49</v>
          </cell>
          <cell r="S208">
            <v>38982.667000000001</v>
          </cell>
          <cell r="T208">
            <v>18</v>
          </cell>
          <cell r="V208">
            <v>2288831.9900000002</v>
          </cell>
          <cell r="X208">
            <v>5171.68</v>
          </cell>
          <cell r="Y208">
            <v>1</v>
          </cell>
          <cell r="AA208">
            <v>1183942.08</v>
          </cell>
          <cell r="AC208">
            <v>2525.44</v>
          </cell>
          <cell r="AD208">
            <v>13119</v>
          </cell>
          <cell r="AF208">
            <v>11803.56</v>
          </cell>
          <cell r="AH208">
            <v>31.73</v>
          </cell>
          <cell r="AI208">
            <v>167</v>
          </cell>
          <cell r="AK208">
            <v>165972.76000000007</v>
          </cell>
          <cell r="AM208">
            <v>465</v>
          </cell>
        </row>
        <row r="209">
          <cell r="B209">
            <v>100742561.55</v>
          </cell>
          <cell r="D209">
            <v>35527330.339999676</v>
          </cell>
          <cell r="F209">
            <v>44923</v>
          </cell>
          <cell r="H209">
            <v>13858539.170000002</v>
          </cell>
          <cell r="J209">
            <v>4521</v>
          </cell>
          <cell r="L209">
            <v>28716062.250000019</v>
          </cell>
          <cell r="N209">
            <v>67766.340000000026</v>
          </cell>
          <cell r="O209">
            <v>516</v>
          </cell>
          <cell r="Q209">
            <v>14093393.909999998</v>
          </cell>
          <cell r="S209">
            <v>36794.242199999986</v>
          </cell>
          <cell r="T209">
            <v>18</v>
          </cell>
          <cell r="V209">
            <v>2639712</v>
          </cell>
          <cell r="X209">
            <v>5367.34</v>
          </cell>
          <cell r="Y209">
            <v>1</v>
          </cell>
          <cell r="AA209">
            <v>1174328.05</v>
          </cell>
          <cell r="AC209">
            <v>2525.44</v>
          </cell>
          <cell r="AD209">
            <v>13119</v>
          </cell>
          <cell r="AF209">
            <v>11803.56</v>
          </cell>
          <cell r="AH209">
            <v>31.73</v>
          </cell>
          <cell r="AI209">
            <v>167</v>
          </cell>
          <cell r="AK209">
            <v>165972.76000000007</v>
          </cell>
          <cell r="AM209">
            <v>465</v>
          </cell>
        </row>
        <row r="210">
          <cell r="B210">
            <v>87803370.550000012</v>
          </cell>
          <cell r="D210">
            <v>30889612.989999942</v>
          </cell>
          <cell r="F210">
            <v>44915</v>
          </cell>
          <cell r="H210">
            <v>12389058.759999994</v>
          </cell>
          <cell r="J210">
            <v>4521</v>
          </cell>
          <cell r="L210">
            <v>25735079.889999986</v>
          </cell>
          <cell r="N210">
            <v>64981.269999999946</v>
          </cell>
          <cell r="O210">
            <v>516</v>
          </cell>
          <cell r="Q210">
            <v>11198999.280000003</v>
          </cell>
          <cell r="S210">
            <v>31912.108099999998</v>
          </cell>
          <cell r="T210">
            <v>18</v>
          </cell>
          <cell r="V210">
            <v>2453279.92</v>
          </cell>
          <cell r="X210">
            <v>5317.78</v>
          </cell>
          <cell r="Y210">
            <v>1</v>
          </cell>
          <cell r="AA210">
            <v>972293</v>
          </cell>
          <cell r="AC210">
            <v>2525.44</v>
          </cell>
          <cell r="AD210">
            <v>13119</v>
          </cell>
          <cell r="AF210">
            <v>11803.56</v>
          </cell>
          <cell r="AH210">
            <v>31.73</v>
          </cell>
          <cell r="AI210">
            <v>167</v>
          </cell>
          <cell r="AK210">
            <v>159721.80000000002</v>
          </cell>
          <cell r="AM210">
            <v>465</v>
          </cell>
        </row>
        <row r="211">
          <cell r="B211">
            <v>88977564.200000003</v>
          </cell>
          <cell r="D211">
            <v>30782617.299999747</v>
          </cell>
          <cell r="F211">
            <v>44918</v>
          </cell>
          <cell r="H211">
            <v>12426306.059999997</v>
          </cell>
          <cell r="J211">
            <v>4519</v>
          </cell>
          <cell r="L211">
            <v>26208212.909999989</v>
          </cell>
          <cell r="N211">
            <v>61399.719999999994</v>
          </cell>
          <cell r="O211">
            <v>516</v>
          </cell>
          <cell r="Q211">
            <v>12490764.900000002</v>
          </cell>
          <cell r="S211">
            <v>33916.326399999998</v>
          </cell>
          <cell r="T211">
            <v>18</v>
          </cell>
          <cell r="V211">
            <v>2609376.02</v>
          </cell>
          <cell r="X211">
            <v>5275.06</v>
          </cell>
          <cell r="Y211">
            <v>1</v>
          </cell>
          <cell r="AA211">
            <v>945987.01</v>
          </cell>
          <cell r="AC211">
            <v>2525.44</v>
          </cell>
          <cell r="AD211">
            <v>13119</v>
          </cell>
          <cell r="AF211">
            <v>11803.56</v>
          </cell>
          <cell r="AH211">
            <v>31.73</v>
          </cell>
          <cell r="AI211">
            <v>167</v>
          </cell>
          <cell r="AK211">
            <v>171391.36000000004</v>
          </cell>
          <cell r="AM211">
            <v>465</v>
          </cell>
        </row>
        <row r="212">
          <cell r="B212">
            <v>81321825.219999999</v>
          </cell>
          <cell r="D212">
            <v>26800317.319999933</v>
          </cell>
          <cell r="F212">
            <v>44876</v>
          </cell>
          <cell r="H212">
            <v>11024965.649999976</v>
          </cell>
          <cell r="J212">
            <v>4518</v>
          </cell>
          <cell r="L212">
            <v>22900049.009999964</v>
          </cell>
          <cell r="N212">
            <v>55631.209999999985</v>
          </cell>
          <cell r="O212">
            <v>517</v>
          </cell>
          <cell r="Q212">
            <v>13600316.9</v>
          </cell>
          <cell r="S212">
            <v>38484.390799999994</v>
          </cell>
          <cell r="T212">
            <v>20</v>
          </cell>
          <cell r="V212">
            <v>2783376</v>
          </cell>
          <cell r="X212">
            <v>5251.14</v>
          </cell>
          <cell r="Y212">
            <v>1</v>
          </cell>
          <cell r="AA212">
            <v>776572.2</v>
          </cell>
          <cell r="AC212">
            <v>2525.44</v>
          </cell>
          <cell r="AD212">
            <v>13119</v>
          </cell>
          <cell r="AF212">
            <v>12015.599999999999</v>
          </cell>
          <cell r="AH212">
            <v>32.299999999999997</v>
          </cell>
          <cell r="AI212">
            <v>170</v>
          </cell>
          <cell r="AK212">
            <v>165695.99999999997</v>
          </cell>
          <cell r="AM212">
            <v>465</v>
          </cell>
        </row>
        <row r="213">
          <cell r="B213">
            <v>75975788.390000001</v>
          </cell>
          <cell r="D213">
            <v>24986643.508349925</v>
          </cell>
          <cell r="F213">
            <v>44874</v>
          </cell>
          <cell r="H213">
            <v>10309404.160000015</v>
          </cell>
          <cell r="J213">
            <v>4520</v>
          </cell>
          <cell r="L213">
            <v>21368507.77</v>
          </cell>
          <cell r="N213">
            <v>51829.419999999976</v>
          </cell>
          <cell r="O213">
            <v>516</v>
          </cell>
          <cell r="Q213">
            <v>13543097.150000004</v>
          </cell>
          <cell r="S213">
            <v>39182.103800000012</v>
          </cell>
          <cell r="T213">
            <v>20</v>
          </cell>
          <cell r="V213">
            <v>2668128.15</v>
          </cell>
          <cell r="X213">
            <v>5157.82</v>
          </cell>
          <cell r="Y213">
            <v>1</v>
          </cell>
          <cell r="AA213">
            <v>665451.89</v>
          </cell>
          <cell r="AC213">
            <v>2525.44</v>
          </cell>
          <cell r="AD213">
            <v>13119</v>
          </cell>
          <cell r="AF213">
            <v>12086.28</v>
          </cell>
          <cell r="AH213">
            <v>32.49</v>
          </cell>
          <cell r="AI213">
            <v>171</v>
          </cell>
          <cell r="AK213">
            <v>165628.04000000007</v>
          </cell>
          <cell r="AM213">
            <v>465</v>
          </cell>
        </row>
        <row r="214">
          <cell r="B214">
            <v>70340752.849999994</v>
          </cell>
          <cell r="D214">
            <v>23287804.425449979</v>
          </cell>
          <cell r="F214">
            <v>44881</v>
          </cell>
          <cell r="H214">
            <v>9706763.5499999914</v>
          </cell>
          <cell r="J214">
            <v>4519</v>
          </cell>
          <cell r="L214">
            <v>20598949.780000005</v>
          </cell>
          <cell r="N214">
            <v>58750.839999999946</v>
          </cell>
          <cell r="O214">
            <v>516</v>
          </cell>
          <cell r="Q214">
            <v>11761137.259999998</v>
          </cell>
          <cell r="S214">
            <v>33577.5</v>
          </cell>
          <cell r="T214">
            <v>20</v>
          </cell>
          <cell r="V214">
            <v>2435568</v>
          </cell>
          <cell r="X214">
            <v>5047.79</v>
          </cell>
          <cell r="Y214">
            <v>1</v>
          </cell>
          <cell r="AA214">
            <v>593477.4</v>
          </cell>
          <cell r="AC214">
            <v>2460.25</v>
          </cell>
          <cell r="AD214">
            <v>13119</v>
          </cell>
          <cell r="AF214">
            <v>12227.639999999998</v>
          </cell>
          <cell r="AH214">
            <v>32.869999999999997</v>
          </cell>
          <cell r="AI214">
            <v>173</v>
          </cell>
          <cell r="AK214">
            <v>165695.99999999997</v>
          </cell>
          <cell r="AM214">
            <v>465</v>
          </cell>
        </row>
        <row r="215">
          <cell r="B215">
            <v>75472199.179999992</v>
          </cell>
          <cell r="D215">
            <v>24573362.894389432</v>
          </cell>
          <cell r="F215">
            <v>44900</v>
          </cell>
          <cell r="H215">
            <v>10209088.470000006</v>
          </cell>
          <cell r="J215">
            <v>4527</v>
          </cell>
          <cell r="L215">
            <v>21754518.050000001</v>
          </cell>
          <cell r="N215">
            <v>58397.98000000001</v>
          </cell>
          <cell r="O215">
            <v>510</v>
          </cell>
          <cell r="Q215">
            <v>12721998.24</v>
          </cell>
          <cell r="S215">
            <v>35548.199399999998</v>
          </cell>
          <cell r="T215">
            <v>20</v>
          </cell>
          <cell r="V215">
            <v>1986912</v>
          </cell>
          <cell r="X215">
            <v>0</v>
          </cell>
          <cell r="Y215">
            <v>1</v>
          </cell>
          <cell r="AA215">
            <v>610140.75999999989</v>
          </cell>
          <cell r="AC215">
            <v>2460.25</v>
          </cell>
          <cell r="AD215">
            <v>13070</v>
          </cell>
          <cell r="AF215">
            <v>12156.96</v>
          </cell>
          <cell r="AH215">
            <v>32.68</v>
          </cell>
          <cell r="AI215">
            <v>172</v>
          </cell>
          <cell r="AK215">
            <v>165932.96000000008</v>
          </cell>
          <cell r="AM215">
            <v>465</v>
          </cell>
        </row>
        <row r="216">
          <cell r="B216">
            <v>77813866.24000001</v>
          </cell>
          <cell r="D216">
            <v>24947123.430989914</v>
          </cell>
          <cell r="F216">
            <v>44933</v>
          </cell>
          <cell r="H216">
            <v>10283952.329999983</v>
          </cell>
          <cell r="J216">
            <v>4534</v>
          </cell>
          <cell r="L216">
            <v>22034828.830000017</v>
          </cell>
          <cell r="N216">
            <v>60555.610000000037</v>
          </cell>
          <cell r="O216">
            <v>507</v>
          </cell>
          <cell r="Q216">
            <v>12846812.299999997</v>
          </cell>
          <cell r="S216">
            <v>40771.3678</v>
          </cell>
          <cell r="T216">
            <v>20</v>
          </cell>
          <cell r="V216">
            <v>2433840.0699999998</v>
          </cell>
          <cell r="X216">
            <v>6071.79</v>
          </cell>
          <cell r="Y216">
            <v>1</v>
          </cell>
          <cell r="AA216">
            <v>724542.23</v>
          </cell>
          <cell r="AC216">
            <v>2460.25</v>
          </cell>
          <cell r="AD216">
            <v>13070</v>
          </cell>
          <cell r="AF216">
            <v>12086.28</v>
          </cell>
          <cell r="AH216">
            <v>32.49</v>
          </cell>
          <cell r="AI216">
            <v>171</v>
          </cell>
          <cell r="AK216">
            <v>165940.83000000007</v>
          </cell>
          <cell r="AM216">
            <v>465</v>
          </cell>
        </row>
        <row r="217">
          <cell r="B217">
            <v>72027468.810000002</v>
          </cell>
          <cell r="D217">
            <v>24308811.02900004</v>
          </cell>
          <cell r="F217">
            <v>44955</v>
          </cell>
          <cell r="H217">
            <v>9712165.490000017</v>
          </cell>
          <cell r="J217">
            <v>4529</v>
          </cell>
          <cell r="L217">
            <v>20818130.780000005</v>
          </cell>
          <cell r="N217">
            <v>58731.11</v>
          </cell>
          <cell r="O217">
            <v>513</v>
          </cell>
          <cell r="Q217">
            <v>12741853.08</v>
          </cell>
          <cell r="S217">
            <v>38902.788199999995</v>
          </cell>
          <cell r="T217">
            <v>21</v>
          </cell>
          <cell r="V217">
            <v>2436480</v>
          </cell>
          <cell r="X217">
            <v>5654.84</v>
          </cell>
          <cell r="Y217">
            <v>1</v>
          </cell>
          <cell r="AA217">
            <v>842634.3</v>
          </cell>
          <cell r="AC217">
            <v>2460.25</v>
          </cell>
          <cell r="AD217">
            <v>13070</v>
          </cell>
          <cell r="AF217">
            <v>12227.639999999998</v>
          </cell>
          <cell r="AH217">
            <v>32.869999999999997</v>
          </cell>
          <cell r="AI217">
            <v>173</v>
          </cell>
          <cell r="AK217">
            <v>165932.09999999995</v>
          </cell>
          <cell r="AM217">
            <v>465</v>
          </cell>
        </row>
        <row r="218">
          <cell r="B218">
            <v>78971713.049999997</v>
          </cell>
          <cell r="D218">
            <v>26948256.942999907</v>
          </cell>
          <cell r="F218">
            <v>44993</v>
          </cell>
          <cell r="H218">
            <v>10365605.60761201</v>
          </cell>
          <cell r="J218">
            <v>4526</v>
          </cell>
          <cell r="L218">
            <v>22036269.400000013</v>
          </cell>
          <cell r="N218">
            <v>58851.200000000026</v>
          </cell>
          <cell r="O218">
            <v>511</v>
          </cell>
          <cell r="Q218">
            <v>13717951.050000001</v>
          </cell>
          <cell r="S218">
            <v>40293.873800000001</v>
          </cell>
          <cell r="T218">
            <v>22</v>
          </cell>
          <cell r="V218">
            <v>2596511.9500000002</v>
          </cell>
          <cell r="X218">
            <v>5357.94</v>
          </cell>
          <cell r="Y218">
            <v>1</v>
          </cell>
          <cell r="AA218">
            <v>997834.82000000007</v>
          </cell>
          <cell r="AC218">
            <v>2460.25</v>
          </cell>
          <cell r="AD218">
            <v>13070</v>
          </cell>
          <cell r="AF218">
            <v>12298.320000000002</v>
          </cell>
          <cell r="AH218">
            <v>33.06</v>
          </cell>
          <cell r="AI218">
            <v>174</v>
          </cell>
          <cell r="AK218">
            <v>165940.83000000007</v>
          </cell>
          <cell r="AM218">
            <v>465</v>
          </cell>
        </row>
        <row r="219">
          <cell r="B219">
            <v>86289297.910000011</v>
          </cell>
          <cell r="D219">
            <v>31135195.451000102</v>
          </cell>
          <cell r="F219">
            <v>45062</v>
          </cell>
          <cell r="H219">
            <v>11761751.932388004</v>
          </cell>
          <cell r="J219">
            <v>4547</v>
          </cell>
          <cell r="L219">
            <v>24280735.420000028</v>
          </cell>
          <cell r="N219">
            <v>60822.80000000001</v>
          </cell>
          <cell r="O219">
            <v>505</v>
          </cell>
          <cell r="Q219">
            <v>14194327.5</v>
          </cell>
          <cell r="S219">
            <v>39796.01690000001</v>
          </cell>
          <cell r="T219">
            <v>22</v>
          </cell>
          <cell r="V219">
            <v>2345472</v>
          </cell>
          <cell r="X219">
            <v>5493.79</v>
          </cell>
          <cell r="Y219">
            <v>1</v>
          </cell>
          <cell r="AA219">
            <v>1076358.9000000001</v>
          </cell>
          <cell r="AC219">
            <v>2460.92</v>
          </cell>
          <cell r="AD219">
            <v>13075</v>
          </cell>
          <cell r="AF219">
            <v>12156.96</v>
          </cell>
          <cell r="AH219">
            <v>32.68</v>
          </cell>
          <cell r="AI219">
            <v>172</v>
          </cell>
          <cell r="AK219">
            <v>167029.19999999998</v>
          </cell>
          <cell r="AM219">
            <v>468</v>
          </cell>
        </row>
        <row r="220">
          <cell r="B220">
            <v>106198270.91</v>
          </cell>
          <cell r="D220">
            <v>36848813.003099665</v>
          </cell>
          <cell r="F220">
            <v>45079</v>
          </cell>
          <cell r="H220">
            <v>14283584.430000007</v>
          </cell>
          <cell r="J220">
            <v>4552</v>
          </cell>
          <cell r="L220">
            <v>28617030.289999984</v>
          </cell>
          <cell r="N220">
            <v>65181.789999999972</v>
          </cell>
          <cell r="O220">
            <v>496</v>
          </cell>
          <cell r="Q220">
            <v>15152062.82</v>
          </cell>
          <cell r="S220">
            <v>41337.113399999987</v>
          </cell>
          <cell r="T220">
            <v>22</v>
          </cell>
          <cell r="V220">
            <v>2541455.9500000002</v>
          </cell>
          <cell r="X220">
            <v>5521.13</v>
          </cell>
          <cell r="Y220">
            <v>1</v>
          </cell>
          <cell r="AA220">
            <v>1175793.1100000001</v>
          </cell>
          <cell r="AC220">
            <v>2460.92</v>
          </cell>
          <cell r="AD220">
            <v>13075</v>
          </cell>
          <cell r="AF220">
            <v>12227.639999999998</v>
          </cell>
          <cell r="AH220">
            <v>32.869999999999997</v>
          </cell>
          <cell r="AI220">
            <v>173</v>
          </cell>
          <cell r="AK220">
            <v>167378.30000000005</v>
          </cell>
          <cell r="AM220">
            <v>468</v>
          </cell>
        </row>
        <row r="221">
          <cell r="B221">
            <v>107146866.07999998</v>
          </cell>
          <cell r="D221">
            <v>38922016.556109458</v>
          </cell>
          <cell r="F221">
            <v>45081</v>
          </cell>
          <cell r="H221">
            <v>15069643.829999994</v>
          </cell>
          <cell r="J221">
            <v>4555</v>
          </cell>
          <cell r="L221">
            <v>29731360.839999992</v>
          </cell>
          <cell r="N221">
            <v>61036.510000000024</v>
          </cell>
          <cell r="O221">
            <v>499</v>
          </cell>
          <cell r="Q221">
            <v>13410038.890000001</v>
          </cell>
          <cell r="S221">
            <v>27994.363599999997</v>
          </cell>
          <cell r="T221">
            <v>20.5</v>
          </cell>
          <cell r="V221">
            <v>2689536.13</v>
          </cell>
          <cell r="X221">
            <v>5235.2700000000004</v>
          </cell>
          <cell r="Y221">
            <v>1</v>
          </cell>
          <cell r="AA221">
            <v>1144326.8699999999</v>
          </cell>
          <cell r="AC221">
            <v>2460.92</v>
          </cell>
          <cell r="AD221">
            <v>13075</v>
          </cell>
          <cell r="AF221">
            <v>12156.96</v>
          </cell>
          <cell r="AH221">
            <v>32.68</v>
          </cell>
          <cell r="AI221">
            <v>172</v>
          </cell>
          <cell r="AK221">
            <v>168707.58000000007</v>
          </cell>
          <cell r="AM221">
            <v>467.5</v>
          </cell>
        </row>
        <row r="222">
          <cell r="B222">
            <v>92061740.489999995</v>
          </cell>
          <cell r="D222">
            <v>32993369.868999798</v>
          </cell>
          <cell r="F222">
            <v>45092</v>
          </cell>
          <cell r="H222">
            <v>13186660.869999997</v>
          </cell>
          <cell r="J222">
            <v>4563</v>
          </cell>
          <cell r="L222">
            <v>26524870.020000014</v>
          </cell>
          <cell r="N222">
            <v>63929.670000000049</v>
          </cell>
          <cell r="O222">
            <v>501.5</v>
          </cell>
          <cell r="Q222">
            <v>11428320.119999999</v>
          </cell>
          <cell r="S222">
            <v>30060.312299999998</v>
          </cell>
          <cell r="T222">
            <v>19.75</v>
          </cell>
          <cell r="V222">
            <v>2575632.08</v>
          </cell>
          <cell r="X222">
            <v>5214.84</v>
          </cell>
          <cell r="Y222">
            <v>1</v>
          </cell>
          <cell r="AA222">
            <v>947452.8</v>
          </cell>
          <cell r="AC222">
            <v>2460.92</v>
          </cell>
          <cell r="AD222">
            <v>13097</v>
          </cell>
          <cell r="AF222">
            <v>12121.619999999999</v>
          </cell>
          <cell r="AH222">
            <v>32.585000000000001</v>
          </cell>
          <cell r="AI222">
            <v>171.5</v>
          </cell>
          <cell r="AK222">
            <v>168706.44</v>
          </cell>
          <cell r="AM222">
            <v>467.25</v>
          </cell>
        </row>
        <row r="223">
          <cell r="B223">
            <v>92598932.820000008</v>
          </cell>
          <cell r="D223">
            <v>32244957.139890101</v>
          </cell>
          <cell r="F223">
            <v>45098</v>
          </cell>
          <cell r="H223">
            <v>13248227.95999999</v>
          </cell>
          <cell r="J223">
            <v>4567.5</v>
          </cell>
          <cell r="L223">
            <v>26573892.160000034</v>
          </cell>
          <cell r="N223">
            <v>61936.399999999958</v>
          </cell>
          <cell r="O223">
            <v>503.25</v>
          </cell>
          <cell r="Q223">
            <v>12645686.449999999</v>
          </cell>
          <cell r="S223">
            <v>32801.020400000001</v>
          </cell>
          <cell r="T223">
            <v>19.375</v>
          </cell>
          <cell r="V223">
            <v>2774447.92</v>
          </cell>
          <cell r="X223">
            <v>5740.28</v>
          </cell>
          <cell r="Y223">
            <v>1</v>
          </cell>
          <cell r="AA223">
            <v>927698.87</v>
          </cell>
          <cell r="AC223">
            <v>2476.62</v>
          </cell>
          <cell r="AD223">
            <v>13097</v>
          </cell>
          <cell r="AF223">
            <v>12183.630000000001</v>
          </cell>
          <cell r="AH223">
            <v>32.727499999999999</v>
          </cell>
          <cell r="AI223">
            <v>172.25</v>
          </cell>
          <cell r="AK223">
            <v>171178.59000000008</v>
          </cell>
          <cell r="AM223">
            <v>467.125</v>
          </cell>
        </row>
        <row r="224">
          <cell r="B224">
            <v>79652300.269999996</v>
          </cell>
          <cell r="D224">
            <v>27204303.46900025</v>
          </cell>
          <cell r="F224">
            <v>45080</v>
          </cell>
          <cell r="H224">
            <v>11070615.160000008</v>
          </cell>
          <cell r="J224">
            <v>4568.75</v>
          </cell>
          <cell r="L224">
            <v>22785513.130000003</v>
          </cell>
          <cell r="N224">
            <v>53208.379999999976</v>
          </cell>
          <cell r="O224">
            <v>504.625</v>
          </cell>
          <cell r="Q224">
            <v>12904272.600000001</v>
          </cell>
          <cell r="S224">
            <v>37406.752999999997</v>
          </cell>
          <cell r="T224">
            <v>19.1875</v>
          </cell>
          <cell r="V224">
            <v>2474832</v>
          </cell>
          <cell r="X224">
            <v>5670.22</v>
          </cell>
          <cell r="Y224">
            <v>1</v>
          </cell>
          <cell r="AA224">
            <v>761559.9</v>
          </cell>
          <cell r="AC224">
            <v>2476.62</v>
          </cell>
          <cell r="AD224">
            <v>13147.5</v>
          </cell>
          <cell r="AF224">
            <v>12204.795</v>
          </cell>
          <cell r="AH224">
            <v>32.703749999999999</v>
          </cell>
          <cell r="AI224">
            <v>172.125</v>
          </cell>
          <cell r="AK224">
            <v>176452.79999999996</v>
          </cell>
          <cell r="AM224">
            <v>466.5625</v>
          </cell>
        </row>
        <row r="225">
          <cell r="B225">
            <v>75973559.25</v>
          </cell>
          <cell r="D225">
            <v>24728780.316999894</v>
          </cell>
          <cell r="F225">
            <v>45067.5</v>
          </cell>
          <cell r="H225">
            <v>10484312.049999984</v>
          </cell>
          <cell r="J225">
            <v>4576.875</v>
          </cell>
          <cell r="L225">
            <v>21163181.64999998</v>
          </cell>
          <cell r="N225">
            <v>50787.69000000001</v>
          </cell>
          <cell r="O225">
            <v>498.8125</v>
          </cell>
          <cell r="Q225">
            <v>14394245.810000001</v>
          </cell>
          <cell r="S225">
            <v>41591.7673</v>
          </cell>
          <cell r="T225">
            <v>19.09375</v>
          </cell>
          <cell r="V225">
            <v>2391119.9</v>
          </cell>
          <cell r="X225">
            <v>5104.59</v>
          </cell>
          <cell r="Y225">
            <v>1</v>
          </cell>
          <cell r="AA225">
            <v>652587.51</v>
          </cell>
          <cell r="AC225">
            <v>2476.62</v>
          </cell>
          <cell r="AD225">
            <v>13147.5</v>
          </cell>
          <cell r="AF225">
            <v>12200.377500000001</v>
          </cell>
          <cell r="AH225">
            <v>32.691875000000003</v>
          </cell>
          <cell r="AI225">
            <v>172.0625</v>
          </cell>
          <cell r="AK225">
            <v>176453.24000000005</v>
          </cell>
          <cell r="AM225">
            <v>462.28125</v>
          </cell>
        </row>
        <row r="226">
          <cell r="B226">
            <v>71106323.5</v>
          </cell>
          <cell r="D226">
            <v>22654738.925000042</v>
          </cell>
          <cell r="F226">
            <v>45067.25</v>
          </cell>
          <cell r="H226">
            <v>9725922.30999998</v>
          </cell>
          <cell r="J226">
            <v>4582.4375</v>
          </cell>
          <cell r="L226">
            <v>19864970.560000002</v>
          </cell>
          <cell r="N226">
            <v>55223.320000000036</v>
          </cell>
          <cell r="O226">
            <v>496.40625</v>
          </cell>
          <cell r="Q226">
            <v>13712451.9</v>
          </cell>
          <cell r="S226">
            <v>39941.59169999999</v>
          </cell>
          <cell r="T226">
            <v>19.046875</v>
          </cell>
          <cell r="V226">
            <v>2257200</v>
          </cell>
          <cell r="X226">
            <v>5092.24</v>
          </cell>
          <cell r="Y226">
            <v>1</v>
          </cell>
          <cell r="AA226">
            <v>578950.19999999995</v>
          </cell>
          <cell r="AC226">
            <v>2463.62</v>
          </cell>
          <cell r="AD226">
            <v>13161.75</v>
          </cell>
          <cell r="AF226">
            <v>12198.168750000001</v>
          </cell>
          <cell r="AH226">
            <v>32.685937500000001</v>
          </cell>
          <cell r="AI226">
            <v>172.03125</v>
          </cell>
          <cell r="AK226">
            <v>176936.69999999998</v>
          </cell>
          <cell r="AM226">
            <v>461.140625</v>
          </cell>
        </row>
        <row r="227">
          <cell r="B227">
            <v>74522468.280000001</v>
          </cell>
          <cell r="D227">
            <v>23503977.621029828</v>
          </cell>
          <cell r="F227">
            <v>45053.125</v>
          </cell>
          <cell r="H227">
            <v>10271386.640000001</v>
          </cell>
          <cell r="J227">
            <v>4583.21875</v>
          </cell>
          <cell r="L227">
            <v>20551473.419999994</v>
          </cell>
          <cell r="N227">
            <v>56038.820000000014</v>
          </cell>
          <cell r="O227">
            <v>495.203125</v>
          </cell>
          <cell r="Q227">
            <v>13954625.469999999</v>
          </cell>
          <cell r="S227">
            <v>40462.586899999995</v>
          </cell>
          <cell r="T227">
            <v>19.0234375</v>
          </cell>
          <cell r="V227">
            <v>2342063.9500000002</v>
          </cell>
          <cell r="X227">
            <v>5000.5200000000004</v>
          </cell>
          <cell r="Y227">
            <v>1</v>
          </cell>
          <cell r="AA227">
            <v>606130.90999999992</v>
          </cell>
          <cell r="AC227">
            <v>2444.08</v>
          </cell>
          <cell r="AD227">
            <v>13168.875</v>
          </cell>
          <cell r="AF227">
            <v>12232.404375</v>
          </cell>
          <cell r="AH227">
            <v>32.777968749999999</v>
          </cell>
          <cell r="AI227">
            <v>172.515625</v>
          </cell>
          <cell r="AK227">
            <v>176937.15000000008</v>
          </cell>
          <cell r="AM227">
            <v>460.5703125</v>
          </cell>
        </row>
        <row r="228">
          <cell r="B228">
            <v>74414540.200000003</v>
          </cell>
          <cell r="D228">
            <v>23764110.289000064</v>
          </cell>
          <cell r="F228">
            <v>45066.0625</v>
          </cell>
          <cell r="H228">
            <v>10274818.47361199</v>
          </cell>
          <cell r="J228">
            <v>4584.109375</v>
          </cell>
          <cell r="L228">
            <v>20809859.190000009</v>
          </cell>
          <cell r="N228">
            <v>55937.070000000058</v>
          </cell>
          <cell r="O228">
            <v>491.1015625</v>
          </cell>
          <cell r="Q228">
            <v>13629989.839999998</v>
          </cell>
          <cell r="S228">
            <v>39702.1129</v>
          </cell>
          <cell r="T228">
            <v>19.51171875</v>
          </cell>
          <cell r="V228">
            <v>2258159.9700000002</v>
          </cell>
          <cell r="X228">
            <v>4916.8900000000003</v>
          </cell>
          <cell r="Y228">
            <v>1</v>
          </cell>
          <cell r="AA228">
            <v>711449.69000000006</v>
          </cell>
          <cell r="AC228">
            <v>2415.79</v>
          </cell>
          <cell r="AD228">
            <v>13173.9375</v>
          </cell>
          <cell r="AF228">
            <v>12214.182187500001</v>
          </cell>
          <cell r="AH228">
            <v>32.728984375000003</v>
          </cell>
          <cell r="AI228">
            <v>172.2578125</v>
          </cell>
          <cell r="AK228">
            <v>176937.15000000008</v>
          </cell>
          <cell r="AM228">
            <v>460.28515625</v>
          </cell>
        </row>
        <row r="229">
          <cell r="B229">
            <v>72064603.819999993</v>
          </cell>
          <cell r="D229">
            <v>23696270.525999971</v>
          </cell>
          <cell r="F229">
            <v>45097.03125</v>
          </cell>
          <cell r="H229">
            <v>9762010.9039999936</v>
          </cell>
          <cell r="J229">
            <v>4584.0546875</v>
          </cell>
          <cell r="L229">
            <v>19978896.649999991</v>
          </cell>
          <cell r="N229">
            <v>55694.789999999994</v>
          </cell>
          <cell r="O229">
            <v>490.05078125</v>
          </cell>
          <cell r="Q229">
            <v>13394474.999999998</v>
          </cell>
          <cell r="S229">
            <v>40329.3148</v>
          </cell>
          <cell r="T229">
            <v>19.755859375</v>
          </cell>
          <cell r="V229">
            <v>2192976</v>
          </cell>
          <cell r="X229">
            <v>5021.91</v>
          </cell>
          <cell r="Y229">
            <v>1</v>
          </cell>
          <cell r="AA229">
            <v>823009.8</v>
          </cell>
          <cell r="AC229">
            <v>2402.2800000000002</v>
          </cell>
          <cell r="AD229">
            <v>13176.46875</v>
          </cell>
          <cell r="AF229">
            <v>12205.071093750001</v>
          </cell>
          <cell r="AH229">
            <v>32.704492187500001</v>
          </cell>
          <cell r="AI229">
            <v>172.12890625</v>
          </cell>
          <cell r="AK229">
            <v>176936.69999999998</v>
          </cell>
          <cell r="AM229">
            <v>460.142578125</v>
          </cell>
        </row>
        <row r="230">
          <cell r="B230">
            <v>77862698.569999993</v>
          </cell>
          <cell r="D230">
            <v>26444465.620999623</v>
          </cell>
          <cell r="F230">
            <v>45138.015625</v>
          </cell>
          <cell r="H230">
            <v>10634292.331000013</v>
          </cell>
          <cell r="J230">
            <v>4587.02734375</v>
          </cell>
          <cell r="L230">
            <v>21777286.870000001</v>
          </cell>
          <cell r="N230">
            <v>54753.890000000014</v>
          </cell>
          <cell r="O230">
            <v>488.525390625</v>
          </cell>
          <cell r="Q230">
            <v>13852040.699999999</v>
          </cell>
          <cell r="S230">
            <v>39365.521699999998</v>
          </cell>
          <cell r="T230">
            <v>20.3779296875</v>
          </cell>
          <cell r="V230">
            <v>2623776.14</v>
          </cell>
          <cell r="X230">
            <v>5136.91</v>
          </cell>
          <cell r="Y230">
            <v>1</v>
          </cell>
          <cell r="AA230">
            <v>971610.99000000011</v>
          </cell>
          <cell r="AC230">
            <v>2394.92</v>
          </cell>
          <cell r="AD230">
            <v>13177.734375</v>
          </cell>
          <cell r="AF230">
            <v>12200.515546875</v>
          </cell>
          <cell r="AH230">
            <v>32.692246093750001</v>
          </cell>
          <cell r="AI230">
            <v>172.064453125</v>
          </cell>
          <cell r="AK230">
            <v>176937.15000000008</v>
          </cell>
          <cell r="AM230">
            <v>460.0712890625</v>
          </cell>
        </row>
        <row r="231">
          <cell r="B231">
            <v>89145933.010000005</v>
          </cell>
          <cell r="D231">
            <v>29676769.037999768</v>
          </cell>
          <cell r="F231">
            <v>45196.5078125</v>
          </cell>
          <cell r="H231">
            <v>12234413.660000009</v>
          </cell>
          <cell r="J231">
            <v>4588.513671875</v>
          </cell>
          <cell r="L231">
            <v>24141227.480000012</v>
          </cell>
          <cell r="N231">
            <v>61082.729999999967</v>
          </cell>
          <cell r="O231">
            <v>487.7626953125</v>
          </cell>
          <cell r="Q231">
            <v>14505990.899999999</v>
          </cell>
          <cell r="S231">
            <v>39573.622600000002</v>
          </cell>
          <cell r="T231">
            <v>20.68896484375</v>
          </cell>
          <cell r="V231">
            <v>2850336</v>
          </cell>
          <cell r="X231">
            <v>5794.58</v>
          </cell>
          <cell r="Y231">
            <v>1</v>
          </cell>
          <cell r="AA231">
            <v>1048069.5</v>
          </cell>
          <cell r="AC231">
            <v>2381.4500000000003</v>
          </cell>
          <cell r="AD231">
            <v>13178.3671875</v>
          </cell>
          <cell r="AF231">
            <v>12198.237773437502</v>
          </cell>
          <cell r="AH231">
            <v>32.686123046875004</v>
          </cell>
          <cell r="AI231">
            <v>172.0322265625</v>
          </cell>
          <cell r="AK231">
            <v>176936.69999999998</v>
          </cell>
          <cell r="AM231">
            <v>460.03564453125</v>
          </cell>
        </row>
        <row r="232">
          <cell r="B232">
            <v>95713970.549999997</v>
          </cell>
          <cell r="D232">
            <v>34191036.516999617</v>
          </cell>
          <cell r="F232">
            <v>45238.75390625</v>
          </cell>
          <cell r="H232">
            <v>13323531.779999984</v>
          </cell>
          <cell r="J232">
            <v>4594.2568359375</v>
          </cell>
          <cell r="L232">
            <v>26134928.269999992</v>
          </cell>
          <cell r="N232">
            <v>61197.479999999981</v>
          </cell>
          <cell r="O232">
            <v>487.38134765625</v>
          </cell>
          <cell r="Q232">
            <v>14943145.450000003</v>
          </cell>
          <cell r="S232">
            <v>39089.753300000004</v>
          </cell>
          <cell r="T232">
            <v>20.844482421875</v>
          </cell>
          <cell r="V232">
            <v>2959583.95</v>
          </cell>
          <cell r="X232">
            <v>5861.59</v>
          </cell>
          <cell r="Y232">
            <v>1</v>
          </cell>
          <cell r="AA232">
            <v>1138128.1100000001</v>
          </cell>
          <cell r="AC232">
            <v>2362.87</v>
          </cell>
          <cell r="AD232">
            <v>13178.68359375</v>
          </cell>
          <cell r="AF232">
            <v>12197.09888671875</v>
          </cell>
          <cell r="AH232">
            <v>32.683061523437502</v>
          </cell>
          <cell r="AI232">
            <v>172.01611328125</v>
          </cell>
          <cell r="AK232">
            <v>176645.13000000006</v>
          </cell>
          <cell r="AM232">
            <v>457</v>
          </cell>
        </row>
        <row r="233">
          <cell r="B233">
            <v>101629309.98</v>
          </cell>
          <cell r="D233">
            <v>36508095.939999245</v>
          </cell>
          <cell r="F233">
            <v>45257.876953125</v>
          </cell>
          <cell r="H233">
            <v>14647867.091999978</v>
          </cell>
          <cell r="J233">
            <v>4598.62841796875</v>
          </cell>
          <cell r="L233">
            <v>27731660.080000002</v>
          </cell>
          <cell r="N233">
            <v>63968.560000000041</v>
          </cell>
          <cell r="O233">
            <v>487.190673828125</v>
          </cell>
          <cell r="Q233">
            <v>13828880.029999997</v>
          </cell>
          <cell r="S233">
            <v>38959.442899999995</v>
          </cell>
          <cell r="T233">
            <v>20.42236328125</v>
          </cell>
          <cell r="V233">
            <v>3114768.09</v>
          </cell>
          <cell r="X233">
            <v>6361</v>
          </cell>
          <cell r="Y233">
            <v>1</v>
          </cell>
          <cell r="AA233">
            <v>1098733.6199999999</v>
          </cell>
          <cell r="AC233">
            <v>2362.87</v>
          </cell>
          <cell r="AD233">
            <v>13178.841796875</v>
          </cell>
          <cell r="AF233">
            <v>9637.049560546875</v>
          </cell>
          <cell r="AH233">
            <v>25.80120849609375</v>
          </cell>
          <cell r="AI233">
            <v>172.008056640625</v>
          </cell>
          <cell r="AK233">
            <v>177080.37000000008</v>
          </cell>
          <cell r="AM233">
            <v>461.0089111328125</v>
          </cell>
        </row>
        <row r="234">
          <cell r="B234">
            <v>93864611.309999987</v>
          </cell>
          <cell r="D234">
            <v>31660210.639999628</v>
          </cell>
          <cell r="F234">
            <v>45271.4384765625</v>
          </cell>
          <cell r="H234">
            <v>13318489.569999987</v>
          </cell>
          <cell r="J234">
            <v>4596.814208984375</v>
          </cell>
          <cell r="L234">
            <v>25715487.790000014</v>
          </cell>
          <cell r="N234">
            <v>62236.310000000041</v>
          </cell>
          <cell r="O234">
            <v>487.5953369140625</v>
          </cell>
          <cell r="Q234">
            <v>11415722.080000002</v>
          </cell>
          <cell r="S234">
            <v>31230.884100000003</v>
          </cell>
          <cell r="T234">
            <v>20.711181640625</v>
          </cell>
          <cell r="V234">
            <v>3016175.96</v>
          </cell>
          <cell r="X234">
            <v>6520.35</v>
          </cell>
          <cell r="Y234">
            <v>1</v>
          </cell>
          <cell r="AA234">
            <v>905522.8</v>
          </cell>
          <cell r="AC234">
            <v>2352.02</v>
          </cell>
          <cell r="AD234">
            <v>13239.5756984375</v>
          </cell>
          <cell r="AF234">
            <v>8708.0030273437478</v>
          </cell>
          <cell r="AH234">
            <v>25.800604248046874</v>
          </cell>
          <cell r="AI234">
            <v>172.0040283203125</v>
          </cell>
          <cell r="AK234">
            <v>177079.28000000003</v>
          </cell>
          <cell r="AM234">
            <v>461.50445556640625</v>
          </cell>
        </row>
        <row r="235">
          <cell r="B235">
            <v>87162071.520000011</v>
          </cell>
          <cell r="D235">
            <v>30744805.542999852</v>
          </cell>
          <cell r="F235">
            <v>45270.21923828125</v>
          </cell>
          <cell r="H235">
            <v>12867283.112000031</v>
          </cell>
          <cell r="J235">
            <v>4593.9071044921875</v>
          </cell>
          <cell r="L235">
            <v>25051564.360000011</v>
          </cell>
          <cell r="N235">
            <v>59143.44000000001</v>
          </cell>
          <cell r="O235">
            <v>486.79766845703125</v>
          </cell>
          <cell r="Q235">
            <v>11963087.239999998</v>
          </cell>
          <cell r="S235">
            <v>31904.372999999996</v>
          </cell>
          <cell r="T235">
            <v>20.8555908203125</v>
          </cell>
          <cell r="V235">
            <v>3434448.15</v>
          </cell>
          <cell r="X235">
            <v>6449.01</v>
          </cell>
          <cell r="Y235">
            <v>1</v>
          </cell>
          <cell r="AA235">
            <v>871818.8899999999</v>
          </cell>
          <cell r="AC235">
            <v>2327.4500000000003</v>
          </cell>
          <cell r="AD235">
            <v>13269.28784921875</v>
          </cell>
          <cell r="AF235">
            <v>9636.7123901367177</v>
          </cell>
          <cell r="AH235">
            <v>25.800302124023435</v>
          </cell>
          <cell r="AI235">
            <v>172.00201416015625</v>
          </cell>
          <cell r="AK235">
            <v>182694.47000000009</v>
          </cell>
          <cell r="AM235">
            <v>461.75222778320312</v>
          </cell>
        </row>
        <row r="236">
          <cell r="B236">
            <v>76969576.420000002</v>
          </cell>
          <cell r="D236">
            <v>25623800.388999961</v>
          </cell>
          <cell r="F236">
            <v>45248.609619140625</v>
          </cell>
          <cell r="H236">
            <v>10749956.162999995</v>
          </cell>
          <cell r="J236">
            <v>4593.4535522460937</v>
          </cell>
          <cell r="L236">
            <v>21377518.080000013</v>
          </cell>
          <cell r="N236">
            <v>51794.689999999973</v>
          </cell>
          <cell r="O236">
            <v>485.89883422851563</v>
          </cell>
          <cell r="Q236">
            <v>13197197.139999999</v>
          </cell>
          <cell r="S236">
            <v>39714.241000000002</v>
          </cell>
          <cell r="T236">
            <v>20.92779541015625</v>
          </cell>
          <cell r="V236">
            <v>3223488</v>
          </cell>
          <cell r="X236">
            <v>6124.85</v>
          </cell>
          <cell r="Y236">
            <v>1</v>
          </cell>
          <cell r="AA236">
            <v>707254.8</v>
          </cell>
          <cell r="AC236">
            <v>2300.0300000000002</v>
          </cell>
          <cell r="AD236">
            <v>13221.643924609376</v>
          </cell>
          <cell r="AF236">
            <v>9327.0543823242187</v>
          </cell>
          <cell r="AH236">
            <v>25.800151062011718</v>
          </cell>
          <cell r="AI236">
            <v>172.00100708007812</v>
          </cell>
          <cell r="AK236">
            <v>177079.79999999996</v>
          </cell>
          <cell r="AM236">
            <v>452.37611389160156</v>
          </cell>
        </row>
        <row r="237">
          <cell r="B237">
            <v>73637825.109999999</v>
          </cell>
          <cell r="D237">
            <v>23579601.63399975</v>
          </cell>
          <cell r="F237">
            <v>45240.304809570313</v>
          </cell>
          <cell r="H237">
            <v>10401377.499999981</v>
          </cell>
          <cell r="J237">
            <v>4596.2267761230469</v>
          </cell>
          <cell r="L237">
            <v>20280334.619999997</v>
          </cell>
          <cell r="N237">
            <v>48172.560000000012</v>
          </cell>
          <cell r="O237">
            <v>478.94941711425781</v>
          </cell>
          <cell r="Q237">
            <v>13855913.140000001</v>
          </cell>
          <cell r="S237">
            <v>40616.321899999995</v>
          </cell>
          <cell r="T237">
            <v>20.963897705078125</v>
          </cell>
          <cell r="V237">
            <v>3138671.88</v>
          </cell>
          <cell r="X237">
            <v>6254.63</v>
          </cell>
          <cell r="Y237">
            <v>1</v>
          </cell>
          <cell r="AA237">
            <v>606211.51</v>
          </cell>
          <cell r="AC237">
            <v>2300.63</v>
          </cell>
          <cell r="AD237">
            <v>13200.821962304688</v>
          </cell>
          <cell r="AF237">
            <v>9608.7280975341801</v>
          </cell>
          <cell r="AH237">
            <v>25.72507553100586</v>
          </cell>
          <cell r="AI237">
            <v>171.50050354003906</v>
          </cell>
          <cell r="AK237">
            <v>185379.75000000006</v>
          </cell>
          <cell r="AM237">
            <v>447.68805694580078</v>
          </cell>
        </row>
        <row r="238">
          <cell r="B238">
            <v>70200164.75</v>
          </cell>
          <cell r="D238">
            <v>22175635.396999881</v>
          </cell>
          <cell r="F238">
            <v>45233.152404785156</v>
          </cell>
          <cell r="H238">
            <v>9938325.0499999654</v>
          </cell>
          <cell r="J238">
            <v>4605.6133880615234</v>
          </cell>
          <cell r="L238">
            <v>19371535.930000011</v>
          </cell>
          <cell r="N238">
            <v>54141.419999999991</v>
          </cell>
          <cell r="O238">
            <v>469.47470855712891</v>
          </cell>
          <cell r="Q238">
            <v>13012397.700000001</v>
          </cell>
          <cell r="S238">
            <v>39182.060099999995</v>
          </cell>
          <cell r="T238">
            <v>20.981948852539063</v>
          </cell>
          <cell r="V238">
            <v>2998416</v>
          </cell>
          <cell r="X238">
            <v>6224.3</v>
          </cell>
          <cell r="Y238">
            <v>1</v>
          </cell>
          <cell r="AA238">
            <v>534868.19999999995</v>
          </cell>
          <cell r="AC238">
            <v>2276.04</v>
          </cell>
          <cell r="AD238">
            <v>13151.410981152345</v>
          </cell>
          <cell r="AF238">
            <v>9286.5135955810547</v>
          </cell>
          <cell r="AH238">
            <v>25.687537765502928</v>
          </cell>
          <cell r="AI238">
            <v>171.25025177001953</v>
          </cell>
          <cell r="AK238">
            <v>190614.62999999995</v>
          </cell>
          <cell r="AM238">
            <v>446.84402847290039</v>
          </cell>
        </row>
        <row r="239">
          <cell r="B239">
            <v>76455085.069999993</v>
          </cell>
          <cell r="D239">
            <v>23881661.082999926</v>
          </cell>
          <cell r="F239">
            <v>45228.576202392578</v>
          </cell>
          <cell r="H239">
            <v>10626013.119000008</v>
          </cell>
          <cell r="J239">
            <v>4610.8066940307617</v>
          </cell>
          <cell r="L239">
            <v>20675017.580000002</v>
          </cell>
          <cell r="N239">
            <v>56171.119999999974</v>
          </cell>
          <cell r="O239">
            <v>463.73735427856445</v>
          </cell>
          <cell r="Q239">
            <v>13745162.989999998</v>
          </cell>
          <cell r="S239">
            <v>40176.078000000001</v>
          </cell>
          <cell r="T239">
            <v>20.990974426269531</v>
          </cell>
          <cell r="V239">
            <v>2945664.02</v>
          </cell>
          <cell r="X239">
            <v>6014.97</v>
          </cell>
          <cell r="Y239">
            <v>1</v>
          </cell>
          <cell r="AA239">
            <v>559146.68999999994</v>
          </cell>
          <cell r="AC239">
            <v>2255.59</v>
          </cell>
          <cell r="AD239">
            <v>13165.705490576172</v>
          </cell>
          <cell r="AF239">
            <v>9587.7820243835449</v>
          </cell>
          <cell r="AH239">
            <v>25.668768882751465</v>
          </cell>
          <cell r="AI239">
            <v>171.12512588500977</v>
          </cell>
          <cell r="AK239">
            <v>187215.50000000009</v>
          </cell>
          <cell r="AM239">
            <v>446.9220142364502</v>
          </cell>
        </row>
        <row r="240">
          <cell r="B240">
            <v>75144956.239999995</v>
          </cell>
          <cell r="D240">
            <v>24372893.72900008</v>
          </cell>
          <cell r="F240">
            <v>45233.288101196289</v>
          </cell>
          <cell r="H240">
            <v>10677243.822999977</v>
          </cell>
          <cell r="J240">
            <v>4611.9033470153809</v>
          </cell>
          <cell r="L240">
            <v>20614734.829999994</v>
          </cell>
          <cell r="N240">
            <v>54516.070000000022</v>
          </cell>
          <cell r="O240">
            <v>460.86867713928223</v>
          </cell>
          <cell r="Q240">
            <v>13185375.390000004</v>
          </cell>
          <cell r="S240">
            <v>40176.82209999999</v>
          </cell>
          <cell r="T240">
            <v>20.995487213134766</v>
          </cell>
          <cell r="V240">
            <v>2977824.04</v>
          </cell>
          <cell r="X240">
            <v>6124.33</v>
          </cell>
          <cell r="Y240">
            <v>1</v>
          </cell>
          <cell r="AA240">
            <v>647350.68000000005</v>
          </cell>
          <cell r="AC240">
            <v>2198.14</v>
          </cell>
          <cell r="AD240">
            <v>13172.852745288086</v>
          </cell>
          <cell r="AF240">
            <v>9556.3910121917725</v>
          </cell>
          <cell r="AH240">
            <v>25.584384441375732</v>
          </cell>
          <cell r="AI240">
            <v>170.56256294250488</v>
          </cell>
          <cell r="AK240">
            <v>185550.50000000009</v>
          </cell>
          <cell r="AM240">
            <v>446.9610071182251</v>
          </cell>
        </row>
        <row r="241">
          <cell r="B241">
            <v>73463443.399999991</v>
          </cell>
          <cell r="D241">
            <v>23562673.682000015</v>
          </cell>
          <cell r="F241">
            <v>45265.144050598145</v>
          </cell>
          <cell r="H241">
            <v>10039638.211999971</v>
          </cell>
          <cell r="J241">
            <v>4612.4516735076904</v>
          </cell>
          <cell r="L241">
            <v>19939072.719999995</v>
          </cell>
          <cell r="N241">
            <v>53902.010000000009</v>
          </cell>
          <cell r="O241">
            <v>459.93433856964111</v>
          </cell>
          <cell r="Q241">
            <v>13810977.6</v>
          </cell>
          <cell r="S241">
            <v>40466.188400000006</v>
          </cell>
          <cell r="T241">
            <v>20.997743606567383</v>
          </cell>
          <cell r="V241">
            <v>2767104</v>
          </cell>
          <cell r="X241">
            <v>5867.16</v>
          </cell>
          <cell r="Y241">
            <v>1</v>
          </cell>
          <cell r="AA241">
            <v>749762.70000000007</v>
          </cell>
          <cell r="AC241">
            <v>2188.42</v>
          </cell>
          <cell r="AD241">
            <v>13176.426372644044</v>
          </cell>
          <cell r="AF241">
            <v>9207.1891994476318</v>
          </cell>
          <cell r="AH241">
            <v>25.467192220687867</v>
          </cell>
          <cell r="AI241">
            <v>169.78128147125244</v>
          </cell>
          <cell r="AK241">
            <v>185309.69999999995</v>
          </cell>
          <cell r="AM241">
            <v>446.98050355911255</v>
          </cell>
        </row>
        <row r="242">
          <cell r="B242">
            <v>76464862.580000013</v>
          </cell>
          <cell r="D242">
            <v>24999074.480999615</v>
          </cell>
          <cell r="F242">
            <v>45305.572025299072</v>
          </cell>
          <cell r="H242">
            <v>10488169.699999997</v>
          </cell>
          <cell r="J242">
            <v>4615.7258367538452</v>
          </cell>
          <cell r="L242">
            <v>20726132.169999994</v>
          </cell>
          <cell r="N242">
            <v>53179.720000000008</v>
          </cell>
          <cell r="O242">
            <v>459.46716928482056</v>
          </cell>
          <cell r="Q242">
            <v>13811537.880000003</v>
          </cell>
          <cell r="S242">
            <v>38786.195299999999</v>
          </cell>
          <cell r="T242">
            <v>20.998871803283691</v>
          </cell>
          <cell r="V242">
            <v>2942496.13</v>
          </cell>
          <cell r="X242">
            <v>5944.91</v>
          </cell>
          <cell r="Y242">
            <v>1</v>
          </cell>
          <cell r="AA242">
            <v>884608.87000000011</v>
          </cell>
          <cell r="AC242">
            <v>2181.08</v>
          </cell>
          <cell r="AD242">
            <v>13190.713186322022</v>
          </cell>
          <cell r="AF242">
            <v>9490.9977530479428</v>
          </cell>
          <cell r="AH242">
            <v>25.408596110343932</v>
          </cell>
          <cell r="AI242">
            <v>169.39064073562622</v>
          </cell>
          <cell r="AK242">
            <v>185310.56000000008</v>
          </cell>
          <cell r="AM242">
            <v>446.99025177955627</v>
          </cell>
        </row>
        <row r="243">
          <cell r="B243">
            <v>81040698.340000004</v>
          </cell>
          <cell r="D243">
            <v>26870909.26699993</v>
          </cell>
          <cell r="F243">
            <v>45342.286012649536</v>
          </cell>
          <cell r="H243">
            <v>11098768.123999968</v>
          </cell>
          <cell r="J243">
            <v>4617.3629183769226</v>
          </cell>
          <cell r="L243">
            <v>21470151.140000004</v>
          </cell>
          <cell r="N243">
            <v>54889.679999999978</v>
          </cell>
          <cell r="O243">
            <v>459.73358464241028</v>
          </cell>
          <cell r="Q243">
            <v>14854291.199999999</v>
          </cell>
          <cell r="S243">
            <v>42160.287600000003</v>
          </cell>
          <cell r="T243">
            <v>20.999435901641846</v>
          </cell>
          <cell r="V243">
            <v>3081360</v>
          </cell>
          <cell r="X243">
            <v>6108.96</v>
          </cell>
          <cell r="Y243">
            <v>1</v>
          </cell>
          <cell r="AA243">
            <v>945838.5</v>
          </cell>
          <cell r="AC243">
            <v>2138.96</v>
          </cell>
          <cell r="AD243">
            <v>13197.85659316101</v>
          </cell>
          <cell r="AF243">
            <v>9202.547299861908</v>
          </cell>
          <cell r="AH243">
            <v>25.454298055171964</v>
          </cell>
          <cell r="AI243">
            <v>169.69532036781311</v>
          </cell>
          <cell r="AK243">
            <v>185309.69999999995</v>
          </cell>
          <cell r="AM243">
            <v>446.99512588977814</v>
          </cell>
        </row>
        <row r="244">
          <cell r="B244">
            <v>90139870.239999995</v>
          </cell>
          <cell r="D244">
            <v>30693907.412000064</v>
          </cell>
          <cell r="F244">
            <v>45374.643006324768</v>
          </cell>
          <cell r="H244">
            <v>12326270.015000014</v>
          </cell>
          <cell r="J244">
            <v>4625.1814591884613</v>
          </cell>
          <cell r="L244">
            <v>23595138.619999997</v>
          </cell>
          <cell r="N244">
            <v>56047.200000000026</v>
          </cell>
          <cell r="O244">
            <v>459.86679232120514</v>
          </cell>
          <cell r="Q244">
            <v>15092411.999999998</v>
          </cell>
          <cell r="S244">
            <v>38060.821199999998</v>
          </cell>
          <cell r="T244">
            <v>20.999717950820923</v>
          </cell>
          <cell r="V244">
            <v>3094367.92</v>
          </cell>
          <cell r="X244">
            <v>6273.43</v>
          </cell>
          <cell r="Y244">
            <v>1</v>
          </cell>
          <cell r="AA244">
            <v>1022243.29</v>
          </cell>
          <cell r="AC244">
            <v>2161.92</v>
          </cell>
          <cell r="AD244">
            <v>13201.428296580505</v>
          </cell>
          <cell r="AF244">
            <v>9516.4994382619861</v>
          </cell>
          <cell r="AH244">
            <v>25.477149027585984</v>
          </cell>
          <cell r="AI244">
            <v>169.84766018390656</v>
          </cell>
          <cell r="AK244">
            <v>185310.56000000008</v>
          </cell>
          <cell r="AM244">
            <v>446.99756294488907</v>
          </cell>
        </row>
      </sheetData>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Tab"/>
      <sheetName val="Customer Count"/>
      <sheetName val="Cust Class Details"/>
    </sheetNames>
    <sheetDataSet>
      <sheetData sheetId="0" refreshError="1"/>
      <sheetData sheetId="1">
        <row r="26">
          <cell r="C26">
            <v>4624.1350602549164</v>
          </cell>
          <cell r="R26">
            <v>462.83423899421177</v>
          </cell>
          <cell r="S26">
            <v>17.744788498460064</v>
          </cell>
          <cell r="T26">
            <v>3.895813003179986</v>
          </cell>
          <cell r="U26">
            <v>45453.196555804439</v>
          </cell>
        </row>
        <row r="87">
          <cell r="B87">
            <v>439.66158081582279</v>
          </cell>
          <cell r="C87">
            <v>163.76341081650995</v>
          </cell>
          <cell r="D87">
            <v>13245.738644907577</v>
          </cell>
        </row>
      </sheetData>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Filter"/>
      <sheetName val="Allocation Methodology"/>
      <sheetName val="Summary - LDC"/>
      <sheetName val="Summary - Prov"/>
      <sheetName val="Annual Net Demand Savings - LDC"/>
      <sheetName val="Annual Net Energy Savings - LDC"/>
      <sheetName val="Annual Net Demand Savings -Prov"/>
      <sheetName val="Annual Net Energy Savings -Prov"/>
      <sheetName val="Initiative Level - LDC"/>
      <sheetName val="Initiative Level - Prov"/>
      <sheetName val="Measures - LDC"/>
      <sheetName val="Measures - Prov"/>
      <sheetName val="Local Distribution Compan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1">
          <cell r="G91">
            <v>48.077541548406664</v>
          </cell>
          <cell r="H91">
            <v>48.077541548406664</v>
          </cell>
          <cell r="I91">
            <v>48.077541548406664</v>
          </cell>
          <cell r="J91">
            <v>48.077541548406664</v>
          </cell>
          <cell r="K91">
            <v>48.077541548406664</v>
          </cell>
          <cell r="L91">
            <v>48.077541548406664</v>
          </cell>
          <cell r="M91">
            <v>0</v>
          </cell>
          <cell r="N91">
            <v>0</v>
          </cell>
          <cell r="O91">
            <v>0</v>
          </cell>
          <cell r="P91">
            <v>0</v>
          </cell>
          <cell r="Q91">
            <v>0</v>
          </cell>
          <cell r="R91">
            <v>0</v>
          </cell>
        </row>
        <row r="92">
          <cell r="G92">
            <v>118.68324787537732</v>
          </cell>
          <cell r="H92">
            <v>118.68324787537732</v>
          </cell>
          <cell r="I92">
            <v>118.68324787537732</v>
          </cell>
          <cell r="J92">
            <v>118.68324787537732</v>
          </cell>
          <cell r="K92">
            <v>118.68324787537732</v>
          </cell>
          <cell r="L92">
            <v>118.68324787537732</v>
          </cell>
          <cell r="M92">
            <v>118.68324787537732</v>
          </cell>
          <cell r="N92">
            <v>118.68324787537732</v>
          </cell>
          <cell r="O92">
            <v>87.560759981566576</v>
          </cell>
          <cell r="P92">
            <v>87.560759981566576</v>
          </cell>
          <cell r="Q92">
            <v>87.560759981566576</v>
          </cell>
          <cell r="R92">
            <v>87.560759981566576</v>
          </cell>
        </row>
        <row r="93">
          <cell r="G93">
            <v>3079.5496378664943</v>
          </cell>
          <cell r="H93">
            <v>3079.5496378664943</v>
          </cell>
          <cell r="I93">
            <v>3079.5496378664943</v>
          </cell>
          <cell r="J93">
            <v>3079.5496378664943</v>
          </cell>
          <cell r="K93">
            <v>397.05145020394843</v>
          </cell>
          <cell r="L93">
            <v>397.05145020394843</v>
          </cell>
          <cell r="M93">
            <v>397.05145020394843</v>
          </cell>
          <cell r="N93">
            <v>397.05145020394843</v>
          </cell>
          <cell r="O93">
            <v>397.05145020394843</v>
          </cell>
          <cell r="P93">
            <v>397.05145020394843</v>
          </cell>
          <cell r="Q93">
            <v>370.29088381848072</v>
          </cell>
          <cell r="R93">
            <v>370.29088381848072</v>
          </cell>
        </row>
        <row r="96">
          <cell r="G96">
            <v>0</v>
          </cell>
          <cell r="H96">
            <v>212.40774769392195</v>
          </cell>
          <cell r="I96">
            <v>212.40774769392195</v>
          </cell>
          <cell r="J96">
            <v>212.40774769392195</v>
          </cell>
          <cell r="K96">
            <v>212.40774769392195</v>
          </cell>
          <cell r="L96">
            <v>212.20071928367165</v>
          </cell>
          <cell r="M96">
            <v>211.99369087342131</v>
          </cell>
          <cell r="N96">
            <v>211.99369087342131</v>
          </cell>
          <cell r="O96">
            <v>211.99369087342131</v>
          </cell>
          <cell r="P96">
            <v>176.31727387376597</v>
          </cell>
          <cell r="Q96">
            <v>0</v>
          </cell>
          <cell r="R96">
            <v>0</v>
          </cell>
        </row>
        <row r="97">
          <cell r="G97">
            <v>0</v>
          </cell>
          <cell r="H97">
            <v>182.95633181981611</v>
          </cell>
          <cell r="I97">
            <v>182.95633181981611</v>
          </cell>
          <cell r="J97">
            <v>182.95633181981611</v>
          </cell>
          <cell r="K97">
            <v>182.95633181981611</v>
          </cell>
          <cell r="L97">
            <v>182.95633181981611</v>
          </cell>
          <cell r="M97">
            <v>174.2824483182508</v>
          </cell>
          <cell r="N97">
            <v>174.2824483182508</v>
          </cell>
          <cell r="O97">
            <v>174.2824483182508</v>
          </cell>
          <cell r="P97">
            <v>174.2824483182508</v>
          </cell>
          <cell r="Q97">
            <v>174.2824483182508</v>
          </cell>
          <cell r="R97">
            <v>174.2824483182508</v>
          </cell>
        </row>
        <row r="98">
          <cell r="G98">
            <v>0</v>
          </cell>
          <cell r="H98">
            <v>1096.7191023389817</v>
          </cell>
          <cell r="I98">
            <v>1083.3063093436283</v>
          </cell>
          <cell r="J98">
            <v>1083.3063093436283</v>
          </cell>
          <cell r="K98">
            <v>1083.3063093436283</v>
          </cell>
          <cell r="L98">
            <v>1083.3063093436283</v>
          </cell>
          <cell r="M98">
            <v>1046.3118721829965</v>
          </cell>
          <cell r="N98">
            <v>1046.3118721829965</v>
          </cell>
          <cell r="O98">
            <v>1046.3118721829965</v>
          </cell>
          <cell r="P98">
            <v>84.977039720991201</v>
          </cell>
          <cell r="Q98">
            <v>84.977039720991201</v>
          </cell>
          <cell r="R98">
            <v>16.011971167969257</v>
          </cell>
        </row>
        <row r="100">
          <cell r="G100">
            <v>0</v>
          </cell>
          <cell r="H100">
            <v>750.93136721842995</v>
          </cell>
          <cell r="I100">
            <v>126.5713079197712</v>
          </cell>
          <cell r="J100">
            <v>47.90927900339922</v>
          </cell>
          <cell r="K100">
            <v>47.90927900339922</v>
          </cell>
          <cell r="L100">
            <v>47.90927900339922</v>
          </cell>
          <cell r="M100">
            <v>47.90927900339922</v>
          </cell>
          <cell r="N100">
            <v>47.90927900339922</v>
          </cell>
          <cell r="O100">
            <v>47.90927900339922</v>
          </cell>
          <cell r="P100">
            <v>30.427403100223849</v>
          </cell>
          <cell r="Q100">
            <v>30.427403100223849</v>
          </cell>
          <cell r="R100">
            <v>30.427403100223849</v>
          </cell>
        </row>
        <row r="101">
          <cell r="G101">
            <v>0</v>
          </cell>
          <cell r="H101">
            <v>384.3</v>
          </cell>
          <cell r="I101">
            <v>384.3</v>
          </cell>
          <cell r="J101">
            <v>384.3</v>
          </cell>
          <cell r="K101">
            <v>384.3</v>
          </cell>
          <cell r="L101">
            <v>0</v>
          </cell>
          <cell r="M101">
            <v>0</v>
          </cell>
          <cell r="N101">
            <v>0</v>
          </cell>
          <cell r="O101">
            <v>0</v>
          </cell>
          <cell r="P101">
            <v>0</v>
          </cell>
          <cell r="Q101">
            <v>0</v>
          </cell>
          <cell r="R101">
            <v>0</v>
          </cell>
        </row>
        <row r="103">
          <cell r="G103">
            <v>0</v>
          </cell>
          <cell r="H103">
            <v>99.67783648225415</v>
          </cell>
          <cell r="I103">
            <v>99.67783648225415</v>
          </cell>
          <cell r="J103">
            <v>99.67783648225415</v>
          </cell>
          <cell r="K103">
            <v>99.67783648225415</v>
          </cell>
          <cell r="L103">
            <v>99.67783648225415</v>
          </cell>
          <cell r="M103">
            <v>99.67783648225415</v>
          </cell>
          <cell r="N103">
            <v>99.67783648225415</v>
          </cell>
          <cell r="O103">
            <v>99.67783648225415</v>
          </cell>
          <cell r="P103">
            <v>99.67783648225415</v>
          </cell>
          <cell r="Q103">
            <v>99.67783648225415</v>
          </cell>
          <cell r="R103">
            <v>0</v>
          </cell>
        </row>
        <row r="104">
          <cell r="G104">
            <v>0</v>
          </cell>
          <cell r="H104">
            <v>72.747891944473395</v>
          </cell>
          <cell r="I104">
            <v>72.747891944473395</v>
          </cell>
          <cell r="J104">
            <v>72.747891944473395</v>
          </cell>
          <cell r="K104">
            <v>72.747891944473395</v>
          </cell>
          <cell r="L104">
            <v>72.747891944473395</v>
          </cell>
          <cell r="M104">
            <v>72.747891944473395</v>
          </cell>
          <cell r="N104">
            <v>72.747891944473395</v>
          </cell>
          <cell r="O104">
            <v>72.747891944473395</v>
          </cell>
          <cell r="P104">
            <v>72.747891944473395</v>
          </cell>
          <cell r="Q104">
            <v>72.747891944473395</v>
          </cell>
          <cell r="R104">
            <v>72.747891944473395</v>
          </cell>
        </row>
        <row r="110">
          <cell r="G110">
            <v>0</v>
          </cell>
          <cell r="H110">
            <v>0</v>
          </cell>
          <cell r="I110">
            <v>614.10239000000001</v>
          </cell>
          <cell r="J110">
            <v>614.10239000000001</v>
          </cell>
          <cell r="K110">
            <v>614.10239000000001</v>
          </cell>
          <cell r="L110">
            <v>614.10239000000001</v>
          </cell>
          <cell r="M110">
            <v>613.32227</v>
          </cell>
          <cell r="N110">
            <v>612.54214999999999</v>
          </cell>
          <cell r="O110">
            <v>612.54214999999999</v>
          </cell>
          <cell r="P110">
            <v>612.54214999999999</v>
          </cell>
          <cell r="Q110">
            <v>494.02375000000001</v>
          </cell>
          <cell r="R110">
            <v>0</v>
          </cell>
        </row>
        <row r="111">
          <cell r="G111">
            <v>0</v>
          </cell>
          <cell r="H111">
            <v>0</v>
          </cell>
          <cell r="I111">
            <v>202.38309197071879</v>
          </cell>
          <cell r="J111">
            <v>202.38309197071879</v>
          </cell>
          <cell r="K111">
            <v>202.38309197071879</v>
          </cell>
          <cell r="L111">
            <v>202.38309197071879</v>
          </cell>
          <cell r="M111">
            <v>202.38309197071879</v>
          </cell>
          <cell r="N111">
            <v>202.38309197071879</v>
          </cell>
          <cell r="O111">
            <v>202.38309197071879</v>
          </cell>
          <cell r="P111">
            <v>202.38309197071879</v>
          </cell>
          <cell r="Q111">
            <v>202.38309197071879</v>
          </cell>
          <cell r="R111">
            <v>202.38309197071879</v>
          </cell>
        </row>
        <row r="112">
          <cell r="G112">
            <v>0</v>
          </cell>
          <cell r="H112">
            <v>0</v>
          </cell>
          <cell r="I112">
            <v>1027.3469580378351</v>
          </cell>
          <cell r="J112">
            <v>1022.8778502854062</v>
          </cell>
          <cell r="K112">
            <v>1022.8778502854062</v>
          </cell>
          <cell r="L112">
            <v>1022.8778502854062</v>
          </cell>
          <cell r="M112">
            <v>868.1847967714989</v>
          </cell>
          <cell r="N112">
            <v>868.1847967714989</v>
          </cell>
          <cell r="O112">
            <v>707.09890904116094</v>
          </cell>
          <cell r="P112">
            <v>586.75411016507428</v>
          </cell>
          <cell r="Q112">
            <v>370.45741603335875</v>
          </cell>
          <cell r="R112">
            <v>365.73550937175634</v>
          </cell>
        </row>
        <row r="114">
          <cell r="G114">
            <v>0</v>
          </cell>
          <cell r="H114">
            <v>0</v>
          </cell>
          <cell r="I114">
            <v>971.87187224465538</v>
          </cell>
          <cell r="J114">
            <v>350.70322985059147</v>
          </cell>
          <cell r="K114">
            <v>350.70322985059147</v>
          </cell>
          <cell r="L114">
            <v>350.70322985059147</v>
          </cell>
          <cell r="M114">
            <v>350.70322985059147</v>
          </cell>
          <cell r="N114">
            <v>350.70322985059147</v>
          </cell>
          <cell r="O114">
            <v>350.70322985059147</v>
          </cell>
          <cell r="P114">
            <v>350.70322985059147</v>
          </cell>
          <cell r="Q114">
            <v>192.12773701447043</v>
          </cell>
          <cell r="R114">
            <v>192.12773701447043</v>
          </cell>
        </row>
        <row r="115">
          <cell r="G115">
            <v>0</v>
          </cell>
          <cell r="H115">
            <v>0</v>
          </cell>
          <cell r="I115">
            <v>357.37269308241827</v>
          </cell>
          <cell r="J115">
            <v>357.37025250163663</v>
          </cell>
          <cell r="K115">
            <v>357.37025250163663</v>
          </cell>
          <cell r="L115">
            <v>357.37025250163663</v>
          </cell>
          <cell r="M115">
            <v>357.37025250163663</v>
          </cell>
          <cell r="N115">
            <v>357.37025250163663</v>
          </cell>
          <cell r="O115">
            <v>357.37025250163663</v>
          </cell>
          <cell r="P115">
            <v>357.37025250163663</v>
          </cell>
          <cell r="Q115">
            <v>328.2189503620973</v>
          </cell>
          <cell r="R115">
            <v>328.2189503620973</v>
          </cell>
        </row>
        <row r="117">
          <cell r="G117">
            <v>0</v>
          </cell>
          <cell r="H117">
            <v>0</v>
          </cell>
          <cell r="I117">
            <v>2.2847858662228235</v>
          </cell>
          <cell r="J117">
            <v>2.2847858662228235</v>
          </cell>
          <cell r="K117">
            <v>2.2847858662228235</v>
          </cell>
          <cell r="L117">
            <v>2.2847858662228235</v>
          </cell>
          <cell r="M117">
            <v>2.2847858662228235</v>
          </cell>
          <cell r="N117">
            <v>2.2847858662228235</v>
          </cell>
          <cell r="O117">
            <v>2.2847858662228235</v>
          </cell>
          <cell r="P117">
            <v>2.2847858662228235</v>
          </cell>
          <cell r="Q117">
            <v>2.2847858662228235</v>
          </cell>
          <cell r="R117">
            <v>2.2847858662228235</v>
          </cell>
        </row>
        <row r="125">
          <cell r="G125">
            <v>0</v>
          </cell>
          <cell r="H125">
            <v>0</v>
          </cell>
          <cell r="I125">
            <v>0</v>
          </cell>
          <cell r="J125">
            <v>754.52592823622945</v>
          </cell>
          <cell r="K125">
            <v>754.52592823622945</v>
          </cell>
          <cell r="L125">
            <v>754.52592823622945</v>
          </cell>
          <cell r="M125">
            <v>753.30911574211655</v>
          </cell>
          <cell r="N125">
            <v>575.60777665463411</v>
          </cell>
          <cell r="O125">
            <v>0</v>
          </cell>
          <cell r="P125">
            <v>0</v>
          </cell>
          <cell r="Q125">
            <v>0</v>
          </cell>
          <cell r="R125">
            <v>0</v>
          </cell>
        </row>
        <row r="126">
          <cell r="G126">
            <v>0</v>
          </cell>
          <cell r="H126">
            <v>0</v>
          </cell>
          <cell r="I126">
            <v>0</v>
          </cell>
          <cell r="J126">
            <v>253.77146108180955</v>
          </cell>
          <cell r="K126">
            <v>253.77146108180955</v>
          </cell>
          <cell r="L126">
            <v>253.77146108180955</v>
          </cell>
          <cell r="M126">
            <v>252.86897155354353</v>
          </cell>
          <cell r="N126">
            <v>251.57115721532992</v>
          </cell>
          <cell r="O126">
            <v>250.04415551587934</v>
          </cell>
          <cell r="P126">
            <v>250.04415551587934</v>
          </cell>
          <cell r="Q126">
            <v>250.04415551587934</v>
          </cell>
          <cell r="R126">
            <v>250.04415551587934</v>
          </cell>
        </row>
        <row r="127">
          <cell r="G127">
            <v>0</v>
          </cell>
          <cell r="H127">
            <v>0</v>
          </cell>
          <cell r="I127">
            <v>0</v>
          </cell>
          <cell r="J127">
            <v>441.2697897795444</v>
          </cell>
          <cell r="K127">
            <v>422.95913980731643</v>
          </cell>
          <cell r="L127">
            <v>422.95913980731643</v>
          </cell>
          <cell r="M127">
            <v>422.93328810947628</v>
          </cell>
          <cell r="N127">
            <v>420.11943022914539</v>
          </cell>
          <cell r="O127">
            <v>403.54691692606826</v>
          </cell>
          <cell r="P127">
            <v>321.28736325140443</v>
          </cell>
          <cell r="Q127">
            <v>319.49251882401666</v>
          </cell>
          <cell r="R127">
            <v>204.34295038029717</v>
          </cell>
        </row>
        <row r="129">
          <cell r="G129">
            <v>0</v>
          </cell>
          <cell r="H129">
            <v>0</v>
          </cell>
          <cell r="I129">
            <v>0</v>
          </cell>
          <cell r="J129">
            <v>1626.8181818181818</v>
          </cell>
          <cell r="K129">
            <v>1626.8181818181818</v>
          </cell>
          <cell r="L129">
            <v>1626.8181818181818</v>
          </cell>
          <cell r="M129">
            <v>1626.8181818181818</v>
          </cell>
          <cell r="N129">
            <v>1626.8181818181818</v>
          </cell>
          <cell r="O129">
            <v>1626.8181818181818</v>
          </cell>
          <cell r="P129">
            <v>1626.8181818181818</v>
          </cell>
          <cell r="Q129">
            <v>1626.8181818181818</v>
          </cell>
          <cell r="R129">
            <v>1626.8181818181818</v>
          </cell>
        </row>
        <row r="131">
          <cell r="G131">
            <v>0</v>
          </cell>
          <cell r="H131">
            <v>0</v>
          </cell>
          <cell r="I131">
            <v>0</v>
          </cell>
          <cell r="J131">
            <v>70.947305442680346</v>
          </cell>
          <cell r="K131">
            <v>70.947305442680346</v>
          </cell>
          <cell r="L131">
            <v>70.947305442680346</v>
          </cell>
          <cell r="M131">
            <v>70.947305442680346</v>
          </cell>
          <cell r="N131">
            <v>70.947305442680346</v>
          </cell>
          <cell r="O131">
            <v>70.947305442680346</v>
          </cell>
          <cell r="P131">
            <v>70.947305442680346</v>
          </cell>
          <cell r="Q131">
            <v>70.947305442680346</v>
          </cell>
          <cell r="R131">
            <v>70.947305442680346</v>
          </cell>
        </row>
        <row r="132">
          <cell r="G132">
            <v>0</v>
          </cell>
          <cell r="H132">
            <v>0</v>
          </cell>
          <cell r="I132">
            <v>0</v>
          </cell>
          <cell r="J132">
            <v>771.09209678903289</v>
          </cell>
          <cell r="K132">
            <v>771.09209678903289</v>
          </cell>
          <cell r="L132">
            <v>771.09209678903289</v>
          </cell>
          <cell r="M132">
            <v>771.09209678903289</v>
          </cell>
          <cell r="N132">
            <v>771.09209678903289</v>
          </cell>
          <cell r="O132">
            <v>771.09209678903289</v>
          </cell>
          <cell r="P132">
            <v>771.09209678903289</v>
          </cell>
          <cell r="Q132">
            <v>771.09209678903289</v>
          </cell>
          <cell r="R132">
            <v>434.29324991570252</v>
          </cell>
        </row>
        <row r="134">
          <cell r="G134">
            <v>0</v>
          </cell>
          <cell r="H134">
            <v>0</v>
          </cell>
          <cell r="I134">
            <v>0</v>
          </cell>
          <cell r="J134">
            <v>61.732349301493727</v>
          </cell>
          <cell r="K134">
            <v>0</v>
          </cell>
          <cell r="L134">
            <v>0</v>
          </cell>
          <cell r="M134">
            <v>0</v>
          </cell>
          <cell r="N134">
            <v>0</v>
          </cell>
          <cell r="O134">
            <v>0</v>
          </cell>
          <cell r="P134">
            <v>0</v>
          </cell>
          <cell r="Q134">
            <v>0</v>
          </cell>
          <cell r="R134">
            <v>0</v>
          </cell>
        </row>
        <row r="135">
          <cell r="G135">
            <v>0</v>
          </cell>
          <cell r="H135">
            <v>0</v>
          </cell>
          <cell r="I135">
            <v>0</v>
          </cell>
          <cell r="J135">
            <v>587.65989659733634</v>
          </cell>
          <cell r="K135">
            <v>0</v>
          </cell>
          <cell r="L135">
            <v>0</v>
          </cell>
          <cell r="M135">
            <v>0</v>
          </cell>
          <cell r="N135">
            <v>0</v>
          </cell>
          <cell r="O135">
            <v>0</v>
          </cell>
          <cell r="P135">
            <v>0</v>
          </cell>
          <cell r="Q135">
            <v>0</v>
          </cell>
          <cell r="R135">
            <v>0</v>
          </cell>
        </row>
        <row r="136">
          <cell r="G136">
            <v>0</v>
          </cell>
          <cell r="H136">
            <v>0</v>
          </cell>
          <cell r="I136">
            <v>0</v>
          </cell>
          <cell r="J136">
            <v>11.224063509362496</v>
          </cell>
          <cell r="K136">
            <v>0</v>
          </cell>
          <cell r="L136">
            <v>0</v>
          </cell>
          <cell r="M136">
            <v>0</v>
          </cell>
          <cell r="N136">
            <v>0</v>
          </cell>
          <cell r="O136">
            <v>0</v>
          </cell>
          <cell r="P136">
            <v>0</v>
          </cell>
          <cell r="Q136">
            <v>0</v>
          </cell>
          <cell r="R136">
            <v>0</v>
          </cell>
        </row>
        <row r="138">
          <cell r="G138">
            <v>0</v>
          </cell>
          <cell r="H138">
            <v>0</v>
          </cell>
          <cell r="I138">
            <v>0</v>
          </cell>
          <cell r="J138">
            <v>35.9</v>
          </cell>
          <cell r="K138">
            <v>0</v>
          </cell>
          <cell r="L138">
            <v>0</v>
          </cell>
          <cell r="M138">
            <v>0</v>
          </cell>
          <cell r="N138">
            <v>0</v>
          </cell>
          <cell r="O138">
            <v>0</v>
          </cell>
          <cell r="P138">
            <v>0</v>
          </cell>
          <cell r="Q138">
            <v>0</v>
          </cell>
          <cell r="R138">
            <v>0</v>
          </cell>
        </row>
        <row r="143">
          <cell r="G143">
            <v>0</v>
          </cell>
          <cell r="H143">
            <v>0</v>
          </cell>
          <cell r="I143">
            <v>0</v>
          </cell>
          <cell r="J143">
            <v>0</v>
          </cell>
          <cell r="K143">
            <v>582.32824097760169</v>
          </cell>
          <cell r="L143">
            <v>582.32824097760169</v>
          </cell>
          <cell r="M143">
            <v>582.32824097760169</v>
          </cell>
          <cell r="N143">
            <v>580.17831161520292</v>
          </cell>
          <cell r="O143">
            <v>468.2037598656014</v>
          </cell>
          <cell r="P143">
            <v>0</v>
          </cell>
          <cell r="Q143">
            <v>0</v>
          </cell>
          <cell r="R143">
            <v>0</v>
          </cell>
        </row>
        <row r="144">
          <cell r="G144">
            <v>0</v>
          </cell>
          <cell r="H144">
            <v>0</v>
          </cell>
          <cell r="I144">
            <v>0</v>
          </cell>
          <cell r="J144">
            <v>0</v>
          </cell>
          <cell r="K144">
            <v>113.87353381425052</v>
          </cell>
          <cell r="L144">
            <v>113.87353381425052</v>
          </cell>
          <cell r="M144">
            <v>113.87353381425052</v>
          </cell>
          <cell r="N144">
            <v>113.87353381425052</v>
          </cell>
          <cell r="O144">
            <v>113.87353381425052</v>
          </cell>
          <cell r="P144">
            <v>113.87353381425052</v>
          </cell>
          <cell r="Q144">
            <v>113.87353381425052</v>
          </cell>
          <cell r="R144">
            <v>113.87353381425052</v>
          </cell>
        </row>
        <row r="145">
          <cell r="G145">
            <v>0</v>
          </cell>
          <cell r="H145">
            <v>0</v>
          </cell>
          <cell r="I145">
            <v>0</v>
          </cell>
          <cell r="J145">
            <v>0</v>
          </cell>
          <cell r="K145">
            <v>157.68846031757951</v>
          </cell>
          <cell r="L145">
            <v>138.59642949490618</v>
          </cell>
          <cell r="M145">
            <v>134.18547411630959</v>
          </cell>
          <cell r="N145">
            <v>134.18547411630959</v>
          </cell>
          <cell r="O145">
            <v>134.18547411630959</v>
          </cell>
          <cell r="P145">
            <v>69.067724633836093</v>
          </cell>
          <cell r="Q145">
            <v>52.73555671108371</v>
          </cell>
          <cell r="R145">
            <v>52.73555671108371</v>
          </cell>
        </row>
        <row r="147">
          <cell r="G147">
            <v>0</v>
          </cell>
          <cell r="H147">
            <v>0</v>
          </cell>
          <cell r="I147">
            <v>0</v>
          </cell>
          <cell r="J147">
            <v>0</v>
          </cell>
          <cell r="K147">
            <v>250.64543176874233</v>
          </cell>
          <cell r="L147">
            <v>250.64543176874233</v>
          </cell>
          <cell r="M147">
            <v>250.64543176874233</v>
          </cell>
          <cell r="N147">
            <v>250.64543176874233</v>
          </cell>
          <cell r="O147">
            <v>250.64543176874233</v>
          </cell>
          <cell r="P147">
            <v>250.64543176874233</v>
          </cell>
          <cell r="Q147">
            <v>250.64543176874233</v>
          </cell>
          <cell r="R147">
            <v>250.64543176874233</v>
          </cell>
        </row>
        <row r="149">
          <cell r="G149">
            <v>0</v>
          </cell>
          <cell r="H149">
            <v>0</v>
          </cell>
          <cell r="I149">
            <v>0</v>
          </cell>
          <cell r="J149">
            <v>0</v>
          </cell>
          <cell r="K149">
            <v>227.06175451037331</v>
          </cell>
          <cell r="L149">
            <v>227.06175451037331</v>
          </cell>
          <cell r="M149">
            <v>227.06175451037331</v>
          </cell>
          <cell r="N149">
            <v>227.06175451037331</v>
          </cell>
          <cell r="O149">
            <v>227.06175451037331</v>
          </cell>
          <cell r="P149">
            <v>227.06175451037331</v>
          </cell>
          <cell r="Q149">
            <v>227.06175451037331</v>
          </cell>
          <cell r="R149">
            <v>227.06175451037331</v>
          </cell>
        </row>
        <row r="150">
          <cell r="G150">
            <v>0</v>
          </cell>
          <cell r="H150">
            <v>0</v>
          </cell>
          <cell r="I150">
            <v>0</v>
          </cell>
          <cell r="J150">
            <v>0</v>
          </cell>
          <cell r="K150">
            <v>945.51375298103346</v>
          </cell>
          <cell r="L150">
            <v>945.51375298103346</v>
          </cell>
          <cell r="M150">
            <v>945.51375298103346</v>
          </cell>
          <cell r="N150">
            <v>945.51375298103346</v>
          </cell>
          <cell r="O150">
            <v>945.51375298103346</v>
          </cell>
          <cell r="P150">
            <v>945.51375298103346</v>
          </cell>
          <cell r="Q150">
            <v>945.51375298103346</v>
          </cell>
          <cell r="R150">
            <v>638.13051745588359</v>
          </cell>
        </row>
        <row r="151">
          <cell r="G151">
            <v>0</v>
          </cell>
          <cell r="H151">
            <v>0</v>
          </cell>
          <cell r="I151">
            <v>0</v>
          </cell>
          <cell r="J151">
            <v>0</v>
          </cell>
          <cell r="K151">
            <v>24.852732676546342</v>
          </cell>
          <cell r="L151">
            <v>24.852732676546342</v>
          </cell>
          <cell r="M151">
            <v>24.852732676546342</v>
          </cell>
          <cell r="N151">
            <v>24.852732676546342</v>
          </cell>
          <cell r="O151">
            <v>24.852732676546342</v>
          </cell>
          <cell r="P151">
            <v>24.852732676546342</v>
          </cell>
          <cell r="Q151">
            <v>24.852732676546342</v>
          </cell>
          <cell r="R151">
            <v>24.852732676546342</v>
          </cell>
        </row>
        <row r="152">
          <cell r="G152">
            <v>0</v>
          </cell>
          <cell r="H152">
            <v>0</v>
          </cell>
          <cell r="I152">
            <v>0</v>
          </cell>
          <cell r="J152">
            <v>0</v>
          </cell>
          <cell r="K152">
            <v>1073.0782493878808</v>
          </cell>
          <cell r="L152">
            <v>0</v>
          </cell>
          <cell r="M152">
            <v>0</v>
          </cell>
          <cell r="N152">
            <v>0</v>
          </cell>
          <cell r="O152">
            <v>0</v>
          </cell>
          <cell r="P152">
            <v>0</v>
          </cell>
          <cell r="Q152">
            <v>0</v>
          </cell>
          <cell r="R152">
            <v>0</v>
          </cell>
        </row>
        <row r="153">
          <cell r="G153">
            <v>0</v>
          </cell>
          <cell r="H153">
            <v>0</v>
          </cell>
          <cell r="I153">
            <v>0</v>
          </cell>
          <cell r="J153">
            <v>0</v>
          </cell>
          <cell r="K153">
            <v>38.032176631791891</v>
          </cell>
          <cell r="L153">
            <v>0</v>
          </cell>
          <cell r="M153">
            <v>0</v>
          </cell>
          <cell r="N153">
            <v>0</v>
          </cell>
          <cell r="O153">
            <v>0</v>
          </cell>
          <cell r="P153">
            <v>0</v>
          </cell>
          <cell r="Q153">
            <v>0</v>
          </cell>
          <cell r="R153">
            <v>0</v>
          </cell>
        </row>
        <row r="157">
          <cell r="G157">
            <v>3246.3104272902783</v>
          </cell>
        </row>
        <row r="159">
          <cell r="H159">
            <v>2799.7402774978773</v>
          </cell>
        </row>
        <row r="161">
          <cell r="I161">
            <v>3175.3617912018508</v>
          </cell>
        </row>
        <row r="163">
          <cell r="J163">
            <v>4614.94107255567</v>
          </cell>
        </row>
        <row r="165">
          <cell r="K165">
            <v>3413.0743330657997</v>
          </cell>
        </row>
        <row r="167">
          <cell r="H167">
            <v>6046.0507047881547</v>
          </cell>
          <cell r="I167">
            <v>8583.6396436959931</v>
          </cell>
          <cell r="J167">
            <v>12494.278496608016</v>
          </cell>
          <cell r="K167">
            <v>12510.027682630853</v>
          </cell>
          <cell r="L167">
            <v>10995.318197378258</v>
          </cell>
          <cell r="M167">
            <v>10739.336024144681</v>
          </cell>
          <cell r="N167">
            <v>10554.592963476254</v>
          </cell>
          <cell r="O167">
            <v>9656.7027444453415</v>
          </cell>
          <cell r="P167">
            <v>7906.283757181679</v>
          </cell>
          <cell r="Q167">
            <v>7162.5370154649299</v>
          </cell>
          <cell r="R167">
            <v>5735.8168029258513</v>
          </cell>
        </row>
      </sheetData>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1"/>
      <sheetName val="2012"/>
      <sheetName val="2013"/>
      <sheetName val="2014"/>
      <sheetName val="TOTAL PERSISTENCE"/>
    </sheetNames>
    <sheetDataSet>
      <sheetData sheetId="0">
        <row r="16">
          <cell r="AS16">
            <v>1968.5666043124309</v>
          </cell>
          <cell r="AT16">
            <v>1968.5666043124309</v>
          </cell>
          <cell r="AU16">
            <v>1292.127833017166</v>
          </cell>
          <cell r="AV16">
            <v>0</v>
          </cell>
          <cell r="AW16">
            <v>0</v>
          </cell>
          <cell r="AX16">
            <v>0</v>
          </cell>
        </row>
        <row r="17">
          <cell r="AS17">
            <v>309783.06078400864</v>
          </cell>
          <cell r="AT17">
            <v>309783.06078400864</v>
          </cell>
          <cell r="AU17">
            <v>308772.5023423261</v>
          </cell>
          <cell r="AV17">
            <v>219589.88672205005</v>
          </cell>
          <cell r="AW17">
            <v>0</v>
          </cell>
          <cell r="AX17">
            <v>0</v>
          </cell>
        </row>
        <row r="18">
          <cell r="AS18">
            <v>256790.7225936504</v>
          </cell>
          <cell r="AT18">
            <v>256790.7225936504</v>
          </cell>
          <cell r="AU18">
            <v>256790.7225936504</v>
          </cell>
          <cell r="AV18">
            <v>234687.80914563985</v>
          </cell>
          <cell r="AW18">
            <v>210541.30724353463</v>
          </cell>
          <cell r="AX18">
            <v>158734.72398830962</v>
          </cell>
        </row>
        <row r="19">
          <cell r="AS19">
            <v>166902.00350839252</v>
          </cell>
          <cell r="AT19">
            <v>166902.00350839252</v>
          </cell>
          <cell r="AU19">
            <v>166902.00350839252</v>
          </cell>
          <cell r="AV19">
            <v>153448.45702906101</v>
          </cell>
          <cell r="AW19">
            <v>138751.0242034134</v>
          </cell>
          <cell r="AX19">
            <v>109187.96256188773</v>
          </cell>
        </row>
        <row r="20">
          <cell r="AS20">
            <v>352544.5101604904</v>
          </cell>
          <cell r="AT20">
            <v>352544.5101604904</v>
          </cell>
          <cell r="AU20">
            <v>352544.5101604904</v>
          </cell>
          <cell r="AV20">
            <v>352544.5101604904</v>
          </cell>
          <cell r="AW20">
            <v>352544.5101604904</v>
          </cell>
          <cell r="AX20">
            <v>352544.5101604904</v>
          </cell>
        </row>
        <row r="22">
          <cell r="AS22">
            <v>295710.79623582261</v>
          </cell>
          <cell r="AT22">
            <v>295710.79623582261</v>
          </cell>
          <cell r="AU22">
            <v>170939.22460999314</v>
          </cell>
          <cell r="AV22">
            <v>170939.22460999314</v>
          </cell>
          <cell r="AW22">
            <v>170939.22460999314</v>
          </cell>
          <cell r="AX22">
            <v>41529.655445965058</v>
          </cell>
        </row>
        <row r="25">
          <cell r="AS25">
            <v>109094.06251893996</v>
          </cell>
          <cell r="AT25">
            <v>109094.06251893996</v>
          </cell>
          <cell r="AU25">
            <v>109094.06251893996</v>
          </cell>
          <cell r="AV25">
            <v>109094.06251893996</v>
          </cell>
          <cell r="AW25">
            <v>109094.06251893996</v>
          </cell>
          <cell r="AX25">
            <v>109094.06251893996</v>
          </cell>
        </row>
        <row r="26">
          <cell r="AS26">
            <v>85316.578947600035</v>
          </cell>
          <cell r="AT26">
            <v>85316.578947600035</v>
          </cell>
          <cell r="AU26">
            <v>85316.578947600035</v>
          </cell>
          <cell r="AV26">
            <v>85316.578947600035</v>
          </cell>
          <cell r="AW26">
            <v>85316.578947600035</v>
          </cell>
        </row>
        <row r="27">
          <cell r="AS27">
            <v>2726.5629938465586</v>
          </cell>
          <cell r="AT27">
            <v>2726.5629938465586</v>
          </cell>
          <cell r="AU27">
            <v>2726.5629938465586</v>
          </cell>
          <cell r="AV27">
            <v>2726.5629938465586</v>
          </cell>
          <cell r="AW27">
            <v>2726.5629938465586</v>
          </cell>
          <cell r="AX27">
            <v>2726.5629938465586</v>
          </cell>
        </row>
        <row r="36">
          <cell r="AS36">
            <v>170541.26434474444</v>
          </cell>
          <cell r="AT36">
            <v>170541.26434474444</v>
          </cell>
          <cell r="AU36">
            <v>170541.26434474444</v>
          </cell>
          <cell r="AV36">
            <v>170541.26434474444</v>
          </cell>
          <cell r="AW36">
            <v>170541.26434474444</v>
          </cell>
          <cell r="AX36">
            <v>170541.26434474444</v>
          </cell>
        </row>
        <row r="37">
          <cell r="AS37">
            <v>350226.54286302102</v>
          </cell>
          <cell r="AT37">
            <v>350226.54286302102</v>
          </cell>
          <cell r="AU37">
            <v>350226.54286302102</v>
          </cell>
          <cell r="AV37">
            <v>350226.54286302102</v>
          </cell>
          <cell r="AW37">
            <v>350226.54286302102</v>
          </cell>
          <cell r="AX37">
            <v>350226.54286302102</v>
          </cell>
        </row>
        <row r="38">
          <cell r="AS38">
            <v>55874.086606729477</v>
          </cell>
          <cell r="AT38">
            <v>55874.086606729477</v>
          </cell>
          <cell r="AU38">
            <v>55874.086606729477</v>
          </cell>
          <cell r="AV38">
            <v>55874.086606729477</v>
          </cell>
          <cell r="AW38">
            <v>55874.086606729477</v>
          </cell>
          <cell r="AX38">
            <v>55874.086606729477</v>
          </cell>
        </row>
      </sheetData>
      <sheetData sheetId="1">
        <row r="23">
          <cell r="AT23">
            <v>788017.72809903859</v>
          </cell>
          <cell r="AU23">
            <v>786042.71502941102</v>
          </cell>
          <cell r="AV23">
            <v>617973.63127805677</v>
          </cell>
          <cell r="AW23">
            <v>617973.63127805677</v>
          </cell>
          <cell r="AX23">
            <v>309590.17678037396</v>
          </cell>
        </row>
        <row r="25">
          <cell r="AT25">
            <v>100705.0178502523</v>
          </cell>
          <cell r="AU25">
            <v>100705.0178502523</v>
          </cell>
          <cell r="AV25">
            <v>100705.0178502523</v>
          </cell>
          <cell r="AW25">
            <v>0</v>
          </cell>
          <cell r="AX25">
            <v>0</v>
          </cell>
        </row>
        <row r="26">
          <cell r="AT26">
            <v>11971.198425996685</v>
          </cell>
          <cell r="AU26">
            <v>11971.198425996685</v>
          </cell>
          <cell r="AV26">
            <v>11954.586471888253</v>
          </cell>
          <cell r="AW26">
            <v>0</v>
          </cell>
          <cell r="AX26">
            <v>0</v>
          </cell>
        </row>
        <row r="27">
          <cell r="AT27">
            <v>173730.69740103834</v>
          </cell>
          <cell r="AU27">
            <v>173730.69740103834</v>
          </cell>
          <cell r="AV27">
            <v>173628.21234603837</v>
          </cell>
          <cell r="AW27">
            <v>107107.44552681581</v>
          </cell>
          <cell r="AX27">
            <v>0</v>
          </cell>
        </row>
        <row r="28">
          <cell r="AT28">
            <v>234021.02487097622</v>
          </cell>
          <cell r="AU28">
            <v>234021.02487097622</v>
          </cell>
          <cell r="AV28">
            <v>234021.02487097622</v>
          </cell>
          <cell r="AW28">
            <v>210370.01398197483</v>
          </cell>
          <cell r="AX28">
            <v>171060.86939158515</v>
          </cell>
        </row>
        <row r="29">
          <cell r="AT29">
            <v>12217.631634725787</v>
          </cell>
          <cell r="AU29">
            <v>12217.631634725787</v>
          </cell>
          <cell r="AV29">
            <v>12217.631634725787</v>
          </cell>
          <cell r="AW29">
            <v>12034.080174996086</v>
          </cell>
          <cell r="AX29">
            <v>12034.080174996086</v>
          </cell>
        </row>
        <row r="30">
          <cell r="AT30">
            <v>151972.44716716939</v>
          </cell>
          <cell r="AU30">
            <v>151972.44716716939</v>
          </cell>
          <cell r="AV30">
            <v>151972.44716716939</v>
          </cell>
          <cell r="AW30">
            <v>151972.44716716939</v>
          </cell>
          <cell r="AX30">
            <v>151972.44716716939</v>
          </cell>
        </row>
        <row r="32">
          <cell r="AT32">
            <v>35281.134394595683</v>
          </cell>
          <cell r="AU32">
            <v>35281.134394595683</v>
          </cell>
          <cell r="AV32">
            <v>35281.134394595683</v>
          </cell>
          <cell r="AW32">
            <v>35281.134394595683</v>
          </cell>
          <cell r="AX32">
            <v>35281.134394595683</v>
          </cell>
        </row>
        <row r="34">
          <cell r="AR34">
            <v>75528.763387689221</v>
          </cell>
          <cell r="AS34">
            <v>75528.763387689221</v>
          </cell>
          <cell r="AT34">
            <v>75528.763387689221</v>
          </cell>
          <cell r="AU34">
            <v>75528.763387689221</v>
          </cell>
          <cell r="AV34">
            <v>75528.763387689221</v>
          </cell>
          <cell r="AW34">
            <v>0</v>
          </cell>
          <cell r="AX34">
            <v>0</v>
          </cell>
        </row>
        <row r="36">
          <cell r="AS36">
            <v>-73921.61856742177</v>
          </cell>
          <cell r="AT36">
            <v>-73921.61856742177</v>
          </cell>
          <cell r="AU36">
            <v>-73921.61856742177</v>
          </cell>
          <cell r="AV36">
            <v>-73921.61856742177</v>
          </cell>
          <cell r="AW36">
            <v>-73921.61856742177</v>
          </cell>
          <cell r="AX36">
            <v>-73921.61856742177</v>
          </cell>
        </row>
        <row r="37">
          <cell r="AS37">
            <v>19078.693181615501</v>
          </cell>
          <cell r="AT37">
            <v>19078.693181615501</v>
          </cell>
          <cell r="AU37">
            <v>19078.693181615501</v>
          </cell>
          <cell r="AV37">
            <v>19078.693181615501</v>
          </cell>
          <cell r="AW37">
            <v>17337.0634616801</v>
          </cell>
          <cell r="AX37">
            <v>9360.092549684854</v>
          </cell>
        </row>
        <row r="38">
          <cell r="AS38">
            <v>2408.7029360796728</v>
          </cell>
          <cell r="AT38">
            <v>2408.7029360796728</v>
          </cell>
          <cell r="AU38">
            <v>2408.7029360796728</v>
          </cell>
          <cell r="AV38">
            <v>2408.7029360796728</v>
          </cell>
          <cell r="AW38">
            <v>2200.7855748839243</v>
          </cell>
          <cell r="AX38">
            <v>1350.1629249336227</v>
          </cell>
        </row>
        <row r="50">
          <cell r="AT50">
            <v>403993.88372434629</v>
          </cell>
          <cell r="AU50">
            <v>403388.56005087082</v>
          </cell>
          <cell r="AV50">
            <v>396960.99083658255</v>
          </cell>
          <cell r="AW50">
            <v>396960.99083658255</v>
          </cell>
          <cell r="AX50">
            <v>348837.86218680826</v>
          </cell>
        </row>
        <row r="51">
          <cell r="AT51">
            <v>830411.76099472237</v>
          </cell>
          <cell r="AU51">
            <v>829167.51468824723</v>
          </cell>
          <cell r="AV51">
            <v>815955.60905010521</v>
          </cell>
          <cell r="AW51">
            <v>815955.60905010521</v>
          </cell>
          <cell r="AX51">
            <v>717038.24020721053</v>
          </cell>
        </row>
        <row r="60">
          <cell r="AS60">
            <v>6309.9761936993</v>
          </cell>
          <cell r="AT60">
            <v>6309.9761936993</v>
          </cell>
          <cell r="AU60">
            <v>6309.9761936993</v>
          </cell>
          <cell r="AV60">
            <v>6309.9761936993</v>
          </cell>
          <cell r="AW60">
            <v>6309.9761936993</v>
          </cell>
          <cell r="AX60">
            <v>5502.873928661872</v>
          </cell>
        </row>
        <row r="61">
          <cell r="AS61">
            <v>12958.069912652329</v>
          </cell>
          <cell r="AT61">
            <v>12958.069912652329</v>
          </cell>
          <cell r="AU61">
            <v>12958.069912652329</v>
          </cell>
          <cell r="AV61">
            <v>12958.069912652329</v>
          </cell>
          <cell r="AW61">
            <v>12958.069912652329</v>
          </cell>
          <cell r="AX61">
            <v>11300.617133756243</v>
          </cell>
        </row>
        <row r="62">
          <cell r="AS62">
            <v>2067.7316324965714</v>
          </cell>
          <cell r="AT62">
            <v>2067.7316324965714</v>
          </cell>
          <cell r="AU62">
            <v>2067.7316324965714</v>
          </cell>
          <cell r="AV62">
            <v>2067.7316324965714</v>
          </cell>
          <cell r="AW62">
            <v>2067.7316324965714</v>
          </cell>
          <cell r="AX62">
            <v>1803.2503043825384</v>
          </cell>
        </row>
      </sheetData>
      <sheetData sheetId="2">
        <row r="22">
          <cell r="AT22">
            <v>7293.5653883819996</v>
          </cell>
          <cell r="AU22">
            <v>7293.5653883819996</v>
          </cell>
          <cell r="AV22">
            <v>7293.5653883819996</v>
          </cell>
          <cell r="AW22">
            <v>7293.5653883819996</v>
          </cell>
          <cell r="AX22">
            <v>7293.5653883819996</v>
          </cell>
        </row>
        <row r="23">
          <cell r="AT23">
            <v>72.525773140160339</v>
          </cell>
          <cell r="AU23">
            <v>72.525773140160339</v>
          </cell>
          <cell r="AV23">
            <v>72.525773140160339</v>
          </cell>
          <cell r="AW23">
            <v>72.525773140160339</v>
          </cell>
          <cell r="AX23">
            <v>72.525773140160339</v>
          </cell>
        </row>
        <row r="27">
          <cell r="AU27">
            <v>884903.746770225</v>
          </cell>
          <cell r="AV27">
            <v>855393.36968486803</v>
          </cell>
          <cell r="AW27">
            <v>672700.58686808101</v>
          </cell>
          <cell r="AX27">
            <v>320768.99172723398</v>
          </cell>
        </row>
        <row r="28">
          <cell r="AU28">
            <v>67349.565252703003</v>
          </cell>
          <cell r="AV28">
            <v>64754.190648106996</v>
          </cell>
          <cell r="AW28">
            <v>54860.162218764002</v>
          </cell>
          <cell r="AX28">
            <v>54860.162218764002</v>
          </cell>
        </row>
        <row r="29">
          <cell r="AU29">
            <v>36574.547919999997</v>
          </cell>
          <cell r="AV29">
            <v>36574.547919999997</v>
          </cell>
          <cell r="AW29">
            <v>36574.547919999997</v>
          </cell>
          <cell r="AX29">
            <v>0</v>
          </cell>
        </row>
        <row r="30">
          <cell r="AU30">
            <v>115005.44062606902</v>
          </cell>
          <cell r="AV30">
            <v>115005.44062606902</v>
          </cell>
          <cell r="AW30">
            <v>114800.35158940201</v>
          </cell>
          <cell r="AX30">
            <v>68544.608482690004</v>
          </cell>
        </row>
        <row r="31">
          <cell r="AU31">
            <v>150119.217489509</v>
          </cell>
          <cell r="AV31">
            <v>141074.17317886901</v>
          </cell>
          <cell r="AW31">
            <v>110205.732856059</v>
          </cell>
          <cell r="AX31">
            <v>110205.732856059</v>
          </cell>
        </row>
        <row r="32">
          <cell r="AU32">
            <v>90158.950141907</v>
          </cell>
          <cell r="AV32">
            <v>89789.186943053995</v>
          </cell>
          <cell r="AW32">
            <v>83411.698635100998</v>
          </cell>
          <cell r="AX32">
            <v>80957.048236846997</v>
          </cell>
        </row>
        <row r="33">
          <cell r="AU33">
            <v>144494.29136703297</v>
          </cell>
          <cell r="AV33">
            <v>144494.29136703297</v>
          </cell>
          <cell r="AW33">
            <v>144494.29136703297</v>
          </cell>
          <cell r="AX33">
            <v>144494.29136703297</v>
          </cell>
        </row>
        <row r="37">
          <cell r="AU37">
            <v>53.437366664295304</v>
          </cell>
          <cell r="AV37">
            <v>53.437366664295304</v>
          </cell>
          <cell r="AW37">
            <v>53.437366664295304</v>
          </cell>
          <cell r="AX37">
            <v>28.865052521404543</v>
          </cell>
        </row>
        <row r="46">
          <cell r="AU46">
            <v>561326.32830964937</v>
          </cell>
          <cell r="AV46">
            <v>560387.43252661871</v>
          </cell>
          <cell r="AW46">
            <v>556413.96682346973</v>
          </cell>
          <cell r="AX46">
            <v>540833.18280367716</v>
          </cell>
        </row>
        <row r="47">
          <cell r="AU47">
            <v>937935.61858397536</v>
          </cell>
          <cell r="AV47">
            <v>936366.791766793</v>
          </cell>
          <cell r="AW47">
            <v>929727.41851054796</v>
          </cell>
          <cell r="AX47">
            <v>903693.05746136187</v>
          </cell>
        </row>
        <row r="48">
          <cell r="AU48">
            <v>4417540.8703704849</v>
          </cell>
          <cell r="AV48">
            <v>4410151.9233616283</v>
          </cell>
          <cell r="AW48">
            <v>4378881.437272842</v>
          </cell>
          <cell r="AX48">
            <v>4256263.3687295113</v>
          </cell>
        </row>
      </sheetData>
      <sheetData sheetId="3">
        <row r="37">
          <cell r="AR37">
            <v>3666.1218570000001</v>
          </cell>
          <cell r="AS37">
            <v>3666.1218570000001</v>
          </cell>
          <cell r="AT37">
            <v>3666.1218570000001</v>
          </cell>
          <cell r="AU37">
            <v>3666.1218570000001</v>
          </cell>
          <cell r="AV37">
            <v>0</v>
          </cell>
          <cell r="AW37">
            <v>0</v>
          </cell>
          <cell r="AX37">
            <v>0</v>
          </cell>
        </row>
        <row r="38">
          <cell r="AT38">
            <v>3416.239051</v>
          </cell>
          <cell r="AU38">
            <v>3416.239051</v>
          </cell>
          <cell r="AV38">
            <v>3416.239051</v>
          </cell>
          <cell r="AW38">
            <v>0</v>
          </cell>
          <cell r="AX38">
            <v>0</v>
          </cell>
        </row>
        <row r="40">
          <cell r="AT40">
            <v>47644.84</v>
          </cell>
          <cell r="AU40">
            <v>47644.84</v>
          </cell>
          <cell r="AV40">
            <v>47644.84</v>
          </cell>
          <cell r="AW40">
            <v>47644.84</v>
          </cell>
          <cell r="AX40">
            <v>47644.84</v>
          </cell>
        </row>
        <row r="43">
          <cell r="AU43">
            <v>206</v>
          </cell>
          <cell r="AV43">
            <v>196</v>
          </cell>
          <cell r="AW43">
            <v>169</v>
          </cell>
          <cell r="AX43">
            <v>169</v>
          </cell>
        </row>
        <row r="44">
          <cell r="AU44">
            <v>25794.698349999999</v>
          </cell>
          <cell r="AV44">
            <v>25739.59029</v>
          </cell>
          <cell r="AW44">
            <v>25054.86837</v>
          </cell>
          <cell r="AX44">
            <v>24932.939640000001</v>
          </cell>
        </row>
        <row r="45">
          <cell r="AU45">
            <v>13710.5853572</v>
          </cell>
          <cell r="AV45">
            <v>13710.5853572</v>
          </cell>
          <cell r="AW45">
            <v>13710.5853572</v>
          </cell>
          <cell r="AX45">
            <v>13710.5853572</v>
          </cell>
        </row>
        <row r="46">
          <cell r="AU46">
            <v>1320951.92</v>
          </cell>
          <cell r="AV46">
            <v>1320951.92</v>
          </cell>
          <cell r="AW46">
            <v>1320951.92</v>
          </cell>
          <cell r="AX46">
            <v>1320951.92</v>
          </cell>
        </row>
        <row r="57">
          <cell r="AV57">
            <v>931629.0368</v>
          </cell>
          <cell r="AW57">
            <v>857465.98569999996</v>
          </cell>
          <cell r="AX57">
            <v>857465.98569999996</v>
          </cell>
        </row>
        <row r="58">
          <cell r="AV58">
            <v>229102.0031</v>
          </cell>
          <cell r="AW58">
            <v>220921.79399999999</v>
          </cell>
          <cell r="AX58">
            <v>220921.79399999999</v>
          </cell>
        </row>
        <row r="75">
          <cell r="AU75">
            <v>24813.123604231871</v>
          </cell>
          <cell r="AV75">
            <v>24813.123604231871</v>
          </cell>
          <cell r="AW75">
            <v>24813.123604231871</v>
          </cell>
          <cell r="AX75">
            <v>24803.080249445255</v>
          </cell>
        </row>
        <row r="76">
          <cell r="AU76">
            <v>41462.049267679598</v>
          </cell>
          <cell r="AV76">
            <v>41462.049267679598</v>
          </cell>
          <cell r="AW76">
            <v>41462.049267679598</v>
          </cell>
          <cell r="AX76">
            <v>41445.26709717913</v>
          </cell>
        </row>
        <row r="77">
          <cell r="AU77">
            <v>195279.21492808848</v>
          </cell>
          <cell r="AV77">
            <v>195279.21492808848</v>
          </cell>
          <cell r="AW77">
            <v>195279.21492808848</v>
          </cell>
          <cell r="AX77">
            <v>195200.17375337559</v>
          </cell>
        </row>
        <row r="80">
          <cell r="AT80">
            <v>7999.514302713641</v>
          </cell>
          <cell r="AU80">
            <v>7999.514302713641</v>
          </cell>
          <cell r="AV80">
            <v>7999.514302713641</v>
          </cell>
          <cell r="AW80">
            <v>7999.514302713641</v>
          </cell>
          <cell r="AX80">
            <v>7999.514302713641</v>
          </cell>
        </row>
        <row r="81">
          <cell r="AT81">
            <v>16442.48569728636</v>
          </cell>
          <cell r="AU81">
            <v>16442.48569728636</v>
          </cell>
          <cell r="AV81">
            <v>16442.48569728636</v>
          </cell>
          <cell r="AW81">
            <v>16442.48569728636</v>
          </cell>
          <cell r="AX81">
            <v>16442.48569728636</v>
          </cell>
        </row>
      </sheetData>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46">
          <cell r="B46">
            <v>2205575.5279999999</v>
          </cell>
          <cell r="C46">
            <v>5070742.0270000007</v>
          </cell>
          <cell r="D46">
            <v>14169444.5472572</v>
          </cell>
          <cell r="E46">
            <v>25552823.544257201</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1"/>
      <sheetName val="2012"/>
      <sheetName val="2013"/>
      <sheetName val="2014"/>
      <sheetName val="Summary"/>
      <sheetName val="Sheet2"/>
    </sheetNames>
    <sheetDataSet>
      <sheetData sheetId="0"/>
      <sheetData sheetId="1"/>
      <sheetData sheetId="2"/>
      <sheetData sheetId="3"/>
      <sheetData sheetId="4">
        <row r="6">
          <cell r="Q6">
            <v>16.069800243930956</v>
          </cell>
          <cell r="R6">
            <v>57941.85008648863</v>
          </cell>
          <cell r="Z6">
            <v>0.28980024393095682</v>
          </cell>
          <cell r="AA6">
            <v>2067.85008648863</v>
          </cell>
        </row>
        <row r="7">
          <cell r="Q7">
            <v>76.341679065247362</v>
          </cell>
          <cell r="R7">
            <v>363184.81224066357</v>
          </cell>
          <cell r="Z7">
            <v>2.2216790652473719</v>
          </cell>
          <cell r="AA7">
            <v>12958.812240663567</v>
          </cell>
        </row>
        <row r="8">
          <cell r="Q8">
            <v>40.588520690821696</v>
          </cell>
          <cell r="R8">
            <v>176851.33767284785</v>
          </cell>
          <cell r="Z8">
            <v>0.88852069082169294</v>
          </cell>
          <cell r="AA8">
            <v>6310.337672847847</v>
          </cell>
        </row>
        <row r="21">
          <cell r="Q21">
            <v>195.65137299504426</v>
          </cell>
          <cell r="R21">
            <v>846854.48569728632</v>
          </cell>
          <cell r="Z21">
            <v>3.3613729950442632</v>
          </cell>
          <cell r="AA21">
            <v>16442.48569728632</v>
          </cell>
        </row>
        <row r="22">
          <cell r="Q22">
            <v>90.348627004955716</v>
          </cell>
          <cell r="R22">
            <v>411993.51430271362</v>
          </cell>
          <cell r="Z22">
            <v>1.6386270049557226</v>
          </cell>
          <cell r="AA22">
            <v>7999.5143027136219</v>
          </cell>
        </row>
        <row r="33">
          <cell r="Q33">
            <v>297.51719282704767</v>
          </cell>
          <cell r="R33">
            <v>4666997.6497738436</v>
          </cell>
          <cell r="Z33">
            <v>39.567192827047677</v>
          </cell>
          <cell r="AA33">
            <v>197872.64977384359</v>
          </cell>
        </row>
        <row r="34">
          <cell r="Q34">
            <v>227.38554384570369</v>
          </cell>
          <cell r="R34">
            <v>990900.69221955142</v>
          </cell>
          <cell r="Z34">
            <v>8.4055438457037042</v>
          </cell>
          <cell r="AA34">
            <v>42012.69221955142</v>
          </cell>
        </row>
        <row r="35">
          <cell r="Q35">
            <v>153.09726332724864</v>
          </cell>
          <cell r="R35">
            <v>593023.65800660511</v>
          </cell>
          <cell r="Z35">
            <v>5.0272633272486473</v>
          </cell>
          <cell r="AA35">
            <v>25142.65800660511</v>
          </cell>
        </row>
        <row r="46">
          <cell r="Q46">
            <v>356.14942095431837</v>
          </cell>
          <cell r="R46">
            <v>3535167.9750264171</v>
          </cell>
        </row>
        <row r="47">
          <cell r="Q47">
            <v>197.41201647988211</v>
          </cell>
          <cell r="R47">
            <v>921387.29804359528</v>
          </cell>
        </row>
        <row r="48">
          <cell r="Q48">
            <v>153.91565097241732</v>
          </cell>
          <cell r="R48">
            <v>671589.12958096189</v>
          </cell>
        </row>
        <row r="49">
          <cell r="Q49">
            <v>46.52291159338219</v>
          </cell>
          <cell r="R49">
            <v>261486.59734902583</v>
          </cell>
        </row>
      </sheetData>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Input"/>
      <sheetName val="Transformer Allowance"/>
      <sheetName val="Forecast Data For 2017"/>
      <sheetName val="2016 Existing Rates"/>
      <sheetName val="2017 Test Yr On Existing Rates"/>
      <sheetName val="Cost Allocation Study"/>
      <sheetName val="Rates By Rate Class"/>
      <sheetName val="Res Rate Design"/>
      <sheetName val="Allocation Low Voltage Costs"/>
      <sheetName val="Low Voltage Rates"/>
      <sheetName val="BILL IMPACTS"/>
      <sheetName val="Distribution Rate Schedule"/>
      <sheetName val="Rate Schedule "/>
      <sheetName val="Dist. Rev. Reconciliation"/>
      <sheetName val="Revenue Deficiency Analysis"/>
      <sheetName val="Appendix 2-O Table a"/>
      <sheetName val="Appendix 2-O Table b"/>
      <sheetName val="Appendix 2-O Table c"/>
      <sheetName val="Appendix 2-O Table d"/>
      <sheetName val="Sheet1"/>
    </sheetNames>
    <sheetDataSet>
      <sheetData sheetId="0"/>
      <sheetData sheetId="1"/>
      <sheetData sheetId="2"/>
      <sheetData sheetId="3"/>
      <sheetData sheetId="4"/>
      <sheetData sheetId="5">
        <row r="5">
          <cell r="K5">
            <v>13647271.687413689</v>
          </cell>
        </row>
        <row r="6">
          <cell r="K6">
            <v>4138939.0859018187</v>
          </cell>
        </row>
        <row r="7">
          <cell r="K7">
            <v>3338589.3743503205</v>
          </cell>
        </row>
        <row r="8">
          <cell r="K8">
            <v>1841510.7510384421</v>
          </cell>
        </row>
        <row r="9">
          <cell r="K9">
            <v>0</v>
          </cell>
        </row>
        <row r="10">
          <cell r="K10">
            <v>342389.54917053913</v>
          </cell>
        </row>
        <row r="11">
          <cell r="K11">
            <v>69873.099803902063</v>
          </cell>
        </row>
        <row r="12">
          <cell r="K12">
            <v>18049.234586068778</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ibit 3 Tables"/>
      <sheetName val="Summary"/>
      <sheetName val="Stats Sum"/>
      <sheetName val="Purchased Power Model "/>
      <sheetName val="Residential"/>
      <sheetName val="GS &lt; 50 kW"/>
      <sheetName val="GS &gt; 50 kW"/>
      <sheetName val="GS &gt; 1000  kW"/>
      <sheetName val="Rate Class Energy Model"/>
      <sheetName val="Rate Class Customer Model"/>
      <sheetName val="Rate Class Load Model"/>
      <sheetName val="CDM Activity"/>
      <sheetName val="Weather Data"/>
      <sheetName val="Weather Analysis - Thunder Bay"/>
    </sheetNames>
    <sheetDataSet>
      <sheetData sheetId="0"/>
      <sheetData sheetId="1">
        <row r="12">
          <cell r="O12">
            <v>44881.009746844953</v>
          </cell>
        </row>
        <row r="13">
          <cell r="O13">
            <v>339721062.06603348</v>
          </cell>
        </row>
        <row r="16">
          <cell r="O16">
            <v>4491.6613249112725</v>
          </cell>
        </row>
        <row r="17">
          <cell r="O17">
            <v>131404393.92510152</v>
          </cell>
        </row>
        <row r="20">
          <cell r="O20">
            <v>514.84096429896726</v>
          </cell>
        </row>
        <row r="21">
          <cell r="O21">
            <v>288398369.19726437</v>
          </cell>
        </row>
        <row r="22">
          <cell r="O22">
            <v>783588.88270761597</v>
          </cell>
        </row>
        <row r="25">
          <cell r="O25">
            <v>19.000000000000004</v>
          </cell>
        </row>
        <row r="26">
          <cell r="O26">
            <v>183532884.44497463</v>
          </cell>
        </row>
        <row r="27">
          <cell r="O27">
            <v>568916.77287365973</v>
          </cell>
        </row>
        <row r="30">
          <cell r="O30">
            <v>13216.809308754411</v>
          </cell>
        </row>
        <row r="31">
          <cell r="O31">
            <v>11183615.245140083</v>
          </cell>
        </row>
        <row r="32">
          <cell r="O32">
            <v>31502.017268989308</v>
          </cell>
        </row>
        <row r="35">
          <cell r="O35">
            <v>168.67175619551304</v>
          </cell>
        </row>
        <row r="36">
          <cell r="O36">
            <v>122482.69142151311</v>
          </cell>
        </row>
        <row r="37">
          <cell r="O37">
            <v>340.22969839309201</v>
          </cell>
        </row>
        <row r="40">
          <cell r="O40">
            <v>475.32528689516721</v>
          </cell>
        </row>
        <row r="41">
          <cell r="O41">
            <v>2024906.7886311996</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3 Support (2)"/>
      <sheetName val="Exhibit 3 Support"/>
      <sheetName val="Sandra's SS"/>
      <sheetName val="2006-15 kWh Monthly"/>
      <sheetName val="Sheet2"/>
      <sheetName val="Sheet3"/>
    </sheetNames>
    <sheetDataSet>
      <sheetData sheetId="0">
        <row r="12">
          <cell r="N12">
            <v>-9976817.1699999999</v>
          </cell>
        </row>
        <row r="35">
          <cell r="N35">
            <v>-2756484.6999999997</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3 Support (2)"/>
      <sheetName val="Exhibit 3 Support"/>
      <sheetName val="Sandra's SS"/>
      <sheetName val="2006-15 kWh Monthly"/>
      <sheetName val="Sheet2"/>
      <sheetName val="Sheet3"/>
    </sheetNames>
    <sheetDataSet>
      <sheetData sheetId="0">
        <row r="12">
          <cell r="M12">
            <v>-10735425.589999998</v>
          </cell>
        </row>
        <row r="20">
          <cell r="M20">
            <v>-375337.86</v>
          </cell>
          <cell r="N20">
            <v>-488549.24000000005</v>
          </cell>
        </row>
        <row r="25">
          <cell r="M25">
            <v>-14794.84</v>
          </cell>
          <cell r="N25">
            <v>-14806.31</v>
          </cell>
        </row>
        <row r="30">
          <cell r="M30">
            <v>-3455311.94</v>
          </cell>
          <cell r="N30">
            <v>-3506048.57</v>
          </cell>
        </row>
        <row r="35">
          <cell r="M35">
            <v>-2903420.02</v>
          </cell>
          <cell r="N35">
            <v>-2756484.6999999997</v>
          </cell>
        </row>
        <row r="40">
          <cell r="M40">
            <v>-1548554.02</v>
          </cell>
          <cell r="N40">
            <v>-1485927.19</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D593"/>
  <sheetViews>
    <sheetView tabSelected="1" topLeftCell="AT553" zoomScaleNormal="100" workbookViewId="0">
      <selection activeCell="BA572" sqref="BA572"/>
    </sheetView>
  </sheetViews>
  <sheetFormatPr defaultRowHeight="12.75"/>
  <cols>
    <col min="1" max="1" width="9.140625" style="72"/>
    <col min="2" max="2" width="6" style="72" customWidth="1"/>
    <col min="3" max="4" width="9.140625" style="72"/>
    <col min="5" max="5" width="10" style="72" customWidth="1"/>
    <col min="6" max="6" width="3" style="72" hidden="1" customWidth="1"/>
    <col min="7" max="7" width="10.85546875" style="72" customWidth="1"/>
    <col min="8" max="8" width="10" style="72" customWidth="1"/>
    <col min="9" max="9" width="13.140625" style="72" customWidth="1"/>
    <col min="10" max="10" width="10" style="72" customWidth="1"/>
    <col min="11" max="11" width="11.7109375" style="72" customWidth="1"/>
    <col min="12" max="12" width="10" style="72" customWidth="1"/>
    <col min="13" max="13" width="12" style="72" customWidth="1"/>
    <col min="14" max="14" width="10.28515625" style="72" customWidth="1"/>
    <col min="15" max="15" width="10" style="72" customWidth="1"/>
    <col min="16" max="16" width="29.28515625" style="72" customWidth="1"/>
    <col min="17" max="17" width="11.140625" style="72" bestFit="1" customWidth="1"/>
    <col min="18" max="18" width="11" style="72" customWidth="1"/>
    <col min="19" max="22" width="11.140625" style="72" bestFit="1" customWidth="1"/>
    <col min="23" max="23" width="15.28515625" style="72" customWidth="1"/>
    <col min="24" max="24" width="23.7109375" style="72" customWidth="1"/>
    <col min="25" max="25" width="28.7109375" style="72" customWidth="1"/>
    <col min="26" max="26" width="14.28515625" style="72" bestFit="1" customWidth="1"/>
    <col min="27" max="27" width="14.140625" style="72" bestFit="1" customWidth="1"/>
    <col min="28" max="28" width="11.5703125" style="72" customWidth="1"/>
    <col min="29" max="29" width="13.5703125" style="417" customWidth="1"/>
    <col min="30" max="30" width="27.42578125" style="72" customWidth="1"/>
    <col min="31" max="31" width="20" style="72" customWidth="1"/>
    <col min="32" max="32" width="10.42578125" style="72" customWidth="1"/>
    <col min="33" max="33" width="10.28515625" style="72" bestFit="1" customWidth="1"/>
    <col min="34" max="37" width="11.42578125" style="72" bestFit="1" customWidth="1"/>
    <col min="38" max="38" width="15.5703125" style="72" customWidth="1"/>
    <col min="39" max="39" width="10.42578125" style="72" customWidth="1"/>
    <col min="40" max="51" width="9.140625" style="72"/>
    <col min="52" max="52" width="27.28515625" style="72" bestFit="1" customWidth="1"/>
    <col min="53" max="53" width="10.85546875" style="72" bestFit="1" customWidth="1"/>
    <col min="54" max="54" width="12.28515625" style="72" bestFit="1" customWidth="1"/>
    <col min="55" max="55" width="12.85546875" style="72" customWidth="1"/>
    <col min="56" max="56" width="11.7109375" style="72" customWidth="1"/>
    <col min="57" max="57" width="17" style="72" customWidth="1"/>
    <col min="58" max="58" width="10.85546875" style="72" bestFit="1" customWidth="1"/>
    <col min="59" max="59" width="12.28515625" style="72" bestFit="1" customWidth="1"/>
    <col min="60" max="60" width="9.5703125" style="72" bestFit="1" customWidth="1"/>
    <col min="61" max="61" width="32.7109375" style="72" customWidth="1"/>
    <col min="62" max="62" width="10.85546875" style="72" bestFit="1" customWidth="1"/>
    <col min="63" max="63" width="11" style="72" customWidth="1"/>
    <col min="64" max="64" width="14.140625" style="72" customWidth="1"/>
    <col min="65" max="67" width="9.140625" style="72"/>
    <col min="68" max="68" width="27.28515625" style="72" bestFit="1" customWidth="1"/>
    <col min="69" max="69" width="14" style="72" customWidth="1"/>
    <col min="70" max="71" width="12.5703125" style="72" customWidth="1"/>
    <col min="72" max="254" width="9.140625" style="72"/>
    <col min="255" max="255" width="23" style="72" customWidth="1"/>
    <col min="256" max="256" width="0" style="72" hidden="1" customWidth="1"/>
    <col min="257" max="257" width="15.7109375" style="72" customWidth="1"/>
    <col min="258" max="258" width="15.85546875" style="72" customWidth="1"/>
    <col min="259" max="259" width="15.140625" style="72" customWidth="1"/>
    <col min="260" max="260" width="13.140625" style="72" customWidth="1"/>
    <col min="261" max="261" width="14" style="72" customWidth="1"/>
    <col min="262" max="262" width="12.5703125" style="72" customWidth="1"/>
    <col min="263" max="263" width="14.140625" style="72" customWidth="1"/>
    <col min="264" max="265" width="13.140625" style="72" customWidth="1"/>
    <col min="266" max="266" width="11.140625" style="72" customWidth="1"/>
    <col min="267" max="267" width="10.140625" style="72" bestFit="1" customWidth="1"/>
    <col min="268" max="268" width="11" style="72" customWidth="1"/>
    <col min="269" max="510" width="9.140625" style="72"/>
    <col min="511" max="511" width="23" style="72" customWidth="1"/>
    <col min="512" max="512" width="0" style="72" hidden="1" customWidth="1"/>
    <col min="513" max="513" width="15.7109375" style="72" customWidth="1"/>
    <col min="514" max="514" width="15.85546875" style="72" customWidth="1"/>
    <col min="515" max="515" width="15.140625" style="72" customWidth="1"/>
    <col min="516" max="516" width="13.140625" style="72" customWidth="1"/>
    <col min="517" max="517" width="14" style="72" customWidth="1"/>
    <col min="518" max="518" width="12.5703125" style="72" customWidth="1"/>
    <col min="519" max="519" width="14.140625" style="72" customWidth="1"/>
    <col min="520" max="521" width="13.140625" style="72" customWidth="1"/>
    <col min="522" max="522" width="11.140625" style="72" customWidth="1"/>
    <col min="523" max="523" width="10.140625" style="72" bestFit="1" customWidth="1"/>
    <col min="524" max="524" width="11" style="72" customWidth="1"/>
    <col min="525" max="766" width="9.140625" style="72"/>
    <col min="767" max="767" width="23" style="72" customWidth="1"/>
    <col min="768" max="768" width="0" style="72" hidden="1" customWidth="1"/>
    <col min="769" max="769" width="15.7109375" style="72" customWidth="1"/>
    <col min="770" max="770" width="15.85546875" style="72" customWidth="1"/>
    <col min="771" max="771" width="15.140625" style="72" customWidth="1"/>
    <col min="772" max="772" width="13.140625" style="72" customWidth="1"/>
    <col min="773" max="773" width="14" style="72" customWidth="1"/>
    <col min="774" max="774" width="12.5703125" style="72" customWidth="1"/>
    <col min="775" max="775" width="14.140625" style="72" customWidth="1"/>
    <col min="776" max="777" width="13.140625" style="72" customWidth="1"/>
    <col min="778" max="778" width="11.140625" style="72" customWidth="1"/>
    <col min="779" max="779" width="10.140625" style="72" bestFit="1" customWidth="1"/>
    <col min="780" max="780" width="11" style="72" customWidth="1"/>
    <col min="781" max="1022" width="9.140625" style="72"/>
    <col min="1023" max="1023" width="23" style="72" customWidth="1"/>
    <col min="1024" max="1024" width="0" style="72" hidden="1" customWidth="1"/>
    <col min="1025" max="1025" width="15.7109375" style="72" customWidth="1"/>
    <col min="1026" max="1026" width="15.85546875" style="72" customWidth="1"/>
    <col min="1027" max="1027" width="15.140625" style="72" customWidth="1"/>
    <col min="1028" max="1028" width="13.140625" style="72" customWidth="1"/>
    <col min="1029" max="1029" width="14" style="72" customWidth="1"/>
    <col min="1030" max="1030" width="12.5703125" style="72" customWidth="1"/>
    <col min="1031" max="1031" width="14.140625" style="72" customWidth="1"/>
    <col min="1032" max="1033" width="13.140625" style="72" customWidth="1"/>
    <col min="1034" max="1034" width="11.140625" style="72" customWidth="1"/>
    <col min="1035" max="1035" width="10.140625" style="72" bestFit="1" customWidth="1"/>
    <col min="1036" max="1036" width="11" style="72" customWidth="1"/>
    <col min="1037" max="1278" width="9.140625" style="72"/>
    <col min="1279" max="1279" width="23" style="72" customWidth="1"/>
    <col min="1280" max="1280" width="0" style="72" hidden="1" customWidth="1"/>
    <col min="1281" max="1281" width="15.7109375" style="72" customWidth="1"/>
    <col min="1282" max="1282" width="15.85546875" style="72" customWidth="1"/>
    <col min="1283" max="1283" width="15.140625" style="72" customWidth="1"/>
    <col min="1284" max="1284" width="13.140625" style="72" customWidth="1"/>
    <col min="1285" max="1285" width="14" style="72" customWidth="1"/>
    <col min="1286" max="1286" width="12.5703125" style="72" customWidth="1"/>
    <col min="1287" max="1287" width="14.140625" style="72" customWidth="1"/>
    <col min="1288" max="1289" width="13.140625" style="72" customWidth="1"/>
    <col min="1290" max="1290" width="11.140625" style="72" customWidth="1"/>
    <col min="1291" max="1291" width="10.140625" style="72" bestFit="1" customWidth="1"/>
    <col min="1292" max="1292" width="11" style="72" customWidth="1"/>
    <col min="1293" max="1534" width="9.140625" style="72"/>
    <col min="1535" max="1535" width="23" style="72" customWidth="1"/>
    <col min="1536" max="1536" width="0" style="72" hidden="1" customWidth="1"/>
    <col min="1537" max="1537" width="15.7109375" style="72" customWidth="1"/>
    <col min="1538" max="1538" width="15.85546875" style="72" customWidth="1"/>
    <col min="1539" max="1539" width="15.140625" style="72" customWidth="1"/>
    <col min="1540" max="1540" width="13.140625" style="72" customWidth="1"/>
    <col min="1541" max="1541" width="14" style="72" customWidth="1"/>
    <col min="1542" max="1542" width="12.5703125" style="72" customWidth="1"/>
    <col min="1543" max="1543" width="14.140625" style="72" customWidth="1"/>
    <col min="1544" max="1545" width="13.140625" style="72" customWidth="1"/>
    <col min="1546" max="1546" width="11.140625" style="72" customWidth="1"/>
    <col min="1547" max="1547" width="10.140625" style="72" bestFit="1" customWidth="1"/>
    <col min="1548" max="1548" width="11" style="72" customWidth="1"/>
    <col min="1549" max="1790" width="9.140625" style="72"/>
    <col min="1791" max="1791" width="23" style="72" customWidth="1"/>
    <col min="1792" max="1792" width="0" style="72" hidden="1" customWidth="1"/>
    <col min="1793" max="1793" width="15.7109375" style="72" customWidth="1"/>
    <col min="1794" max="1794" width="15.85546875" style="72" customWidth="1"/>
    <col min="1795" max="1795" width="15.140625" style="72" customWidth="1"/>
    <col min="1796" max="1796" width="13.140625" style="72" customWidth="1"/>
    <col min="1797" max="1797" width="14" style="72" customWidth="1"/>
    <col min="1798" max="1798" width="12.5703125" style="72" customWidth="1"/>
    <col min="1799" max="1799" width="14.140625" style="72" customWidth="1"/>
    <col min="1800" max="1801" width="13.140625" style="72" customWidth="1"/>
    <col min="1802" max="1802" width="11.140625" style="72" customWidth="1"/>
    <col min="1803" max="1803" width="10.140625" style="72" bestFit="1" customWidth="1"/>
    <col min="1804" max="1804" width="11" style="72" customWidth="1"/>
    <col min="1805" max="2046" width="9.140625" style="72"/>
    <col min="2047" max="2047" width="23" style="72" customWidth="1"/>
    <col min="2048" max="2048" width="0" style="72" hidden="1" customWidth="1"/>
    <col min="2049" max="2049" width="15.7109375" style="72" customWidth="1"/>
    <col min="2050" max="2050" width="15.85546875" style="72" customWidth="1"/>
    <col min="2051" max="2051" width="15.140625" style="72" customWidth="1"/>
    <col min="2052" max="2052" width="13.140625" style="72" customWidth="1"/>
    <col min="2053" max="2053" width="14" style="72" customWidth="1"/>
    <col min="2054" max="2054" width="12.5703125" style="72" customWidth="1"/>
    <col min="2055" max="2055" width="14.140625" style="72" customWidth="1"/>
    <col min="2056" max="2057" width="13.140625" style="72" customWidth="1"/>
    <col min="2058" max="2058" width="11.140625" style="72" customWidth="1"/>
    <col min="2059" max="2059" width="10.140625" style="72" bestFit="1" customWidth="1"/>
    <col min="2060" max="2060" width="11" style="72" customWidth="1"/>
    <col min="2061" max="2302" width="9.140625" style="72"/>
    <col min="2303" max="2303" width="23" style="72" customWidth="1"/>
    <col min="2304" max="2304" width="0" style="72" hidden="1" customWidth="1"/>
    <col min="2305" max="2305" width="15.7109375" style="72" customWidth="1"/>
    <col min="2306" max="2306" width="15.85546875" style="72" customWidth="1"/>
    <col min="2307" max="2307" width="15.140625" style="72" customWidth="1"/>
    <col min="2308" max="2308" width="13.140625" style="72" customWidth="1"/>
    <col min="2309" max="2309" width="14" style="72" customWidth="1"/>
    <col min="2310" max="2310" width="12.5703125" style="72" customWidth="1"/>
    <col min="2311" max="2311" width="14.140625" style="72" customWidth="1"/>
    <col min="2312" max="2313" width="13.140625" style="72" customWidth="1"/>
    <col min="2314" max="2314" width="11.140625" style="72" customWidth="1"/>
    <col min="2315" max="2315" width="10.140625" style="72" bestFit="1" customWidth="1"/>
    <col min="2316" max="2316" width="11" style="72" customWidth="1"/>
    <col min="2317" max="2558" width="9.140625" style="72"/>
    <col min="2559" max="2559" width="23" style="72" customWidth="1"/>
    <col min="2560" max="2560" width="0" style="72" hidden="1" customWidth="1"/>
    <col min="2561" max="2561" width="15.7109375" style="72" customWidth="1"/>
    <col min="2562" max="2562" width="15.85546875" style="72" customWidth="1"/>
    <col min="2563" max="2563" width="15.140625" style="72" customWidth="1"/>
    <col min="2564" max="2564" width="13.140625" style="72" customWidth="1"/>
    <col min="2565" max="2565" width="14" style="72" customWidth="1"/>
    <col min="2566" max="2566" width="12.5703125" style="72" customWidth="1"/>
    <col min="2567" max="2567" width="14.140625" style="72" customWidth="1"/>
    <col min="2568" max="2569" width="13.140625" style="72" customWidth="1"/>
    <col min="2570" max="2570" width="11.140625" style="72" customWidth="1"/>
    <col min="2571" max="2571" width="10.140625" style="72" bestFit="1" customWidth="1"/>
    <col min="2572" max="2572" width="11" style="72" customWidth="1"/>
    <col min="2573" max="2814" width="9.140625" style="72"/>
    <col min="2815" max="2815" width="23" style="72" customWidth="1"/>
    <col min="2816" max="2816" width="0" style="72" hidden="1" customWidth="1"/>
    <col min="2817" max="2817" width="15.7109375" style="72" customWidth="1"/>
    <col min="2818" max="2818" width="15.85546875" style="72" customWidth="1"/>
    <col min="2819" max="2819" width="15.140625" style="72" customWidth="1"/>
    <col min="2820" max="2820" width="13.140625" style="72" customWidth="1"/>
    <col min="2821" max="2821" width="14" style="72" customWidth="1"/>
    <col min="2822" max="2822" width="12.5703125" style="72" customWidth="1"/>
    <col min="2823" max="2823" width="14.140625" style="72" customWidth="1"/>
    <col min="2824" max="2825" width="13.140625" style="72" customWidth="1"/>
    <col min="2826" max="2826" width="11.140625" style="72" customWidth="1"/>
    <col min="2827" max="2827" width="10.140625" style="72" bestFit="1" customWidth="1"/>
    <col min="2828" max="2828" width="11" style="72" customWidth="1"/>
    <col min="2829" max="3070" width="9.140625" style="72"/>
    <col min="3071" max="3071" width="23" style="72" customWidth="1"/>
    <col min="3072" max="3072" width="0" style="72" hidden="1" customWidth="1"/>
    <col min="3073" max="3073" width="15.7109375" style="72" customWidth="1"/>
    <col min="3074" max="3074" width="15.85546875" style="72" customWidth="1"/>
    <col min="3075" max="3075" width="15.140625" style="72" customWidth="1"/>
    <col min="3076" max="3076" width="13.140625" style="72" customWidth="1"/>
    <col min="3077" max="3077" width="14" style="72" customWidth="1"/>
    <col min="3078" max="3078" width="12.5703125" style="72" customWidth="1"/>
    <col min="3079" max="3079" width="14.140625" style="72" customWidth="1"/>
    <col min="3080" max="3081" width="13.140625" style="72" customWidth="1"/>
    <col min="3082" max="3082" width="11.140625" style="72" customWidth="1"/>
    <col min="3083" max="3083" width="10.140625" style="72" bestFit="1" customWidth="1"/>
    <col min="3084" max="3084" width="11" style="72" customWidth="1"/>
    <col min="3085" max="3326" width="9.140625" style="72"/>
    <col min="3327" max="3327" width="23" style="72" customWidth="1"/>
    <col min="3328" max="3328" width="0" style="72" hidden="1" customWidth="1"/>
    <col min="3329" max="3329" width="15.7109375" style="72" customWidth="1"/>
    <col min="3330" max="3330" width="15.85546875" style="72" customWidth="1"/>
    <col min="3331" max="3331" width="15.140625" style="72" customWidth="1"/>
    <col min="3332" max="3332" width="13.140625" style="72" customWidth="1"/>
    <col min="3333" max="3333" width="14" style="72" customWidth="1"/>
    <col min="3334" max="3334" width="12.5703125" style="72" customWidth="1"/>
    <col min="3335" max="3335" width="14.140625" style="72" customWidth="1"/>
    <col min="3336" max="3337" width="13.140625" style="72" customWidth="1"/>
    <col min="3338" max="3338" width="11.140625" style="72" customWidth="1"/>
    <col min="3339" max="3339" width="10.140625" style="72" bestFit="1" customWidth="1"/>
    <col min="3340" max="3340" width="11" style="72" customWidth="1"/>
    <col min="3341" max="3582" width="9.140625" style="72"/>
    <col min="3583" max="3583" width="23" style="72" customWidth="1"/>
    <col min="3584" max="3584" width="0" style="72" hidden="1" customWidth="1"/>
    <col min="3585" max="3585" width="15.7109375" style="72" customWidth="1"/>
    <col min="3586" max="3586" width="15.85546875" style="72" customWidth="1"/>
    <col min="3587" max="3587" width="15.140625" style="72" customWidth="1"/>
    <col min="3588" max="3588" width="13.140625" style="72" customWidth="1"/>
    <col min="3589" max="3589" width="14" style="72" customWidth="1"/>
    <col min="3590" max="3590" width="12.5703125" style="72" customWidth="1"/>
    <col min="3591" max="3591" width="14.140625" style="72" customWidth="1"/>
    <col min="3592" max="3593" width="13.140625" style="72" customWidth="1"/>
    <col min="3594" max="3594" width="11.140625" style="72" customWidth="1"/>
    <col min="3595" max="3595" width="10.140625" style="72" bestFit="1" customWidth="1"/>
    <col min="3596" max="3596" width="11" style="72" customWidth="1"/>
    <col min="3597" max="3838" width="9.140625" style="72"/>
    <col min="3839" max="3839" width="23" style="72" customWidth="1"/>
    <col min="3840" max="3840" width="0" style="72" hidden="1" customWidth="1"/>
    <col min="3841" max="3841" width="15.7109375" style="72" customWidth="1"/>
    <col min="3842" max="3842" width="15.85546875" style="72" customWidth="1"/>
    <col min="3843" max="3843" width="15.140625" style="72" customWidth="1"/>
    <col min="3844" max="3844" width="13.140625" style="72" customWidth="1"/>
    <col min="3845" max="3845" width="14" style="72" customWidth="1"/>
    <col min="3846" max="3846" width="12.5703125" style="72" customWidth="1"/>
    <col min="3847" max="3847" width="14.140625" style="72" customWidth="1"/>
    <col min="3848" max="3849" width="13.140625" style="72" customWidth="1"/>
    <col min="3850" max="3850" width="11.140625" style="72" customWidth="1"/>
    <col min="3851" max="3851" width="10.140625" style="72" bestFit="1" customWidth="1"/>
    <col min="3852" max="3852" width="11" style="72" customWidth="1"/>
    <col min="3853" max="4094" width="9.140625" style="72"/>
    <col min="4095" max="4095" width="23" style="72" customWidth="1"/>
    <col min="4096" max="4096" width="0" style="72" hidden="1" customWidth="1"/>
    <col min="4097" max="4097" width="15.7109375" style="72" customWidth="1"/>
    <col min="4098" max="4098" width="15.85546875" style="72" customWidth="1"/>
    <col min="4099" max="4099" width="15.140625" style="72" customWidth="1"/>
    <col min="4100" max="4100" width="13.140625" style="72" customWidth="1"/>
    <col min="4101" max="4101" width="14" style="72" customWidth="1"/>
    <col min="4102" max="4102" width="12.5703125" style="72" customWidth="1"/>
    <col min="4103" max="4103" width="14.140625" style="72" customWidth="1"/>
    <col min="4104" max="4105" width="13.140625" style="72" customWidth="1"/>
    <col min="4106" max="4106" width="11.140625" style="72" customWidth="1"/>
    <col min="4107" max="4107" width="10.140625" style="72" bestFit="1" customWidth="1"/>
    <col min="4108" max="4108" width="11" style="72" customWidth="1"/>
    <col min="4109" max="4350" width="9.140625" style="72"/>
    <col min="4351" max="4351" width="23" style="72" customWidth="1"/>
    <col min="4352" max="4352" width="0" style="72" hidden="1" customWidth="1"/>
    <col min="4353" max="4353" width="15.7109375" style="72" customWidth="1"/>
    <col min="4354" max="4354" width="15.85546875" style="72" customWidth="1"/>
    <col min="4355" max="4355" width="15.140625" style="72" customWidth="1"/>
    <col min="4356" max="4356" width="13.140625" style="72" customWidth="1"/>
    <col min="4357" max="4357" width="14" style="72" customWidth="1"/>
    <col min="4358" max="4358" width="12.5703125" style="72" customWidth="1"/>
    <col min="4359" max="4359" width="14.140625" style="72" customWidth="1"/>
    <col min="4360" max="4361" width="13.140625" style="72" customWidth="1"/>
    <col min="4362" max="4362" width="11.140625" style="72" customWidth="1"/>
    <col min="4363" max="4363" width="10.140625" style="72" bestFit="1" customWidth="1"/>
    <col min="4364" max="4364" width="11" style="72" customWidth="1"/>
    <col min="4365" max="4606" width="9.140625" style="72"/>
    <col min="4607" max="4607" width="23" style="72" customWidth="1"/>
    <col min="4608" max="4608" width="0" style="72" hidden="1" customWidth="1"/>
    <col min="4609" max="4609" width="15.7109375" style="72" customWidth="1"/>
    <col min="4610" max="4610" width="15.85546875" style="72" customWidth="1"/>
    <col min="4611" max="4611" width="15.140625" style="72" customWidth="1"/>
    <col min="4612" max="4612" width="13.140625" style="72" customWidth="1"/>
    <col min="4613" max="4613" width="14" style="72" customWidth="1"/>
    <col min="4614" max="4614" width="12.5703125" style="72" customWidth="1"/>
    <col min="4615" max="4615" width="14.140625" style="72" customWidth="1"/>
    <col min="4616" max="4617" width="13.140625" style="72" customWidth="1"/>
    <col min="4618" max="4618" width="11.140625" style="72" customWidth="1"/>
    <col min="4619" max="4619" width="10.140625" style="72" bestFit="1" customWidth="1"/>
    <col min="4620" max="4620" width="11" style="72" customWidth="1"/>
    <col min="4621" max="4862" width="9.140625" style="72"/>
    <col min="4863" max="4863" width="23" style="72" customWidth="1"/>
    <col min="4864" max="4864" width="0" style="72" hidden="1" customWidth="1"/>
    <col min="4865" max="4865" width="15.7109375" style="72" customWidth="1"/>
    <col min="4866" max="4866" width="15.85546875" style="72" customWidth="1"/>
    <col min="4867" max="4867" width="15.140625" style="72" customWidth="1"/>
    <col min="4868" max="4868" width="13.140625" style="72" customWidth="1"/>
    <col min="4869" max="4869" width="14" style="72" customWidth="1"/>
    <col min="4870" max="4870" width="12.5703125" style="72" customWidth="1"/>
    <col min="4871" max="4871" width="14.140625" style="72" customWidth="1"/>
    <col min="4872" max="4873" width="13.140625" style="72" customWidth="1"/>
    <col min="4874" max="4874" width="11.140625" style="72" customWidth="1"/>
    <col min="4875" max="4875" width="10.140625" style="72" bestFit="1" customWidth="1"/>
    <col min="4876" max="4876" width="11" style="72" customWidth="1"/>
    <col min="4877" max="5118" width="9.140625" style="72"/>
    <col min="5119" max="5119" width="23" style="72" customWidth="1"/>
    <col min="5120" max="5120" width="0" style="72" hidden="1" customWidth="1"/>
    <col min="5121" max="5121" width="15.7109375" style="72" customWidth="1"/>
    <col min="5122" max="5122" width="15.85546875" style="72" customWidth="1"/>
    <col min="5123" max="5123" width="15.140625" style="72" customWidth="1"/>
    <col min="5124" max="5124" width="13.140625" style="72" customWidth="1"/>
    <col min="5125" max="5125" width="14" style="72" customWidth="1"/>
    <col min="5126" max="5126" width="12.5703125" style="72" customWidth="1"/>
    <col min="5127" max="5127" width="14.140625" style="72" customWidth="1"/>
    <col min="5128" max="5129" width="13.140625" style="72" customWidth="1"/>
    <col min="5130" max="5130" width="11.140625" style="72" customWidth="1"/>
    <col min="5131" max="5131" width="10.140625" style="72" bestFit="1" customWidth="1"/>
    <col min="5132" max="5132" width="11" style="72" customWidth="1"/>
    <col min="5133" max="5374" width="9.140625" style="72"/>
    <col min="5375" max="5375" width="23" style="72" customWidth="1"/>
    <col min="5376" max="5376" width="0" style="72" hidden="1" customWidth="1"/>
    <col min="5377" max="5377" width="15.7109375" style="72" customWidth="1"/>
    <col min="5378" max="5378" width="15.85546875" style="72" customWidth="1"/>
    <col min="5379" max="5379" width="15.140625" style="72" customWidth="1"/>
    <col min="5380" max="5380" width="13.140625" style="72" customWidth="1"/>
    <col min="5381" max="5381" width="14" style="72" customWidth="1"/>
    <col min="5382" max="5382" width="12.5703125" style="72" customWidth="1"/>
    <col min="5383" max="5383" width="14.140625" style="72" customWidth="1"/>
    <col min="5384" max="5385" width="13.140625" style="72" customWidth="1"/>
    <col min="5386" max="5386" width="11.140625" style="72" customWidth="1"/>
    <col min="5387" max="5387" width="10.140625" style="72" bestFit="1" customWidth="1"/>
    <col min="5388" max="5388" width="11" style="72" customWidth="1"/>
    <col min="5389" max="5630" width="9.140625" style="72"/>
    <col min="5631" max="5631" width="23" style="72" customWidth="1"/>
    <col min="5632" max="5632" width="0" style="72" hidden="1" customWidth="1"/>
    <col min="5633" max="5633" width="15.7109375" style="72" customWidth="1"/>
    <col min="5634" max="5634" width="15.85546875" style="72" customWidth="1"/>
    <col min="5635" max="5635" width="15.140625" style="72" customWidth="1"/>
    <col min="5636" max="5636" width="13.140625" style="72" customWidth="1"/>
    <col min="5637" max="5637" width="14" style="72" customWidth="1"/>
    <col min="5638" max="5638" width="12.5703125" style="72" customWidth="1"/>
    <col min="5639" max="5639" width="14.140625" style="72" customWidth="1"/>
    <col min="5640" max="5641" width="13.140625" style="72" customWidth="1"/>
    <col min="5642" max="5642" width="11.140625" style="72" customWidth="1"/>
    <col min="5643" max="5643" width="10.140625" style="72" bestFit="1" customWidth="1"/>
    <col min="5644" max="5644" width="11" style="72" customWidth="1"/>
    <col min="5645" max="5886" width="9.140625" style="72"/>
    <col min="5887" max="5887" width="23" style="72" customWidth="1"/>
    <col min="5888" max="5888" width="0" style="72" hidden="1" customWidth="1"/>
    <col min="5889" max="5889" width="15.7109375" style="72" customWidth="1"/>
    <col min="5890" max="5890" width="15.85546875" style="72" customWidth="1"/>
    <col min="5891" max="5891" width="15.140625" style="72" customWidth="1"/>
    <col min="5892" max="5892" width="13.140625" style="72" customWidth="1"/>
    <col min="5893" max="5893" width="14" style="72" customWidth="1"/>
    <col min="5894" max="5894" width="12.5703125" style="72" customWidth="1"/>
    <col min="5895" max="5895" width="14.140625" style="72" customWidth="1"/>
    <col min="5896" max="5897" width="13.140625" style="72" customWidth="1"/>
    <col min="5898" max="5898" width="11.140625" style="72" customWidth="1"/>
    <col min="5899" max="5899" width="10.140625" style="72" bestFit="1" customWidth="1"/>
    <col min="5900" max="5900" width="11" style="72" customWidth="1"/>
    <col min="5901" max="6142" width="9.140625" style="72"/>
    <col min="6143" max="6143" width="23" style="72" customWidth="1"/>
    <col min="6144" max="6144" width="0" style="72" hidden="1" customWidth="1"/>
    <col min="6145" max="6145" width="15.7109375" style="72" customWidth="1"/>
    <col min="6146" max="6146" width="15.85546875" style="72" customWidth="1"/>
    <col min="6147" max="6147" width="15.140625" style="72" customWidth="1"/>
    <col min="6148" max="6148" width="13.140625" style="72" customWidth="1"/>
    <col min="6149" max="6149" width="14" style="72" customWidth="1"/>
    <col min="6150" max="6150" width="12.5703125" style="72" customWidth="1"/>
    <col min="6151" max="6151" width="14.140625" style="72" customWidth="1"/>
    <col min="6152" max="6153" width="13.140625" style="72" customWidth="1"/>
    <col min="6154" max="6154" width="11.140625" style="72" customWidth="1"/>
    <col min="6155" max="6155" width="10.140625" style="72" bestFit="1" customWidth="1"/>
    <col min="6156" max="6156" width="11" style="72" customWidth="1"/>
    <col min="6157" max="6398" width="9.140625" style="72"/>
    <col min="6399" max="6399" width="23" style="72" customWidth="1"/>
    <col min="6400" max="6400" width="0" style="72" hidden="1" customWidth="1"/>
    <col min="6401" max="6401" width="15.7109375" style="72" customWidth="1"/>
    <col min="6402" max="6402" width="15.85546875" style="72" customWidth="1"/>
    <col min="6403" max="6403" width="15.140625" style="72" customWidth="1"/>
    <col min="6404" max="6404" width="13.140625" style="72" customWidth="1"/>
    <col min="6405" max="6405" width="14" style="72" customWidth="1"/>
    <col min="6406" max="6406" width="12.5703125" style="72" customWidth="1"/>
    <col min="6407" max="6407" width="14.140625" style="72" customWidth="1"/>
    <col min="6408" max="6409" width="13.140625" style="72" customWidth="1"/>
    <col min="6410" max="6410" width="11.140625" style="72" customWidth="1"/>
    <col min="6411" max="6411" width="10.140625" style="72" bestFit="1" customWidth="1"/>
    <col min="6412" max="6412" width="11" style="72" customWidth="1"/>
    <col min="6413" max="6654" width="9.140625" style="72"/>
    <col min="6655" max="6655" width="23" style="72" customWidth="1"/>
    <col min="6656" max="6656" width="0" style="72" hidden="1" customWidth="1"/>
    <col min="6657" max="6657" width="15.7109375" style="72" customWidth="1"/>
    <col min="6658" max="6658" width="15.85546875" style="72" customWidth="1"/>
    <col min="6659" max="6659" width="15.140625" style="72" customWidth="1"/>
    <col min="6660" max="6660" width="13.140625" style="72" customWidth="1"/>
    <col min="6661" max="6661" width="14" style="72" customWidth="1"/>
    <col min="6662" max="6662" width="12.5703125" style="72" customWidth="1"/>
    <col min="6663" max="6663" width="14.140625" style="72" customWidth="1"/>
    <col min="6664" max="6665" width="13.140625" style="72" customWidth="1"/>
    <col min="6666" max="6666" width="11.140625" style="72" customWidth="1"/>
    <col min="6667" max="6667" width="10.140625" style="72" bestFit="1" customWidth="1"/>
    <col min="6668" max="6668" width="11" style="72" customWidth="1"/>
    <col min="6669" max="6910" width="9.140625" style="72"/>
    <col min="6911" max="6911" width="23" style="72" customWidth="1"/>
    <col min="6912" max="6912" width="0" style="72" hidden="1" customWidth="1"/>
    <col min="6913" max="6913" width="15.7109375" style="72" customWidth="1"/>
    <col min="6914" max="6914" width="15.85546875" style="72" customWidth="1"/>
    <col min="6915" max="6915" width="15.140625" style="72" customWidth="1"/>
    <col min="6916" max="6916" width="13.140625" style="72" customWidth="1"/>
    <col min="6917" max="6917" width="14" style="72" customWidth="1"/>
    <col min="6918" max="6918" width="12.5703125" style="72" customWidth="1"/>
    <col min="6919" max="6919" width="14.140625" style="72" customWidth="1"/>
    <col min="6920" max="6921" width="13.140625" style="72" customWidth="1"/>
    <col min="6922" max="6922" width="11.140625" style="72" customWidth="1"/>
    <col min="6923" max="6923" width="10.140625" style="72" bestFit="1" customWidth="1"/>
    <col min="6924" max="6924" width="11" style="72" customWidth="1"/>
    <col min="6925" max="7166" width="9.140625" style="72"/>
    <col min="7167" max="7167" width="23" style="72" customWidth="1"/>
    <col min="7168" max="7168" width="0" style="72" hidden="1" customWidth="1"/>
    <col min="7169" max="7169" width="15.7109375" style="72" customWidth="1"/>
    <col min="7170" max="7170" width="15.85546875" style="72" customWidth="1"/>
    <col min="7171" max="7171" width="15.140625" style="72" customWidth="1"/>
    <col min="7172" max="7172" width="13.140625" style="72" customWidth="1"/>
    <col min="7173" max="7173" width="14" style="72" customWidth="1"/>
    <col min="7174" max="7174" width="12.5703125" style="72" customWidth="1"/>
    <col min="7175" max="7175" width="14.140625" style="72" customWidth="1"/>
    <col min="7176" max="7177" width="13.140625" style="72" customWidth="1"/>
    <col min="7178" max="7178" width="11.140625" style="72" customWidth="1"/>
    <col min="7179" max="7179" width="10.140625" style="72" bestFit="1" customWidth="1"/>
    <col min="7180" max="7180" width="11" style="72" customWidth="1"/>
    <col min="7181" max="7422" width="9.140625" style="72"/>
    <col min="7423" max="7423" width="23" style="72" customWidth="1"/>
    <col min="7424" max="7424" width="0" style="72" hidden="1" customWidth="1"/>
    <col min="7425" max="7425" width="15.7109375" style="72" customWidth="1"/>
    <col min="7426" max="7426" width="15.85546875" style="72" customWidth="1"/>
    <col min="7427" max="7427" width="15.140625" style="72" customWidth="1"/>
    <col min="7428" max="7428" width="13.140625" style="72" customWidth="1"/>
    <col min="7429" max="7429" width="14" style="72" customWidth="1"/>
    <col min="7430" max="7430" width="12.5703125" style="72" customWidth="1"/>
    <col min="7431" max="7431" width="14.140625" style="72" customWidth="1"/>
    <col min="7432" max="7433" width="13.140625" style="72" customWidth="1"/>
    <col min="7434" max="7434" width="11.140625" style="72" customWidth="1"/>
    <col min="7435" max="7435" width="10.140625" style="72" bestFit="1" customWidth="1"/>
    <col min="7436" max="7436" width="11" style="72" customWidth="1"/>
    <col min="7437" max="7678" width="9.140625" style="72"/>
    <col min="7679" max="7679" width="23" style="72" customWidth="1"/>
    <col min="7680" max="7680" width="0" style="72" hidden="1" customWidth="1"/>
    <col min="7681" max="7681" width="15.7109375" style="72" customWidth="1"/>
    <col min="7682" max="7682" width="15.85546875" style="72" customWidth="1"/>
    <col min="7683" max="7683" width="15.140625" style="72" customWidth="1"/>
    <col min="7684" max="7684" width="13.140625" style="72" customWidth="1"/>
    <col min="7685" max="7685" width="14" style="72" customWidth="1"/>
    <col min="7686" max="7686" width="12.5703125" style="72" customWidth="1"/>
    <col min="7687" max="7687" width="14.140625" style="72" customWidth="1"/>
    <col min="7688" max="7689" width="13.140625" style="72" customWidth="1"/>
    <col min="7690" max="7690" width="11.140625" style="72" customWidth="1"/>
    <col min="7691" max="7691" width="10.140625" style="72" bestFit="1" customWidth="1"/>
    <col min="7692" max="7692" width="11" style="72" customWidth="1"/>
    <col min="7693" max="7934" width="9.140625" style="72"/>
    <col min="7935" max="7935" width="23" style="72" customWidth="1"/>
    <col min="7936" max="7936" width="0" style="72" hidden="1" customWidth="1"/>
    <col min="7937" max="7937" width="15.7109375" style="72" customWidth="1"/>
    <col min="7938" max="7938" width="15.85546875" style="72" customWidth="1"/>
    <col min="7939" max="7939" width="15.140625" style="72" customWidth="1"/>
    <col min="7940" max="7940" width="13.140625" style="72" customWidth="1"/>
    <col min="7941" max="7941" width="14" style="72" customWidth="1"/>
    <col min="7942" max="7942" width="12.5703125" style="72" customWidth="1"/>
    <col min="7943" max="7943" width="14.140625" style="72" customWidth="1"/>
    <col min="7944" max="7945" width="13.140625" style="72" customWidth="1"/>
    <col min="7946" max="7946" width="11.140625" style="72" customWidth="1"/>
    <col min="7947" max="7947" width="10.140625" style="72" bestFit="1" customWidth="1"/>
    <col min="7948" max="7948" width="11" style="72" customWidth="1"/>
    <col min="7949" max="8190" width="9.140625" style="72"/>
    <col min="8191" max="8191" width="23" style="72" customWidth="1"/>
    <col min="8192" max="8192" width="0" style="72" hidden="1" customWidth="1"/>
    <col min="8193" max="8193" width="15.7109375" style="72" customWidth="1"/>
    <col min="8194" max="8194" width="15.85546875" style="72" customWidth="1"/>
    <col min="8195" max="8195" width="15.140625" style="72" customWidth="1"/>
    <col min="8196" max="8196" width="13.140625" style="72" customWidth="1"/>
    <col min="8197" max="8197" width="14" style="72" customWidth="1"/>
    <col min="8198" max="8198" width="12.5703125" style="72" customWidth="1"/>
    <col min="8199" max="8199" width="14.140625" style="72" customWidth="1"/>
    <col min="8200" max="8201" width="13.140625" style="72" customWidth="1"/>
    <col min="8202" max="8202" width="11.140625" style="72" customWidth="1"/>
    <col min="8203" max="8203" width="10.140625" style="72" bestFit="1" customWidth="1"/>
    <col min="8204" max="8204" width="11" style="72" customWidth="1"/>
    <col min="8205" max="8446" width="9.140625" style="72"/>
    <col min="8447" max="8447" width="23" style="72" customWidth="1"/>
    <col min="8448" max="8448" width="0" style="72" hidden="1" customWidth="1"/>
    <col min="8449" max="8449" width="15.7109375" style="72" customWidth="1"/>
    <col min="8450" max="8450" width="15.85546875" style="72" customWidth="1"/>
    <col min="8451" max="8451" width="15.140625" style="72" customWidth="1"/>
    <col min="8452" max="8452" width="13.140625" style="72" customWidth="1"/>
    <col min="8453" max="8453" width="14" style="72" customWidth="1"/>
    <col min="8454" max="8454" width="12.5703125" style="72" customWidth="1"/>
    <col min="8455" max="8455" width="14.140625" style="72" customWidth="1"/>
    <col min="8456" max="8457" width="13.140625" style="72" customWidth="1"/>
    <col min="8458" max="8458" width="11.140625" style="72" customWidth="1"/>
    <col min="8459" max="8459" width="10.140625" style="72" bestFit="1" customWidth="1"/>
    <col min="8460" max="8460" width="11" style="72" customWidth="1"/>
    <col min="8461" max="8702" width="9.140625" style="72"/>
    <col min="8703" max="8703" width="23" style="72" customWidth="1"/>
    <col min="8704" max="8704" width="0" style="72" hidden="1" customWidth="1"/>
    <col min="8705" max="8705" width="15.7109375" style="72" customWidth="1"/>
    <col min="8706" max="8706" width="15.85546875" style="72" customWidth="1"/>
    <col min="8707" max="8707" width="15.140625" style="72" customWidth="1"/>
    <col min="8708" max="8708" width="13.140625" style="72" customWidth="1"/>
    <col min="8709" max="8709" width="14" style="72" customWidth="1"/>
    <col min="8710" max="8710" width="12.5703125" style="72" customWidth="1"/>
    <col min="8711" max="8711" width="14.140625" style="72" customWidth="1"/>
    <col min="8712" max="8713" width="13.140625" style="72" customWidth="1"/>
    <col min="8714" max="8714" width="11.140625" style="72" customWidth="1"/>
    <col min="8715" max="8715" width="10.140625" style="72" bestFit="1" customWidth="1"/>
    <col min="8716" max="8716" width="11" style="72" customWidth="1"/>
    <col min="8717" max="8958" width="9.140625" style="72"/>
    <col min="8959" max="8959" width="23" style="72" customWidth="1"/>
    <col min="8960" max="8960" width="0" style="72" hidden="1" customWidth="1"/>
    <col min="8961" max="8961" width="15.7109375" style="72" customWidth="1"/>
    <col min="8962" max="8962" width="15.85546875" style="72" customWidth="1"/>
    <col min="8963" max="8963" width="15.140625" style="72" customWidth="1"/>
    <col min="8964" max="8964" width="13.140625" style="72" customWidth="1"/>
    <col min="8965" max="8965" width="14" style="72" customWidth="1"/>
    <col min="8966" max="8966" width="12.5703125" style="72" customWidth="1"/>
    <col min="8967" max="8967" width="14.140625" style="72" customWidth="1"/>
    <col min="8968" max="8969" width="13.140625" style="72" customWidth="1"/>
    <col min="8970" max="8970" width="11.140625" style="72" customWidth="1"/>
    <col min="8971" max="8971" width="10.140625" style="72" bestFit="1" customWidth="1"/>
    <col min="8972" max="8972" width="11" style="72" customWidth="1"/>
    <col min="8973" max="9214" width="9.140625" style="72"/>
    <col min="9215" max="9215" width="23" style="72" customWidth="1"/>
    <col min="9216" max="9216" width="0" style="72" hidden="1" customWidth="1"/>
    <col min="9217" max="9217" width="15.7109375" style="72" customWidth="1"/>
    <col min="9218" max="9218" width="15.85546875" style="72" customWidth="1"/>
    <col min="9219" max="9219" width="15.140625" style="72" customWidth="1"/>
    <col min="9220" max="9220" width="13.140625" style="72" customWidth="1"/>
    <col min="9221" max="9221" width="14" style="72" customWidth="1"/>
    <col min="9222" max="9222" width="12.5703125" style="72" customWidth="1"/>
    <col min="9223" max="9223" width="14.140625" style="72" customWidth="1"/>
    <col min="9224" max="9225" width="13.140625" style="72" customWidth="1"/>
    <col min="9226" max="9226" width="11.140625" style="72" customWidth="1"/>
    <col min="9227" max="9227" width="10.140625" style="72" bestFit="1" customWidth="1"/>
    <col min="9228" max="9228" width="11" style="72" customWidth="1"/>
    <col min="9229" max="9470" width="9.140625" style="72"/>
    <col min="9471" max="9471" width="23" style="72" customWidth="1"/>
    <col min="9472" max="9472" width="0" style="72" hidden="1" customWidth="1"/>
    <col min="9473" max="9473" width="15.7109375" style="72" customWidth="1"/>
    <col min="9474" max="9474" width="15.85546875" style="72" customWidth="1"/>
    <col min="9475" max="9475" width="15.140625" style="72" customWidth="1"/>
    <col min="9476" max="9476" width="13.140625" style="72" customWidth="1"/>
    <col min="9477" max="9477" width="14" style="72" customWidth="1"/>
    <col min="9478" max="9478" width="12.5703125" style="72" customWidth="1"/>
    <col min="9479" max="9479" width="14.140625" style="72" customWidth="1"/>
    <col min="9480" max="9481" width="13.140625" style="72" customWidth="1"/>
    <col min="9482" max="9482" width="11.140625" style="72" customWidth="1"/>
    <col min="9483" max="9483" width="10.140625" style="72" bestFit="1" customWidth="1"/>
    <col min="9484" max="9484" width="11" style="72" customWidth="1"/>
    <col min="9485" max="9726" width="9.140625" style="72"/>
    <col min="9727" max="9727" width="23" style="72" customWidth="1"/>
    <col min="9728" max="9728" width="0" style="72" hidden="1" customWidth="1"/>
    <col min="9729" max="9729" width="15.7109375" style="72" customWidth="1"/>
    <col min="9730" max="9730" width="15.85546875" style="72" customWidth="1"/>
    <col min="9731" max="9731" width="15.140625" style="72" customWidth="1"/>
    <col min="9732" max="9732" width="13.140625" style="72" customWidth="1"/>
    <col min="9733" max="9733" width="14" style="72" customWidth="1"/>
    <col min="9734" max="9734" width="12.5703125" style="72" customWidth="1"/>
    <col min="9735" max="9735" width="14.140625" style="72" customWidth="1"/>
    <col min="9736" max="9737" width="13.140625" style="72" customWidth="1"/>
    <col min="9738" max="9738" width="11.140625" style="72" customWidth="1"/>
    <col min="9739" max="9739" width="10.140625" style="72" bestFit="1" customWidth="1"/>
    <col min="9740" max="9740" width="11" style="72" customWidth="1"/>
    <col min="9741" max="9982" width="9.140625" style="72"/>
    <col min="9983" max="9983" width="23" style="72" customWidth="1"/>
    <col min="9984" max="9984" width="0" style="72" hidden="1" customWidth="1"/>
    <col min="9985" max="9985" width="15.7109375" style="72" customWidth="1"/>
    <col min="9986" max="9986" width="15.85546875" style="72" customWidth="1"/>
    <col min="9987" max="9987" width="15.140625" style="72" customWidth="1"/>
    <col min="9988" max="9988" width="13.140625" style="72" customWidth="1"/>
    <col min="9989" max="9989" width="14" style="72" customWidth="1"/>
    <col min="9990" max="9990" width="12.5703125" style="72" customWidth="1"/>
    <col min="9991" max="9991" width="14.140625" style="72" customWidth="1"/>
    <col min="9992" max="9993" width="13.140625" style="72" customWidth="1"/>
    <col min="9994" max="9994" width="11.140625" style="72" customWidth="1"/>
    <col min="9995" max="9995" width="10.140625" style="72" bestFit="1" customWidth="1"/>
    <col min="9996" max="9996" width="11" style="72" customWidth="1"/>
    <col min="9997" max="10238" width="9.140625" style="72"/>
    <col min="10239" max="10239" width="23" style="72" customWidth="1"/>
    <col min="10240" max="10240" width="0" style="72" hidden="1" customWidth="1"/>
    <col min="10241" max="10241" width="15.7109375" style="72" customWidth="1"/>
    <col min="10242" max="10242" width="15.85546875" style="72" customWidth="1"/>
    <col min="10243" max="10243" width="15.140625" style="72" customWidth="1"/>
    <col min="10244" max="10244" width="13.140625" style="72" customWidth="1"/>
    <col min="10245" max="10245" width="14" style="72" customWidth="1"/>
    <col min="10246" max="10246" width="12.5703125" style="72" customWidth="1"/>
    <col min="10247" max="10247" width="14.140625" style="72" customWidth="1"/>
    <col min="10248" max="10249" width="13.140625" style="72" customWidth="1"/>
    <col min="10250" max="10250" width="11.140625" style="72" customWidth="1"/>
    <col min="10251" max="10251" width="10.140625" style="72" bestFit="1" customWidth="1"/>
    <col min="10252" max="10252" width="11" style="72" customWidth="1"/>
    <col min="10253" max="10494" width="9.140625" style="72"/>
    <col min="10495" max="10495" width="23" style="72" customWidth="1"/>
    <col min="10496" max="10496" width="0" style="72" hidden="1" customWidth="1"/>
    <col min="10497" max="10497" width="15.7109375" style="72" customWidth="1"/>
    <col min="10498" max="10498" width="15.85546875" style="72" customWidth="1"/>
    <col min="10499" max="10499" width="15.140625" style="72" customWidth="1"/>
    <col min="10500" max="10500" width="13.140625" style="72" customWidth="1"/>
    <col min="10501" max="10501" width="14" style="72" customWidth="1"/>
    <col min="10502" max="10502" width="12.5703125" style="72" customWidth="1"/>
    <col min="10503" max="10503" width="14.140625" style="72" customWidth="1"/>
    <col min="10504" max="10505" width="13.140625" style="72" customWidth="1"/>
    <col min="10506" max="10506" width="11.140625" style="72" customWidth="1"/>
    <col min="10507" max="10507" width="10.140625" style="72" bestFit="1" customWidth="1"/>
    <col min="10508" max="10508" width="11" style="72" customWidth="1"/>
    <col min="10509" max="10750" width="9.140625" style="72"/>
    <col min="10751" max="10751" width="23" style="72" customWidth="1"/>
    <col min="10752" max="10752" width="0" style="72" hidden="1" customWidth="1"/>
    <col min="10753" max="10753" width="15.7109375" style="72" customWidth="1"/>
    <col min="10754" max="10754" width="15.85546875" style="72" customWidth="1"/>
    <col min="10755" max="10755" width="15.140625" style="72" customWidth="1"/>
    <col min="10756" max="10756" width="13.140625" style="72" customWidth="1"/>
    <col min="10757" max="10757" width="14" style="72" customWidth="1"/>
    <col min="10758" max="10758" width="12.5703125" style="72" customWidth="1"/>
    <col min="10759" max="10759" width="14.140625" style="72" customWidth="1"/>
    <col min="10760" max="10761" width="13.140625" style="72" customWidth="1"/>
    <col min="10762" max="10762" width="11.140625" style="72" customWidth="1"/>
    <col min="10763" max="10763" width="10.140625" style="72" bestFit="1" customWidth="1"/>
    <col min="10764" max="10764" width="11" style="72" customWidth="1"/>
    <col min="10765" max="11006" width="9.140625" style="72"/>
    <col min="11007" max="11007" width="23" style="72" customWidth="1"/>
    <col min="11008" max="11008" width="0" style="72" hidden="1" customWidth="1"/>
    <col min="11009" max="11009" width="15.7109375" style="72" customWidth="1"/>
    <col min="11010" max="11010" width="15.85546875" style="72" customWidth="1"/>
    <col min="11011" max="11011" width="15.140625" style="72" customWidth="1"/>
    <col min="11012" max="11012" width="13.140625" style="72" customWidth="1"/>
    <col min="11013" max="11013" width="14" style="72" customWidth="1"/>
    <col min="11014" max="11014" width="12.5703125" style="72" customWidth="1"/>
    <col min="11015" max="11015" width="14.140625" style="72" customWidth="1"/>
    <col min="11016" max="11017" width="13.140625" style="72" customWidth="1"/>
    <col min="11018" max="11018" width="11.140625" style="72" customWidth="1"/>
    <col min="11019" max="11019" width="10.140625" style="72" bestFit="1" customWidth="1"/>
    <col min="11020" max="11020" width="11" style="72" customWidth="1"/>
    <col min="11021" max="11262" width="9.140625" style="72"/>
    <col min="11263" max="11263" width="23" style="72" customWidth="1"/>
    <col min="11264" max="11264" width="0" style="72" hidden="1" customWidth="1"/>
    <col min="11265" max="11265" width="15.7109375" style="72" customWidth="1"/>
    <col min="11266" max="11266" width="15.85546875" style="72" customWidth="1"/>
    <col min="11267" max="11267" width="15.140625" style="72" customWidth="1"/>
    <col min="11268" max="11268" width="13.140625" style="72" customWidth="1"/>
    <col min="11269" max="11269" width="14" style="72" customWidth="1"/>
    <col min="11270" max="11270" width="12.5703125" style="72" customWidth="1"/>
    <col min="11271" max="11271" width="14.140625" style="72" customWidth="1"/>
    <col min="11272" max="11273" width="13.140625" style="72" customWidth="1"/>
    <col min="11274" max="11274" width="11.140625" style="72" customWidth="1"/>
    <col min="11275" max="11275" width="10.140625" style="72" bestFit="1" customWidth="1"/>
    <col min="11276" max="11276" width="11" style="72" customWidth="1"/>
    <col min="11277" max="11518" width="9.140625" style="72"/>
    <col min="11519" max="11519" width="23" style="72" customWidth="1"/>
    <col min="11520" max="11520" width="0" style="72" hidden="1" customWidth="1"/>
    <col min="11521" max="11521" width="15.7109375" style="72" customWidth="1"/>
    <col min="11522" max="11522" width="15.85546875" style="72" customWidth="1"/>
    <col min="11523" max="11523" width="15.140625" style="72" customWidth="1"/>
    <col min="11524" max="11524" width="13.140625" style="72" customWidth="1"/>
    <col min="11525" max="11525" width="14" style="72" customWidth="1"/>
    <col min="11526" max="11526" width="12.5703125" style="72" customWidth="1"/>
    <col min="11527" max="11527" width="14.140625" style="72" customWidth="1"/>
    <col min="11528" max="11529" width="13.140625" style="72" customWidth="1"/>
    <col min="11530" max="11530" width="11.140625" style="72" customWidth="1"/>
    <col min="11531" max="11531" width="10.140625" style="72" bestFit="1" customWidth="1"/>
    <col min="11532" max="11532" width="11" style="72" customWidth="1"/>
    <col min="11533" max="11774" width="9.140625" style="72"/>
    <col min="11775" max="11775" width="23" style="72" customWidth="1"/>
    <col min="11776" max="11776" width="0" style="72" hidden="1" customWidth="1"/>
    <col min="11777" max="11777" width="15.7109375" style="72" customWidth="1"/>
    <col min="11778" max="11778" width="15.85546875" style="72" customWidth="1"/>
    <col min="11779" max="11779" width="15.140625" style="72" customWidth="1"/>
    <col min="11780" max="11780" width="13.140625" style="72" customWidth="1"/>
    <col min="11781" max="11781" width="14" style="72" customWidth="1"/>
    <col min="11782" max="11782" width="12.5703125" style="72" customWidth="1"/>
    <col min="11783" max="11783" width="14.140625" style="72" customWidth="1"/>
    <col min="11784" max="11785" width="13.140625" style="72" customWidth="1"/>
    <col min="11786" max="11786" width="11.140625" style="72" customWidth="1"/>
    <col min="11787" max="11787" width="10.140625" style="72" bestFit="1" customWidth="1"/>
    <col min="11788" max="11788" width="11" style="72" customWidth="1"/>
    <col min="11789" max="12030" width="9.140625" style="72"/>
    <col min="12031" max="12031" width="23" style="72" customWidth="1"/>
    <col min="12032" max="12032" width="0" style="72" hidden="1" customWidth="1"/>
    <col min="12033" max="12033" width="15.7109375" style="72" customWidth="1"/>
    <col min="12034" max="12034" width="15.85546875" style="72" customWidth="1"/>
    <col min="12035" max="12035" width="15.140625" style="72" customWidth="1"/>
    <col min="12036" max="12036" width="13.140625" style="72" customWidth="1"/>
    <col min="12037" max="12037" width="14" style="72" customWidth="1"/>
    <col min="12038" max="12038" width="12.5703125" style="72" customWidth="1"/>
    <col min="12039" max="12039" width="14.140625" style="72" customWidth="1"/>
    <col min="12040" max="12041" width="13.140625" style="72" customWidth="1"/>
    <col min="12042" max="12042" width="11.140625" style="72" customWidth="1"/>
    <col min="12043" max="12043" width="10.140625" style="72" bestFit="1" customWidth="1"/>
    <col min="12044" max="12044" width="11" style="72" customWidth="1"/>
    <col min="12045" max="12286" width="9.140625" style="72"/>
    <col min="12287" max="12287" width="23" style="72" customWidth="1"/>
    <col min="12288" max="12288" width="0" style="72" hidden="1" customWidth="1"/>
    <col min="12289" max="12289" width="15.7109375" style="72" customWidth="1"/>
    <col min="12290" max="12290" width="15.85546875" style="72" customWidth="1"/>
    <col min="12291" max="12291" width="15.140625" style="72" customWidth="1"/>
    <col min="12292" max="12292" width="13.140625" style="72" customWidth="1"/>
    <col min="12293" max="12293" width="14" style="72" customWidth="1"/>
    <col min="12294" max="12294" width="12.5703125" style="72" customWidth="1"/>
    <col min="12295" max="12295" width="14.140625" style="72" customWidth="1"/>
    <col min="12296" max="12297" width="13.140625" style="72" customWidth="1"/>
    <col min="12298" max="12298" width="11.140625" style="72" customWidth="1"/>
    <col min="12299" max="12299" width="10.140625" style="72" bestFit="1" customWidth="1"/>
    <col min="12300" max="12300" width="11" style="72" customWidth="1"/>
    <col min="12301" max="12542" width="9.140625" style="72"/>
    <col min="12543" max="12543" width="23" style="72" customWidth="1"/>
    <col min="12544" max="12544" width="0" style="72" hidden="1" customWidth="1"/>
    <col min="12545" max="12545" width="15.7109375" style="72" customWidth="1"/>
    <col min="12546" max="12546" width="15.85546875" style="72" customWidth="1"/>
    <col min="12547" max="12547" width="15.140625" style="72" customWidth="1"/>
    <col min="12548" max="12548" width="13.140625" style="72" customWidth="1"/>
    <col min="12549" max="12549" width="14" style="72" customWidth="1"/>
    <col min="12550" max="12550" width="12.5703125" style="72" customWidth="1"/>
    <col min="12551" max="12551" width="14.140625" style="72" customWidth="1"/>
    <col min="12552" max="12553" width="13.140625" style="72" customWidth="1"/>
    <col min="12554" max="12554" width="11.140625" style="72" customWidth="1"/>
    <col min="12555" max="12555" width="10.140625" style="72" bestFit="1" customWidth="1"/>
    <col min="12556" max="12556" width="11" style="72" customWidth="1"/>
    <col min="12557" max="12798" width="9.140625" style="72"/>
    <col min="12799" max="12799" width="23" style="72" customWidth="1"/>
    <col min="12800" max="12800" width="0" style="72" hidden="1" customWidth="1"/>
    <col min="12801" max="12801" width="15.7109375" style="72" customWidth="1"/>
    <col min="12802" max="12802" width="15.85546875" style="72" customWidth="1"/>
    <col min="12803" max="12803" width="15.140625" style="72" customWidth="1"/>
    <col min="12804" max="12804" width="13.140625" style="72" customWidth="1"/>
    <col min="12805" max="12805" width="14" style="72" customWidth="1"/>
    <col min="12806" max="12806" width="12.5703125" style="72" customWidth="1"/>
    <col min="12807" max="12807" width="14.140625" style="72" customWidth="1"/>
    <col min="12808" max="12809" width="13.140625" style="72" customWidth="1"/>
    <col min="12810" max="12810" width="11.140625" style="72" customWidth="1"/>
    <col min="12811" max="12811" width="10.140625" style="72" bestFit="1" customWidth="1"/>
    <col min="12812" max="12812" width="11" style="72" customWidth="1"/>
    <col min="12813" max="13054" width="9.140625" style="72"/>
    <col min="13055" max="13055" width="23" style="72" customWidth="1"/>
    <col min="13056" max="13056" width="0" style="72" hidden="1" customWidth="1"/>
    <col min="13057" max="13057" width="15.7109375" style="72" customWidth="1"/>
    <col min="13058" max="13058" width="15.85546875" style="72" customWidth="1"/>
    <col min="13059" max="13059" width="15.140625" style="72" customWidth="1"/>
    <col min="13060" max="13060" width="13.140625" style="72" customWidth="1"/>
    <col min="13061" max="13061" width="14" style="72" customWidth="1"/>
    <col min="13062" max="13062" width="12.5703125" style="72" customWidth="1"/>
    <col min="13063" max="13063" width="14.140625" style="72" customWidth="1"/>
    <col min="13064" max="13065" width="13.140625" style="72" customWidth="1"/>
    <col min="13066" max="13066" width="11.140625" style="72" customWidth="1"/>
    <col min="13067" max="13067" width="10.140625" style="72" bestFit="1" customWidth="1"/>
    <col min="13068" max="13068" width="11" style="72" customWidth="1"/>
    <col min="13069" max="13310" width="9.140625" style="72"/>
    <col min="13311" max="13311" width="23" style="72" customWidth="1"/>
    <col min="13312" max="13312" width="0" style="72" hidden="1" customWidth="1"/>
    <col min="13313" max="13313" width="15.7109375" style="72" customWidth="1"/>
    <col min="13314" max="13314" width="15.85546875" style="72" customWidth="1"/>
    <col min="13315" max="13315" width="15.140625" style="72" customWidth="1"/>
    <col min="13316" max="13316" width="13.140625" style="72" customWidth="1"/>
    <col min="13317" max="13317" width="14" style="72" customWidth="1"/>
    <col min="13318" max="13318" width="12.5703125" style="72" customWidth="1"/>
    <col min="13319" max="13319" width="14.140625" style="72" customWidth="1"/>
    <col min="13320" max="13321" width="13.140625" style="72" customWidth="1"/>
    <col min="13322" max="13322" width="11.140625" style="72" customWidth="1"/>
    <col min="13323" max="13323" width="10.140625" style="72" bestFit="1" customWidth="1"/>
    <col min="13324" max="13324" width="11" style="72" customWidth="1"/>
    <col min="13325" max="13566" width="9.140625" style="72"/>
    <col min="13567" max="13567" width="23" style="72" customWidth="1"/>
    <col min="13568" max="13568" width="0" style="72" hidden="1" customWidth="1"/>
    <col min="13569" max="13569" width="15.7109375" style="72" customWidth="1"/>
    <col min="13570" max="13570" width="15.85546875" style="72" customWidth="1"/>
    <col min="13571" max="13571" width="15.140625" style="72" customWidth="1"/>
    <col min="13572" max="13572" width="13.140625" style="72" customWidth="1"/>
    <col min="13573" max="13573" width="14" style="72" customWidth="1"/>
    <col min="13574" max="13574" width="12.5703125" style="72" customWidth="1"/>
    <col min="13575" max="13575" width="14.140625" style="72" customWidth="1"/>
    <col min="13576" max="13577" width="13.140625" style="72" customWidth="1"/>
    <col min="13578" max="13578" width="11.140625" style="72" customWidth="1"/>
    <col min="13579" max="13579" width="10.140625" style="72" bestFit="1" customWidth="1"/>
    <col min="13580" max="13580" width="11" style="72" customWidth="1"/>
    <col min="13581" max="13822" width="9.140625" style="72"/>
    <col min="13823" max="13823" width="23" style="72" customWidth="1"/>
    <col min="13824" max="13824" width="0" style="72" hidden="1" customWidth="1"/>
    <col min="13825" max="13825" width="15.7109375" style="72" customWidth="1"/>
    <col min="13826" max="13826" width="15.85546875" style="72" customWidth="1"/>
    <col min="13827" max="13827" width="15.140625" style="72" customWidth="1"/>
    <col min="13828" max="13828" width="13.140625" style="72" customWidth="1"/>
    <col min="13829" max="13829" width="14" style="72" customWidth="1"/>
    <col min="13830" max="13830" width="12.5703125" style="72" customWidth="1"/>
    <col min="13831" max="13831" width="14.140625" style="72" customWidth="1"/>
    <col min="13832" max="13833" width="13.140625" style="72" customWidth="1"/>
    <col min="13834" max="13834" width="11.140625" style="72" customWidth="1"/>
    <col min="13835" max="13835" width="10.140625" style="72" bestFit="1" customWidth="1"/>
    <col min="13836" max="13836" width="11" style="72" customWidth="1"/>
    <col min="13837" max="14078" width="9.140625" style="72"/>
    <col min="14079" max="14079" width="23" style="72" customWidth="1"/>
    <col min="14080" max="14080" width="0" style="72" hidden="1" customWidth="1"/>
    <col min="14081" max="14081" width="15.7109375" style="72" customWidth="1"/>
    <col min="14082" max="14082" width="15.85546875" style="72" customWidth="1"/>
    <col min="14083" max="14083" width="15.140625" style="72" customWidth="1"/>
    <col min="14084" max="14084" width="13.140625" style="72" customWidth="1"/>
    <col min="14085" max="14085" width="14" style="72" customWidth="1"/>
    <col min="14086" max="14086" width="12.5703125" style="72" customWidth="1"/>
    <col min="14087" max="14087" width="14.140625" style="72" customWidth="1"/>
    <col min="14088" max="14089" width="13.140625" style="72" customWidth="1"/>
    <col min="14090" max="14090" width="11.140625" style="72" customWidth="1"/>
    <col min="14091" max="14091" width="10.140625" style="72" bestFit="1" customWidth="1"/>
    <col min="14092" max="14092" width="11" style="72" customWidth="1"/>
    <col min="14093" max="14334" width="9.140625" style="72"/>
    <col min="14335" max="14335" width="23" style="72" customWidth="1"/>
    <col min="14336" max="14336" width="0" style="72" hidden="1" customWidth="1"/>
    <col min="14337" max="14337" width="15.7109375" style="72" customWidth="1"/>
    <col min="14338" max="14338" width="15.85546875" style="72" customWidth="1"/>
    <col min="14339" max="14339" width="15.140625" style="72" customWidth="1"/>
    <col min="14340" max="14340" width="13.140625" style="72" customWidth="1"/>
    <col min="14341" max="14341" width="14" style="72" customWidth="1"/>
    <col min="14342" max="14342" width="12.5703125" style="72" customWidth="1"/>
    <col min="14343" max="14343" width="14.140625" style="72" customWidth="1"/>
    <col min="14344" max="14345" width="13.140625" style="72" customWidth="1"/>
    <col min="14346" max="14346" width="11.140625" style="72" customWidth="1"/>
    <col min="14347" max="14347" width="10.140625" style="72" bestFit="1" customWidth="1"/>
    <col min="14348" max="14348" width="11" style="72" customWidth="1"/>
    <col min="14349" max="14590" width="9.140625" style="72"/>
    <col min="14591" max="14591" width="23" style="72" customWidth="1"/>
    <col min="14592" max="14592" width="0" style="72" hidden="1" customWidth="1"/>
    <col min="14593" max="14593" width="15.7109375" style="72" customWidth="1"/>
    <col min="14594" max="14594" width="15.85546875" style="72" customWidth="1"/>
    <col min="14595" max="14595" width="15.140625" style="72" customWidth="1"/>
    <col min="14596" max="14596" width="13.140625" style="72" customWidth="1"/>
    <col min="14597" max="14597" width="14" style="72" customWidth="1"/>
    <col min="14598" max="14598" width="12.5703125" style="72" customWidth="1"/>
    <col min="14599" max="14599" width="14.140625" style="72" customWidth="1"/>
    <col min="14600" max="14601" width="13.140625" style="72" customWidth="1"/>
    <col min="14602" max="14602" width="11.140625" style="72" customWidth="1"/>
    <col min="14603" max="14603" width="10.140625" style="72" bestFit="1" customWidth="1"/>
    <col min="14604" max="14604" width="11" style="72" customWidth="1"/>
    <col min="14605" max="14846" width="9.140625" style="72"/>
    <col min="14847" max="14847" width="23" style="72" customWidth="1"/>
    <col min="14848" max="14848" width="0" style="72" hidden="1" customWidth="1"/>
    <col min="14849" max="14849" width="15.7109375" style="72" customWidth="1"/>
    <col min="14850" max="14850" width="15.85546875" style="72" customWidth="1"/>
    <col min="14851" max="14851" width="15.140625" style="72" customWidth="1"/>
    <col min="14852" max="14852" width="13.140625" style="72" customWidth="1"/>
    <col min="14853" max="14853" width="14" style="72" customWidth="1"/>
    <col min="14854" max="14854" width="12.5703125" style="72" customWidth="1"/>
    <col min="14855" max="14855" width="14.140625" style="72" customWidth="1"/>
    <col min="14856" max="14857" width="13.140625" style="72" customWidth="1"/>
    <col min="14858" max="14858" width="11.140625" style="72" customWidth="1"/>
    <col min="14859" max="14859" width="10.140625" style="72" bestFit="1" customWidth="1"/>
    <col min="14860" max="14860" width="11" style="72" customWidth="1"/>
    <col min="14861" max="15102" width="9.140625" style="72"/>
    <col min="15103" max="15103" width="23" style="72" customWidth="1"/>
    <col min="15104" max="15104" width="0" style="72" hidden="1" customWidth="1"/>
    <col min="15105" max="15105" width="15.7109375" style="72" customWidth="1"/>
    <col min="15106" max="15106" width="15.85546875" style="72" customWidth="1"/>
    <col min="15107" max="15107" width="15.140625" style="72" customWidth="1"/>
    <col min="15108" max="15108" width="13.140625" style="72" customWidth="1"/>
    <col min="15109" max="15109" width="14" style="72" customWidth="1"/>
    <col min="15110" max="15110" width="12.5703125" style="72" customWidth="1"/>
    <col min="15111" max="15111" width="14.140625" style="72" customWidth="1"/>
    <col min="15112" max="15113" width="13.140625" style="72" customWidth="1"/>
    <col min="15114" max="15114" width="11.140625" style="72" customWidth="1"/>
    <col min="15115" max="15115" width="10.140625" style="72" bestFit="1" customWidth="1"/>
    <col min="15116" max="15116" width="11" style="72" customWidth="1"/>
    <col min="15117" max="15358" width="9.140625" style="72"/>
    <col min="15359" max="15359" width="23" style="72" customWidth="1"/>
    <col min="15360" max="15360" width="0" style="72" hidden="1" customWidth="1"/>
    <col min="15361" max="15361" width="15.7109375" style="72" customWidth="1"/>
    <col min="15362" max="15362" width="15.85546875" style="72" customWidth="1"/>
    <col min="15363" max="15363" width="15.140625" style="72" customWidth="1"/>
    <col min="15364" max="15364" width="13.140625" style="72" customWidth="1"/>
    <col min="15365" max="15365" width="14" style="72" customWidth="1"/>
    <col min="15366" max="15366" width="12.5703125" style="72" customWidth="1"/>
    <col min="15367" max="15367" width="14.140625" style="72" customWidth="1"/>
    <col min="15368" max="15369" width="13.140625" style="72" customWidth="1"/>
    <col min="15370" max="15370" width="11.140625" style="72" customWidth="1"/>
    <col min="15371" max="15371" width="10.140625" style="72" bestFit="1" customWidth="1"/>
    <col min="15372" max="15372" width="11" style="72" customWidth="1"/>
    <col min="15373" max="15614" width="9.140625" style="72"/>
    <col min="15615" max="15615" width="23" style="72" customWidth="1"/>
    <col min="15616" max="15616" width="0" style="72" hidden="1" customWidth="1"/>
    <col min="15617" max="15617" width="15.7109375" style="72" customWidth="1"/>
    <col min="15618" max="15618" width="15.85546875" style="72" customWidth="1"/>
    <col min="15619" max="15619" width="15.140625" style="72" customWidth="1"/>
    <col min="15620" max="15620" width="13.140625" style="72" customWidth="1"/>
    <col min="15621" max="15621" width="14" style="72" customWidth="1"/>
    <col min="15622" max="15622" width="12.5703125" style="72" customWidth="1"/>
    <col min="15623" max="15623" width="14.140625" style="72" customWidth="1"/>
    <col min="15624" max="15625" width="13.140625" style="72" customWidth="1"/>
    <col min="15626" max="15626" width="11.140625" style="72" customWidth="1"/>
    <col min="15627" max="15627" width="10.140625" style="72" bestFit="1" customWidth="1"/>
    <col min="15628" max="15628" width="11" style="72" customWidth="1"/>
    <col min="15629" max="15870" width="9.140625" style="72"/>
    <col min="15871" max="15871" width="23" style="72" customWidth="1"/>
    <col min="15872" max="15872" width="0" style="72" hidden="1" customWidth="1"/>
    <col min="15873" max="15873" width="15.7109375" style="72" customWidth="1"/>
    <col min="15874" max="15874" width="15.85546875" style="72" customWidth="1"/>
    <col min="15875" max="15875" width="15.140625" style="72" customWidth="1"/>
    <col min="15876" max="15876" width="13.140625" style="72" customWidth="1"/>
    <col min="15877" max="15877" width="14" style="72" customWidth="1"/>
    <col min="15878" max="15878" width="12.5703125" style="72" customWidth="1"/>
    <col min="15879" max="15879" width="14.140625" style="72" customWidth="1"/>
    <col min="15880" max="15881" width="13.140625" style="72" customWidth="1"/>
    <col min="15882" max="15882" width="11.140625" style="72" customWidth="1"/>
    <col min="15883" max="15883" width="10.140625" style="72" bestFit="1" customWidth="1"/>
    <col min="15884" max="15884" width="11" style="72" customWidth="1"/>
    <col min="15885" max="16126" width="9.140625" style="72"/>
    <col min="16127" max="16127" width="23" style="72" customWidth="1"/>
    <col min="16128" max="16128" width="0" style="72" hidden="1" customWidth="1"/>
    <col min="16129" max="16129" width="15.7109375" style="72" customWidth="1"/>
    <col min="16130" max="16130" width="15.85546875" style="72" customWidth="1"/>
    <col min="16131" max="16131" width="15.140625" style="72" customWidth="1"/>
    <col min="16132" max="16132" width="13.140625" style="72" customWidth="1"/>
    <col min="16133" max="16133" width="14" style="72" customWidth="1"/>
    <col min="16134" max="16134" width="12.5703125" style="72" customWidth="1"/>
    <col min="16135" max="16135" width="14.140625" style="72" customWidth="1"/>
    <col min="16136" max="16137" width="13.140625" style="72" customWidth="1"/>
    <col min="16138" max="16138" width="11.140625" style="72" customWidth="1"/>
    <col min="16139" max="16139" width="10.140625" style="72" bestFit="1" customWidth="1"/>
    <col min="16140" max="16140" width="11" style="72" customWidth="1"/>
    <col min="16141" max="16384" width="9.140625" style="72"/>
  </cols>
  <sheetData>
    <row r="1" spans="2:10" ht="28.5" customHeight="1" thickBot="1">
      <c r="D1" s="551" t="s">
        <v>309</v>
      </c>
      <c r="E1" s="551"/>
      <c r="F1" s="551"/>
      <c r="G1" s="551"/>
      <c r="H1" s="551"/>
    </row>
    <row r="2" spans="2:10" ht="26.25" thickBot="1">
      <c r="B2" s="440" t="s">
        <v>423</v>
      </c>
      <c r="C2" s="556" t="s">
        <v>310</v>
      </c>
      <c r="D2" s="556"/>
      <c r="E2" s="556"/>
      <c r="F2" s="405"/>
      <c r="G2" s="441" t="str">
        <f>Residential!N91</f>
        <v>R Square</v>
      </c>
      <c r="H2" s="442" t="str">
        <f>Residential!N92</f>
        <v>Adjusted R Square</v>
      </c>
    </row>
    <row r="3" spans="2:10">
      <c r="B3" s="411">
        <v>1</v>
      </c>
      <c r="C3" s="557" t="str">
        <f>Summary!A9</f>
        <v xml:space="preserve">Residential </v>
      </c>
      <c r="D3" s="558"/>
      <c r="E3" s="559"/>
      <c r="F3" s="359"/>
      <c r="G3" s="360">
        <f>Residential!O91</f>
        <v>0.95273945836919682</v>
      </c>
      <c r="H3" s="360">
        <f>Residential!O92</f>
        <v>0.95066662759591591</v>
      </c>
    </row>
    <row r="4" spans="2:10">
      <c r="B4" s="412">
        <v>2</v>
      </c>
      <c r="C4" s="361" t="str">
        <f>Summary!A13</f>
        <v>General Service
 &lt; 50 kW</v>
      </c>
      <c r="D4" s="362"/>
      <c r="E4" s="362"/>
      <c r="F4" s="291"/>
      <c r="G4" s="292">
        <f>'GS &lt; 50 kW'!O91</f>
        <v>0.94675511139268775</v>
      </c>
      <c r="H4" s="292">
        <f>'GS &lt; 50 kW'!O92</f>
        <v>0.94392794916575085</v>
      </c>
    </row>
    <row r="5" spans="2:10">
      <c r="B5" s="412">
        <v>3</v>
      </c>
      <c r="C5" s="361" t="str">
        <f>Summary!A17</f>
        <v>General Service
 &gt; 50 to 999 kW</v>
      </c>
      <c r="D5" s="362"/>
      <c r="E5" s="362"/>
      <c r="F5" s="291"/>
      <c r="G5" s="292">
        <f>'GS &gt; 50 kW'!O91</f>
        <v>0.96855771634881371</v>
      </c>
      <c r="H5" s="292">
        <f>'GS &gt; 50 kW'!O92</f>
        <v>0.96688821456202512</v>
      </c>
    </row>
    <row r="6" spans="2:10" ht="13.5" thickBot="1">
      <c r="D6" s="293"/>
      <c r="E6" s="293"/>
      <c r="F6" s="294"/>
      <c r="G6" s="295"/>
      <c r="H6" s="295"/>
    </row>
    <row r="7" spans="2:10" ht="27.75" customHeight="1" thickBot="1">
      <c r="D7" s="293"/>
      <c r="E7" s="445" t="s">
        <v>423</v>
      </c>
      <c r="F7" s="444"/>
      <c r="G7" s="552" t="s">
        <v>311</v>
      </c>
      <c r="H7" s="552"/>
      <c r="I7" s="552"/>
      <c r="J7" s="553"/>
    </row>
    <row r="8" spans="2:10">
      <c r="D8" s="293"/>
      <c r="E8" s="446">
        <v>1</v>
      </c>
      <c r="F8" s="294"/>
      <c r="G8" s="560" t="str">
        <f>'GS &gt; 1000  kW'!N91</f>
        <v>R Square</v>
      </c>
      <c r="H8" s="561"/>
      <c r="I8" s="443">
        <f>'GS &gt; 1000  kW'!O91</f>
        <v>0.43106138524132026</v>
      </c>
      <c r="J8" s="439"/>
    </row>
    <row r="9" spans="2:10">
      <c r="D9" s="293"/>
      <c r="E9" s="446">
        <v>2</v>
      </c>
      <c r="F9" s="294"/>
      <c r="G9" s="536" t="str">
        <f>'GS &gt; 1000  kW'!N92</f>
        <v>Adjusted R Square</v>
      </c>
      <c r="H9" s="537"/>
      <c r="I9" s="296">
        <f>'GS &gt; 1000  kW'!O92</f>
        <v>0.39005680039384782</v>
      </c>
      <c r="J9" s="230"/>
    </row>
    <row r="10" spans="2:10">
      <c r="D10" s="293"/>
      <c r="E10" s="446">
        <v>3</v>
      </c>
      <c r="F10" s="294"/>
      <c r="G10" s="562" t="s">
        <v>312</v>
      </c>
      <c r="H10" s="563"/>
      <c r="I10" s="297" t="s">
        <v>31</v>
      </c>
      <c r="J10" s="297" t="s">
        <v>32</v>
      </c>
    </row>
    <row r="11" spans="2:10">
      <c r="D11" s="293"/>
      <c r="E11" s="446">
        <v>4</v>
      </c>
      <c r="F11" s="294"/>
      <c r="G11" s="536" t="str">
        <f>'GS &gt; 1000  kW'!N104</f>
        <v>Heating Degree Days</v>
      </c>
      <c r="H11" s="537"/>
      <c r="I11" s="298">
        <f>'GS &gt; 1000  kW'!O104</f>
        <v>-125.75848378171973</v>
      </c>
      <c r="J11" s="299">
        <f>'GS &gt; 1000  kW'!Q104</f>
        <v>-0.21988258547324149</v>
      </c>
    </row>
    <row r="12" spans="2:10">
      <c r="D12" s="293"/>
      <c r="E12" s="446">
        <v>5</v>
      </c>
      <c r="F12" s="294"/>
      <c r="G12" s="536" t="str">
        <f>'GS &gt; 1000  kW'!N105</f>
        <v>Cooling Degree Days</v>
      </c>
      <c r="H12" s="537"/>
      <c r="I12" s="298">
        <f>'GS &gt; 1000  kW'!O105</f>
        <v>-8357.1123601106337</v>
      </c>
      <c r="J12" s="299">
        <f>'GS &gt; 1000  kW'!Q105</f>
        <v>-0.60496225353270305</v>
      </c>
    </row>
    <row r="13" spans="2:10">
      <c r="D13" s="293"/>
      <c r="E13" s="446">
        <v>6</v>
      </c>
      <c r="F13" s="294"/>
      <c r="G13" s="536" t="str">
        <f>'GS &gt; 1000  kW'!N106</f>
        <v>Number of Days in Month</v>
      </c>
      <c r="H13" s="537"/>
      <c r="I13" s="298">
        <f>'GS &gt; 1000  kW'!O106</f>
        <v>650609.13631989353</v>
      </c>
      <c r="J13" s="299">
        <f>'GS &gt; 1000  kW'!Q106</f>
        <v>3.2126241064262162</v>
      </c>
    </row>
    <row r="14" spans="2:10">
      <c r="D14" s="293"/>
      <c r="E14" s="446">
        <v>7</v>
      </c>
      <c r="F14" s="294"/>
      <c r="G14" s="536" t="str">
        <f>'GS &gt; 1000  kW'!N107</f>
        <v>Spring Fall Flag</v>
      </c>
      <c r="H14" s="537"/>
      <c r="I14" s="298">
        <f>'GS &gt; 1000  kW'!O107</f>
        <v>174185.02305400532</v>
      </c>
      <c r="J14" s="299">
        <f>'GS &gt; 1000  kW'!Q107</f>
        <v>0.51431667231817824</v>
      </c>
    </row>
    <row r="15" spans="2:10">
      <c r="D15" s="293"/>
      <c r="E15" s="446">
        <v>8</v>
      </c>
      <c r="F15" s="294"/>
      <c r="G15" s="536" t="str">
        <f>'GS &gt; 1000  kW'!N108</f>
        <v>CDM Activity</v>
      </c>
      <c r="H15" s="537"/>
      <c r="I15" s="298">
        <f>'GS &gt; 1000  kW'!O108</f>
        <v>2.8769648450504404</v>
      </c>
      <c r="J15" s="299">
        <f>'GS &gt; 1000  kW'!Q108</f>
        <v>4.5689487581336552</v>
      </c>
    </row>
    <row r="16" spans="2:10">
      <c r="D16" s="293"/>
      <c r="E16" s="446">
        <v>9</v>
      </c>
      <c r="F16" s="294"/>
      <c r="G16" s="536" t="str">
        <f>'GS &gt; 1000  kW'!N109</f>
        <v>Ontario Real GDP Monthly %</v>
      </c>
      <c r="H16" s="537"/>
      <c r="I16" s="298">
        <f>'GS &gt; 1000  kW'!O109</f>
        <v>-224682.29093314143</v>
      </c>
      <c r="J16" s="299">
        <f>'GS &gt; 1000  kW'!Q109</f>
        <v>-4.6553909331198868</v>
      </c>
    </row>
    <row r="17" spans="3:16">
      <c r="D17" s="293"/>
      <c r="E17" s="446">
        <v>10</v>
      </c>
      <c r="F17" s="294"/>
      <c r="G17" s="536" t="str">
        <f>'GS &gt; 1000  kW'!N110</f>
        <v>Number of Customers</v>
      </c>
      <c r="H17" s="537"/>
      <c r="I17" s="298">
        <f>'GS &gt; 1000  kW'!O110</f>
        <v>-743420.35445320792</v>
      </c>
      <c r="J17" s="299">
        <f>'GS &gt; 1000  kW'!Q110</f>
        <v>-5.7100071668243189</v>
      </c>
    </row>
    <row r="18" spans="3:16">
      <c r="D18" s="293"/>
      <c r="E18" s="446">
        <v>11</v>
      </c>
      <c r="F18" s="294"/>
      <c r="G18" s="536" t="str">
        <f>'GS &gt; 1000  kW'!N111</f>
        <v>Number of Peak Hours</v>
      </c>
      <c r="H18" s="537"/>
      <c r="I18" s="298">
        <f>'GS &gt; 1000  kW'!O111</f>
        <v>4043.386337882248</v>
      </c>
      <c r="J18" s="299">
        <f>'GS &gt; 1000  kW'!Q111</f>
        <v>0.43696317279995678</v>
      </c>
    </row>
    <row r="19" spans="3:16">
      <c r="E19" s="447">
        <v>12</v>
      </c>
      <c r="G19" s="536" t="str">
        <f>'GS &gt; 1000  kW'!N103</f>
        <v>Intercept</v>
      </c>
      <c r="H19" s="537"/>
      <c r="I19" s="298">
        <f>'GS &gt; 1000  kW'!O103</f>
        <v>38565289.573353641</v>
      </c>
      <c r="J19" s="299">
        <f>'GS &gt; 1000  kW'!Q103</f>
        <v>4.4580665634114665</v>
      </c>
    </row>
    <row r="20" spans="3:16">
      <c r="N20" s="300"/>
    </row>
    <row r="21" spans="3:16" ht="13.5" thickBot="1">
      <c r="D21" s="554" t="s">
        <v>313</v>
      </c>
      <c r="E21" s="554"/>
      <c r="F21" s="554"/>
      <c r="G21" s="554"/>
      <c r="H21" s="554"/>
      <c r="I21" s="554"/>
      <c r="J21" s="554"/>
      <c r="K21" s="554"/>
      <c r="L21" s="554"/>
      <c r="M21" s="554"/>
      <c r="N21" s="554"/>
      <c r="O21" s="554"/>
      <c r="P21" s="301"/>
    </row>
    <row r="22" spans="3:16" ht="48.75" thickBot="1">
      <c r="C22" s="449" t="s">
        <v>423</v>
      </c>
      <c r="D22" s="541" t="s">
        <v>314</v>
      </c>
      <c r="E22" s="541"/>
      <c r="F22" s="364"/>
      <c r="G22" s="357" t="s">
        <v>74</v>
      </c>
      <c r="H22" s="357" t="str">
        <f>Summary!A13</f>
        <v>General Service
 &lt; 50 kW</v>
      </c>
      <c r="I22" s="357" t="str">
        <f>Summary!A17</f>
        <v>General Service
 &gt; 50 to 999 kW</v>
      </c>
      <c r="J22" s="357" t="str">
        <f>Summary!A22</f>
        <v>General Service 
&gt; 1000 kW</v>
      </c>
      <c r="K22" s="357" t="str">
        <f>Summary!A27</f>
        <v>Large User</v>
      </c>
      <c r="L22" s="357" t="str">
        <f>Summary!A32</f>
        <v>Street Lighting</v>
      </c>
      <c r="M22" s="357" t="str">
        <f>Summary!A37</f>
        <v>Sentinel Lighting</v>
      </c>
      <c r="N22" s="357" t="str">
        <f>Summary!A42</f>
        <v>Unmetered Scattered Load</v>
      </c>
      <c r="O22" s="358" t="s">
        <v>5</v>
      </c>
    </row>
    <row r="23" spans="3:16" ht="14.25" customHeight="1">
      <c r="C23" s="412">
        <v>1</v>
      </c>
      <c r="D23" s="555" t="s">
        <v>344</v>
      </c>
      <c r="E23" s="555"/>
      <c r="F23" s="555"/>
      <c r="G23" s="555"/>
      <c r="H23" s="555"/>
      <c r="I23" s="555"/>
      <c r="J23" s="555"/>
      <c r="K23" s="555"/>
      <c r="L23" s="555"/>
      <c r="M23" s="555"/>
      <c r="N23" s="555"/>
      <c r="O23" s="555"/>
    </row>
    <row r="24" spans="3:16" ht="14.25" customHeight="1">
      <c r="C24" s="412">
        <v>2</v>
      </c>
      <c r="D24" s="539">
        <v>2006</v>
      </c>
      <c r="E24" s="538"/>
      <c r="F24" s="288"/>
      <c r="G24" s="302">
        <f>Summary!B11/1000000</f>
        <v>344.98567016000089</v>
      </c>
      <c r="H24" s="302">
        <f>Summary!B15/1000000</f>
        <v>141.63101854999996</v>
      </c>
      <c r="I24" s="302">
        <f>Summary!B19/1000000</f>
        <v>299.21679275999992</v>
      </c>
      <c r="J24" s="302">
        <f>Summary!B24/1000000</f>
        <v>241.35066201999996</v>
      </c>
      <c r="K24" s="302">
        <f>Summary!B29/1000000</f>
        <v>0</v>
      </c>
      <c r="L24" s="303">
        <f>Summary!B34/1000000</f>
        <v>9.8626927200000001</v>
      </c>
      <c r="M24" s="303">
        <f>Summary!B39/1000000</f>
        <v>0.13461120000000004</v>
      </c>
      <c r="N24" s="303">
        <f>Summary!B44/1000000</f>
        <v>1.8563760300000001</v>
      </c>
      <c r="O24" s="302">
        <f>SUM(G24:N24)</f>
        <v>1039.0378234400009</v>
      </c>
    </row>
    <row r="25" spans="3:16" ht="14.25" customHeight="1">
      <c r="C25" s="412">
        <v>3</v>
      </c>
      <c r="D25" s="539">
        <v>2007</v>
      </c>
      <c r="E25" s="538"/>
      <c r="F25" s="288"/>
      <c r="G25" s="302">
        <f>Summary!C11/1000000</f>
        <v>347.35668225000097</v>
      </c>
      <c r="H25" s="302">
        <f>Summary!C15/1000000</f>
        <v>140.79561554000006</v>
      </c>
      <c r="I25" s="302">
        <f>Summary!C19/1000000</f>
        <v>298.98171629999996</v>
      </c>
      <c r="J25" s="302">
        <f>Summary!C24/1000000</f>
        <v>230.92150304000003</v>
      </c>
      <c r="K25" s="302">
        <f>Summary!C29/1000000</f>
        <v>0</v>
      </c>
      <c r="L25" s="303">
        <f>Summary!C34/1000000</f>
        <v>10.907925719999998</v>
      </c>
      <c r="M25" s="303">
        <f>Summary!C39/1000000</f>
        <v>0.12558239999999998</v>
      </c>
      <c r="N25" s="303">
        <f>Summary!C44/1000000</f>
        <v>2.0314907</v>
      </c>
      <c r="O25" s="302">
        <f t="shared" ref="O25:O33" si="0">SUM(G25:N25)</f>
        <v>1031.1205159500012</v>
      </c>
    </row>
    <row r="26" spans="3:16" ht="14.25" customHeight="1">
      <c r="C26" s="450">
        <v>4</v>
      </c>
      <c r="D26" s="539">
        <v>2008</v>
      </c>
      <c r="E26" s="542"/>
      <c r="F26" s="234"/>
      <c r="G26" s="302">
        <f>Summary!D11/1000000</f>
        <v>349.64019536999899</v>
      </c>
      <c r="H26" s="302">
        <f>Summary!D15/1000000</f>
        <v>140.90191911999995</v>
      </c>
      <c r="I26" s="302">
        <f>Summary!D19/1000000</f>
        <v>297.54897691999997</v>
      </c>
      <c r="J26" s="302">
        <f>Summary!D24/1000000</f>
        <v>204.49183029000002</v>
      </c>
      <c r="K26" s="302">
        <f>Summary!D29/1000000</f>
        <v>0</v>
      </c>
      <c r="L26" s="303">
        <f>Summary!D34/1000000</f>
        <v>10.834527099999999</v>
      </c>
      <c r="M26" s="303">
        <f>Summary!D39/1000000</f>
        <v>0.1229832</v>
      </c>
      <c r="N26" s="303">
        <f>Summary!D44/1000000</f>
        <v>1.9529226400000002</v>
      </c>
      <c r="O26" s="302">
        <f t="shared" si="0"/>
        <v>1005.4933546399989</v>
      </c>
    </row>
    <row r="27" spans="3:16">
      <c r="C27" s="450">
        <v>5</v>
      </c>
      <c r="D27" s="539">
        <v>2009</v>
      </c>
      <c r="E27" s="542"/>
      <c r="F27" s="234"/>
      <c r="G27" s="302">
        <f>Summary!E11/1000000</f>
        <v>344.72782068999925</v>
      </c>
      <c r="H27" s="302">
        <f>Summary!E15/1000000</f>
        <v>137.50681568000019</v>
      </c>
      <c r="I27" s="302">
        <f>Summary!E19/1000000</f>
        <v>290.80412680000006</v>
      </c>
      <c r="J27" s="302">
        <f>Summary!E24/1000000</f>
        <v>189.98995451000002</v>
      </c>
      <c r="K27" s="302">
        <f>Summary!E29/1000000</f>
        <v>0</v>
      </c>
      <c r="L27" s="303">
        <f>Summary!E34/1000000</f>
        <v>11.591322310000001</v>
      </c>
      <c r="M27" s="303">
        <f>Summary!E39/1000000</f>
        <v>0.12961799999999998</v>
      </c>
      <c r="N27" s="303">
        <f>Summary!E44/1000000</f>
        <v>1.9749836700000003</v>
      </c>
      <c r="O27" s="302">
        <f t="shared" si="0"/>
        <v>976.72464165999963</v>
      </c>
    </row>
    <row r="28" spans="3:16">
      <c r="C28" s="450">
        <v>6</v>
      </c>
      <c r="D28" s="539">
        <v>2010</v>
      </c>
      <c r="E28" s="538"/>
      <c r="F28" s="304"/>
      <c r="G28" s="302">
        <f>Summary!F11/1000000</f>
        <v>335.58852946999957</v>
      </c>
      <c r="H28" s="302">
        <f>Summary!F15/1000000</f>
        <v>132.76578444999993</v>
      </c>
      <c r="I28" s="302">
        <f>Summary!F19/1000000</f>
        <v>285.04781686000013</v>
      </c>
      <c r="J28" s="302">
        <f>Summary!F24/1000000</f>
        <v>177.28384162999998</v>
      </c>
      <c r="K28" s="302">
        <f>Summary!F29/1000000</f>
        <v>0</v>
      </c>
      <c r="L28" s="303">
        <f>Summary!F34/1000000</f>
        <v>11.24125044</v>
      </c>
      <c r="M28" s="303">
        <f>Summary!F39/1000000</f>
        <v>0.13686840000000003</v>
      </c>
      <c r="N28" s="303">
        <f>Summary!F44/1000000</f>
        <v>1.9466413000000002</v>
      </c>
      <c r="O28" s="302">
        <f t="shared" si="0"/>
        <v>944.01073254999972</v>
      </c>
    </row>
    <row r="29" spans="3:16">
      <c r="C29" s="450">
        <v>7</v>
      </c>
      <c r="D29" s="539">
        <v>2011</v>
      </c>
      <c r="E29" s="538"/>
      <c r="F29" s="304"/>
      <c r="G29" s="302">
        <f>Summary!G11/1000000</f>
        <v>337.21230649999967</v>
      </c>
      <c r="H29" s="302">
        <f>Summary!G15/1000000</f>
        <v>135.68868722999997</v>
      </c>
      <c r="I29" s="302">
        <f>Summary!G19/1000000</f>
        <v>288.5251404899999</v>
      </c>
      <c r="J29" s="302">
        <f>Summary!G24/1000000</f>
        <v>183.17813300999998</v>
      </c>
      <c r="K29" s="302">
        <f>Summary!G29/1000000</f>
        <v>0</v>
      </c>
      <c r="L29" s="303">
        <f>Summary!G34/1000000</f>
        <v>11.244632459999998</v>
      </c>
      <c r="M29" s="303">
        <f>Summary!G39/1000000</f>
        <v>0.12113640000000001</v>
      </c>
      <c r="N29" s="303">
        <f>Summary!G44/1000000</f>
        <v>1.9713154000000004</v>
      </c>
      <c r="O29" s="302">
        <f t="shared" si="0"/>
        <v>957.94135148999953</v>
      </c>
    </row>
    <row r="30" spans="3:16">
      <c r="C30" s="450">
        <v>8</v>
      </c>
      <c r="D30" s="539">
        <v>2012</v>
      </c>
      <c r="E30" s="538"/>
      <c r="F30" s="304"/>
      <c r="G30" s="302">
        <f>Summary!H11/1000000</f>
        <v>331.14242485999961</v>
      </c>
      <c r="H30" s="302">
        <f>Summary!H15/1000000</f>
        <v>133.67884049000008</v>
      </c>
      <c r="I30" s="302">
        <f>Summary!H19/1000000</f>
        <v>283.47524067000001</v>
      </c>
      <c r="J30" s="302">
        <f>Summary!H24/1000000</f>
        <v>188.5316814</v>
      </c>
      <c r="K30" s="302">
        <f>Summary!H29/1000000</f>
        <v>0</v>
      </c>
      <c r="L30" s="303">
        <f>Summary!H34/1000000</f>
        <v>11.062691710000001</v>
      </c>
      <c r="M30" s="303">
        <f>Summary!H39/1000000</f>
        <v>0.14178407999999998</v>
      </c>
      <c r="N30" s="303">
        <f>Summary!H44/1000000</f>
        <v>1.98046286</v>
      </c>
      <c r="O30" s="302">
        <f t="shared" si="0"/>
        <v>950.01312606999966</v>
      </c>
    </row>
    <row r="31" spans="3:16" ht="12.75" customHeight="1">
      <c r="C31" s="450">
        <v>9</v>
      </c>
      <c r="D31" s="539">
        <v>2013</v>
      </c>
      <c r="E31" s="538"/>
      <c r="F31" s="304"/>
      <c r="G31" s="302">
        <f>Summary!I11/1000000</f>
        <v>341.0358886352783</v>
      </c>
      <c r="H31" s="302">
        <f>Summary!I15/1000000</f>
        <v>136.33118561000001</v>
      </c>
      <c r="I31" s="302">
        <f>Summary!I19/1000000</f>
        <v>285.06837438000002</v>
      </c>
      <c r="J31" s="302">
        <f>Summary!I24/1000000</f>
        <v>187.99282645</v>
      </c>
      <c r="K31" s="302">
        <f>Summary!I29/1000000</f>
        <v>0</v>
      </c>
      <c r="L31" s="303">
        <f>Summary!I34/1000000</f>
        <v>10.555413669999998</v>
      </c>
      <c r="M31" s="303">
        <f>Summary!I39/1000000</f>
        <v>0.144894</v>
      </c>
      <c r="N31" s="303">
        <f>Summary!I44/1000000</f>
        <v>1.9922601800000002</v>
      </c>
      <c r="O31" s="302">
        <f t="shared" si="0"/>
        <v>963.12084292527845</v>
      </c>
    </row>
    <row r="32" spans="3:16">
      <c r="C32" s="450">
        <v>10</v>
      </c>
      <c r="D32" s="539">
        <v>2014</v>
      </c>
      <c r="E32" s="538"/>
      <c r="F32" s="304"/>
      <c r="G32" s="302">
        <f>Summary!J11/1000000</f>
        <v>340.02479588802839</v>
      </c>
      <c r="H32" s="302">
        <f>Summary!J15/1000000</f>
        <v>139.28583596861196</v>
      </c>
      <c r="I32" s="302">
        <f>Summary!J19/1000000</f>
        <v>280.03746024000003</v>
      </c>
      <c r="J32" s="302">
        <f>Summary!J24/1000000</f>
        <v>193.16494716999998</v>
      </c>
      <c r="K32" s="302">
        <f>Summary!J29/1000000</f>
        <v>0</v>
      </c>
      <c r="L32" s="303">
        <f>Summary!J34/1000000</f>
        <v>10.310975150000001</v>
      </c>
      <c r="M32" s="303">
        <f>Summary!J39/1000000</f>
        <v>0.14631306111328124</v>
      </c>
      <c r="N32" s="303">
        <f>Summary!J44/1000000</f>
        <v>2.0997653300000003</v>
      </c>
      <c r="O32" s="302">
        <f t="shared" si="0"/>
        <v>965.07009280775355</v>
      </c>
    </row>
    <row r="33" spans="3:16">
      <c r="C33" s="450">
        <v>11</v>
      </c>
      <c r="D33" s="539">
        <v>2015</v>
      </c>
      <c r="E33" s="538"/>
      <c r="F33" s="304"/>
      <c r="G33" s="302">
        <f>Summary!K11/1000000</f>
        <v>324.67326919699792</v>
      </c>
      <c r="H33" s="302">
        <f>Summary!K15/1000000</f>
        <v>137.17940147999988</v>
      </c>
      <c r="I33" s="302">
        <f>Summary!K19/1000000</f>
        <v>266.54834792000003</v>
      </c>
      <c r="J33" s="302">
        <f>Summary!K24/1000000</f>
        <v>198.50773857999999</v>
      </c>
      <c r="K33" s="302">
        <f>Summary!K29/1000000</f>
        <v>0</v>
      </c>
      <c r="L33" s="303">
        <f>Summary!K34/1000000</f>
        <v>9.5333605500000012</v>
      </c>
      <c r="M33" s="303">
        <f>Summary!K39/1000000</f>
        <v>0.11276546778066159</v>
      </c>
      <c r="N33" s="303">
        <f>Summary!K44/1000000</f>
        <v>2.2039348200000002</v>
      </c>
      <c r="O33" s="302">
        <f t="shared" si="0"/>
        <v>938.7588180147784</v>
      </c>
    </row>
    <row r="34" spans="3:16">
      <c r="C34" s="450">
        <v>12</v>
      </c>
      <c r="D34" s="540" t="s">
        <v>345</v>
      </c>
      <c r="E34" s="540"/>
      <c r="F34" s="540"/>
      <c r="G34" s="540"/>
      <c r="H34" s="540"/>
      <c r="I34" s="540"/>
      <c r="J34" s="540"/>
      <c r="K34" s="540"/>
      <c r="L34" s="540"/>
      <c r="M34" s="540"/>
      <c r="N34" s="540"/>
      <c r="O34" s="540"/>
    </row>
    <row r="35" spans="3:16">
      <c r="C35" s="450">
        <v>13</v>
      </c>
      <c r="D35" s="539">
        <f>D24</f>
        <v>2006</v>
      </c>
      <c r="E35" s="538"/>
      <c r="F35" s="288"/>
      <c r="G35" s="302">
        <f t="shared" ref="G35:G42" si="1">G24*K101</f>
        <v>348.80790918254485</v>
      </c>
      <c r="H35" s="302">
        <f t="shared" ref="H35:H42" si="2">H24*K118</f>
        <v>142.70207923317082</v>
      </c>
      <c r="I35" s="302">
        <f t="shared" ref="I35:I42" si="3">I24*K135</f>
        <v>301.2252963012092</v>
      </c>
      <c r="J35" s="302">
        <f>J24</f>
        <v>241.35066201999996</v>
      </c>
      <c r="K35" s="302">
        <f t="shared" ref="K35:N35" si="4">K24</f>
        <v>0</v>
      </c>
      <c r="L35" s="302">
        <f t="shared" si="4"/>
        <v>9.8626927200000001</v>
      </c>
      <c r="M35" s="302">
        <f t="shared" si="4"/>
        <v>0.13461120000000004</v>
      </c>
      <c r="N35" s="302">
        <f t="shared" si="4"/>
        <v>1.8563760300000001</v>
      </c>
      <c r="O35" s="302">
        <f>SUM(G35:N35)</f>
        <v>1045.9396266869251</v>
      </c>
    </row>
    <row r="36" spans="3:16">
      <c r="C36" s="450">
        <v>14</v>
      </c>
      <c r="D36" s="539">
        <f t="shared" ref="D36:D42" si="5">D25</f>
        <v>2007</v>
      </c>
      <c r="E36" s="538"/>
      <c r="F36" s="288"/>
      <c r="G36" s="302">
        <f t="shared" si="1"/>
        <v>346.72453978867406</v>
      </c>
      <c r="H36" s="302">
        <f t="shared" si="2"/>
        <v>140.53826358589058</v>
      </c>
      <c r="I36" s="302">
        <f t="shared" si="3"/>
        <v>298.45166414822233</v>
      </c>
      <c r="J36" s="302">
        <f t="shared" ref="J36:N42" si="6">J25</f>
        <v>230.92150304000003</v>
      </c>
      <c r="K36" s="302">
        <f t="shared" si="6"/>
        <v>0</v>
      </c>
      <c r="L36" s="302">
        <f t="shared" si="6"/>
        <v>10.907925719999998</v>
      </c>
      <c r="M36" s="302">
        <f t="shared" si="6"/>
        <v>0.12558239999999998</v>
      </c>
      <c r="N36" s="302">
        <f t="shared" si="6"/>
        <v>2.0314907</v>
      </c>
      <c r="O36" s="302">
        <f t="shared" ref="O36:O45" si="7">SUM(G36:N36)</f>
        <v>1029.700969382787</v>
      </c>
      <c r="P36" s="305"/>
    </row>
    <row r="37" spans="3:16">
      <c r="C37" s="450">
        <v>15</v>
      </c>
      <c r="D37" s="539">
        <f t="shared" si="5"/>
        <v>2008</v>
      </c>
      <c r="E37" s="538"/>
      <c r="F37" s="288"/>
      <c r="G37" s="302">
        <f t="shared" si="1"/>
        <v>345.5174533310888</v>
      </c>
      <c r="H37" s="302">
        <f t="shared" si="2"/>
        <v>139.759135821527</v>
      </c>
      <c r="I37" s="302">
        <f t="shared" si="3"/>
        <v>295.34821442444604</v>
      </c>
      <c r="J37" s="302">
        <f t="shared" si="6"/>
        <v>204.49183029000002</v>
      </c>
      <c r="K37" s="302">
        <f t="shared" si="6"/>
        <v>0</v>
      </c>
      <c r="L37" s="302">
        <f t="shared" si="6"/>
        <v>10.834527099999999</v>
      </c>
      <c r="M37" s="302">
        <f t="shared" si="6"/>
        <v>0.1229832</v>
      </c>
      <c r="N37" s="302">
        <f t="shared" si="6"/>
        <v>1.9529226400000002</v>
      </c>
      <c r="O37" s="302">
        <f t="shared" si="7"/>
        <v>998.02706680706183</v>
      </c>
      <c r="P37" s="305"/>
    </row>
    <row r="38" spans="3:16">
      <c r="C38" s="450">
        <v>16</v>
      </c>
      <c r="D38" s="539">
        <f t="shared" si="5"/>
        <v>2009</v>
      </c>
      <c r="E38" s="538"/>
      <c r="F38" s="304"/>
      <c r="G38" s="302">
        <f t="shared" si="1"/>
        <v>343.06575311743501</v>
      </c>
      <c r="H38" s="302">
        <f t="shared" si="2"/>
        <v>137.30160512956476</v>
      </c>
      <c r="I38" s="302">
        <f t="shared" si="3"/>
        <v>290.52090117254818</v>
      </c>
      <c r="J38" s="302">
        <f t="shared" si="6"/>
        <v>189.98995451000002</v>
      </c>
      <c r="K38" s="302">
        <f t="shared" si="6"/>
        <v>0</v>
      </c>
      <c r="L38" s="302">
        <f t="shared" si="6"/>
        <v>11.591322310000001</v>
      </c>
      <c r="M38" s="302">
        <f t="shared" si="6"/>
        <v>0.12961799999999998</v>
      </c>
      <c r="N38" s="302">
        <f t="shared" si="6"/>
        <v>1.9749836700000003</v>
      </c>
      <c r="O38" s="302">
        <f t="shared" si="7"/>
        <v>974.57413790954797</v>
      </c>
      <c r="P38" s="305"/>
    </row>
    <row r="39" spans="3:16">
      <c r="C39" s="450">
        <v>17</v>
      </c>
      <c r="D39" s="539">
        <f t="shared" si="5"/>
        <v>2010</v>
      </c>
      <c r="E39" s="538"/>
      <c r="F39" s="304"/>
      <c r="G39" s="302">
        <f t="shared" si="1"/>
        <v>340.9330507142227</v>
      </c>
      <c r="H39" s="302">
        <f t="shared" si="2"/>
        <v>134.29694756543839</v>
      </c>
      <c r="I39" s="302">
        <f t="shared" si="3"/>
        <v>288.02704835973981</v>
      </c>
      <c r="J39" s="302">
        <f t="shared" si="6"/>
        <v>177.28384162999998</v>
      </c>
      <c r="K39" s="302">
        <f t="shared" si="6"/>
        <v>0</v>
      </c>
      <c r="L39" s="302">
        <f t="shared" si="6"/>
        <v>11.24125044</v>
      </c>
      <c r="M39" s="302">
        <f t="shared" si="6"/>
        <v>0.13686840000000003</v>
      </c>
      <c r="N39" s="302">
        <f t="shared" si="6"/>
        <v>1.9466413000000002</v>
      </c>
      <c r="O39" s="302">
        <f t="shared" si="7"/>
        <v>953.86564840940093</v>
      </c>
      <c r="P39" s="305"/>
    </row>
    <row r="40" spans="3:16">
      <c r="C40" s="450">
        <v>18</v>
      </c>
      <c r="D40" s="539">
        <f t="shared" si="5"/>
        <v>2011</v>
      </c>
      <c r="E40" s="538"/>
      <c r="F40" s="304"/>
      <c r="G40" s="302">
        <f t="shared" si="1"/>
        <v>336.11011874088587</v>
      </c>
      <c r="H40" s="302">
        <f t="shared" si="2"/>
        <v>135.12547476832404</v>
      </c>
      <c r="I40" s="302">
        <f t="shared" si="3"/>
        <v>287.32928807096738</v>
      </c>
      <c r="J40" s="302">
        <f t="shared" si="6"/>
        <v>183.17813300999998</v>
      </c>
      <c r="K40" s="302">
        <f t="shared" si="6"/>
        <v>0</v>
      </c>
      <c r="L40" s="302">
        <f t="shared" si="6"/>
        <v>11.244632459999998</v>
      </c>
      <c r="M40" s="302">
        <f t="shared" si="6"/>
        <v>0.12113640000000001</v>
      </c>
      <c r="N40" s="302">
        <f t="shared" si="6"/>
        <v>1.9713154000000004</v>
      </c>
      <c r="O40" s="302">
        <f t="shared" si="7"/>
        <v>955.08009885017736</v>
      </c>
      <c r="P40" s="305"/>
    </row>
    <row r="41" spans="3:16">
      <c r="C41" s="450">
        <v>19</v>
      </c>
      <c r="D41" s="539">
        <f t="shared" si="5"/>
        <v>2012</v>
      </c>
      <c r="E41" s="538"/>
      <c r="F41" s="304"/>
      <c r="G41" s="302">
        <f t="shared" si="1"/>
        <v>337.23719599014811</v>
      </c>
      <c r="H41" s="302">
        <f t="shared" si="2"/>
        <v>135.42544061316369</v>
      </c>
      <c r="I41" s="302">
        <f t="shared" si="3"/>
        <v>286.89010097970959</v>
      </c>
      <c r="J41" s="302">
        <f t="shared" si="6"/>
        <v>188.5316814</v>
      </c>
      <c r="K41" s="302">
        <f t="shared" si="6"/>
        <v>0</v>
      </c>
      <c r="L41" s="302">
        <f t="shared" si="6"/>
        <v>11.062691710000001</v>
      </c>
      <c r="M41" s="302">
        <f t="shared" si="6"/>
        <v>0.14178407999999998</v>
      </c>
      <c r="N41" s="302">
        <f t="shared" si="6"/>
        <v>1.98046286</v>
      </c>
      <c r="O41" s="302">
        <f t="shared" si="7"/>
        <v>961.26935763302129</v>
      </c>
      <c r="P41" s="305"/>
    </row>
    <row r="42" spans="3:16">
      <c r="C42" s="450">
        <v>20</v>
      </c>
      <c r="D42" s="539">
        <f t="shared" si="5"/>
        <v>2013</v>
      </c>
      <c r="E42" s="538"/>
      <c r="F42" s="304"/>
      <c r="G42" s="302">
        <f t="shared" si="1"/>
        <v>335.19575581896441</v>
      </c>
      <c r="H42" s="302">
        <f t="shared" si="2"/>
        <v>134.49045754938328</v>
      </c>
      <c r="I42" s="302">
        <f t="shared" si="3"/>
        <v>281.40921540740089</v>
      </c>
      <c r="J42" s="302">
        <f t="shared" si="6"/>
        <v>187.99282645</v>
      </c>
      <c r="K42" s="302">
        <f t="shared" si="6"/>
        <v>0</v>
      </c>
      <c r="L42" s="302">
        <f t="shared" si="6"/>
        <v>10.555413669999998</v>
      </c>
      <c r="M42" s="302">
        <f t="shared" si="6"/>
        <v>0.144894</v>
      </c>
      <c r="N42" s="302">
        <f t="shared" si="6"/>
        <v>1.9922601800000002</v>
      </c>
      <c r="O42" s="302">
        <f t="shared" si="7"/>
        <v>951.78082307574857</v>
      </c>
      <c r="P42" s="305"/>
    </row>
    <row r="43" spans="3:16" ht="30" customHeight="1">
      <c r="C43" s="450">
        <v>21</v>
      </c>
      <c r="D43" s="543" t="s">
        <v>337</v>
      </c>
      <c r="E43" s="544"/>
      <c r="F43" s="288"/>
      <c r="G43" s="306">
        <f>[7]Summary!$O$13/1000000</f>
        <v>339.72106206603348</v>
      </c>
      <c r="H43" s="306">
        <f>[7]Summary!$O$17/1000000</f>
        <v>131.40439392510152</v>
      </c>
      <c r="I43" s="306">
        <f>[7]Summary!$O$21/1000000</f>
        <v>288.3983691972644</v>
      </c>
      <c r="J43" s="306">
        <f>[7]Summary!$O$26/1000000</f>
        <v>183.53288444497463</v>
      </c>
      <c r="K43" s="306">
        <f>0</f>
        <v>0</v>
      </c>
      <c r="L43" s="307">
        <f>[7]Summary!$O$31/1000000</f>
        <v>11.183615245140084</v>
      </c>
      <c r="M43" s="307">
        <f>[7]Summary!$O$36/1000000</f>
        <v>0.12248269142151311</v>
      </c>
      <c r="N43" s="307">
        <f>[7]Summary!$O$41/1000000</f>
        <v>2.0249067886311996</v>
      </c>
      <c r="O43" s="302">
        <f>SUM(G43:N43)</f>
        <v>956.387714358567</v>
      </c>
      <c r="P43" s="305"/>
    </row>
    <row r="44" spans="3:16">
      <c r="C44" s="450">
        <v>22</v>
      </c>
      <c r="D44" s="539">
        <f>D32</f>
        <v>2014</v>
      </c>
      <c r="E44" s="538"/>
      <c r="F44" s="304"/>
      <c r="G44" s="302">
        <f>G32*K109</f>
        <v>334.4852857191151</v>
      </c>
      <c r="H44" s="302">
        <f>H32*K126</f>
        <v>137.81725248897493</v>
      </c>
      <c r="I44" s="302">
        <f>I32*K143</f>
        <v>277.29467690501173</v>
      </c>
      <c r="J44" s="302">
        <f t="shared" ref="J44:N45" si="8">J32</f>
        <v>193.16494716999998</v>
      </c>
      <c r="K44" s="302">
        <f t="shared" si="8"/>
        <v>0</v>
      </c>
      <c r="L44" s="302">
        <f t="shared" si="8"/>
        <v>10.310975150000001</v>
      </c>
      <c r="M44" s="302">
        <f t="shared" si="8"/>
        <v>0.14631306111328124</v>
      </c>
      <c r="N44" s="302">
        <f t="shared" si="8"/>
        <v>2.0997653300000003</v>
      </c>
      <c r="O44" s="302">
        <f t="shared" si="7"/>
        <v>955.31921582421501</v>
      </c>
      <c r="P44" s="305"/>
    </row>
    <row r="45" spans="3:16">
      <c r="C45" s="450">
        <v>23</v>
      </c>
      <c r="D45" s="539">
        <f>D33</f>
        <v>2015</v>
      </c>
      <c r="E45" s="538"/>
      <c r="F45" s="304"/>
      <c r="G45" s="302">
        <f>G33*K110</f>
        <v>328.18975158533385</v>
      </c>
      <c r="H45" s="302">
        <f>H33*K127</f>
        <v>138.32878962299301</v>
      </c>
      <c r="I45" s="302">
        <f>I33*K144</f>
        <v>268.78108128097693</v>
      </c>
      <c r="J45" s="302">
        <f t="shared" si="8"/>
        <v>198.50773857999999</v>
      </c>
      <c r="K45" s="302">
        <f t="shared" si="8"/>
        <v>0</v>
      </c>
      <c r="L45" s="302">
        <f t="shared" si="8"/>
        <v>9.5333605500000012</v>
      </c>
      <c r="M45" s="302">
        <f t="shared" si="8"/>
        <v>0.11276546778066159</v>
      </c>
      <c r="N45" s="302">
        <f t="shared" si="8"/>
        <v>2.2039348200000002</v>
      </c>
      <c r="O45" s="302">
        <f t="shared" si="7"/>
        <v>945.65742190708443</v>
      </c>
      <c r="P45" s="305"/>
    </row>
    <row r="46" spans="3:16">
      <c r="C46" s="450">
        <v>24</v>
      </c>
      <c r="D46" s="539" t="s">
        <v>335</v>
      </c>
      <c r="E46" s="538"/>
      <c r="F46" s="304"/>
      <c r="G46" s="302">
        <f>Summary!$L$11/1000000</f>
        <v>336.49728140370445</v>
      </c>
      <c r="H46" s="302">
        <f>Summary!$L$15/1000000</f>
        <v>138.5370707348082</v>
      </c>
      <c r="I46" s="302">
        <f>Summary!$L$19/1000000</f>
        <v>264.17617530260759</v>
      </c>
      <c r="J46" s="302">
        <f>Summary!L24/1000000</f>
        <v>176.27485176817456</v>
      </c>
      <c r="K46" s="302">
        <f>Summary!$L$29/1000000</f>
        <v>0</v>
      </c>
      <c r="L46" s="302">
        <f>Summary!$L$34/1000000</f>
        <v>8.8848235846332546</v>
      </c>
      <c r="M46" s="302">
        <f>Summary!L39/1000000</f>
        <v>0.10803710011156654</v>
      </c>
      <c r="N46" s="303">
        <f>Summary!L44/1000000</f>
        <v>2.1481215747701587</v>
      </c>
      <c r="O46" s="302">
        <f>SUM(G46:N46)</f>
        <v>926.62636146880982</v>
      </c>
      <c r="P46" s="305"/>
    </row>
    <row r="47" spans="3:16">
      <c r="C47" s="450">
        <v>25</v>
      </c>
      <c r="D47" s="539" t="s">
        <v>336</v>
      </c>
      <c r="E47" s="538"/>
      <c r="F47" s="308"/>
      <c r="G47" s="302">
        <f>Summary!M11/1000000</f>
        <v>336.11468647881696</v>
      </c>
      <c r="H47" s="302">
        <f>Summary!M15/1000000</f>
        <v>142.69720741995323</v>
      </c>
      <c r="I47" s="302">
        <f>Summary!M19/1000000</f>
        <v>262.88788077451238</v>
      </c>
      <c r="J47" s="302">
        <f>Summary!M24/1000000</f>
        <v>169.33235176817456</v>
      </c>
      <c r="K47" s="302">
        <f>Summary!M29/1000000</f>
        <v>0</v>
      </c>
      <c r="L47" s="302">
        <f>Summary!M34/1000000</f>
        <v>8.2905653705995448</v>
      </c>
      <c r="M47" s="302">
        <f>Summary!M39/1000000</f>
        <v>0.10803710011156654</v>
      </c>
      <c r="N47" s="303">
        <f>Summary!M44/1000000</f>
        <v>2.1481215747701587</v>
      </c>
      <c r="O47" s="302">
        <f>SUM(G47:N47)</f>
        <v>921.57885048693845</v>
      </c>
      <c r="P47" s="305"/>
    </row>
    <row r="48" spans="3:16">
      <c r="C48" s="450">
        <v>26</v>
      </c>
      <c r="D48" s="540" t="s">
        <v>316</v>
      </c>
      <c r="E48" s="540"/>
      <c r="F48" s="540"/>
      <c r="G48" s="540"/>
      <c r="H48" s="540"/>
      <c r="I48" s="540"/>
      <c r="J48" s="540"/>
      <c r="K48" s="540"/>
      <c r="L48" s="540"/>
      <c r="M48" s="540"/>
      <c r="N48" s="540"/>
      <c r="O48" s="540"/>
    </row>
    <row r="49" spans="3:29">
      <c r="C49" s="450">
        <v>27</v>
      </c>
      <c r="D49" s="539">
        <f t="shared" ref="D49:D56" si="9">D24</f>
        <v>2006</v>
      </c>
      <c r="E49" s="538"/>
      <c r="F49" s="304"/>
      <c r="G49" s="244">
        <f>Summary!B10</f>
        <v>44312.083333333336</v>
      </c>
      <c r="H49" s="244">
        <f>Summary!B14</f>
        <v>4313.833333333333</v>
      </c>
      <c r="I49" s="244">
        <f>Summary!B18</f>
        <v>492.5</v>
      </c>
      <c r="J49" s="244">
        <f>Summary!B23</f>
        <v>18</v>
      </c>
      <c r="K49" s="244">
        <f>Summary!B28</f>
        <v>0</v>
      </c>
      <c r="L49" s="244">
        <f>Summary!B33</f>
        <v>12962</v>
      </c>
      <c r="M49" s="244">
        <f>Summary!B38</f>
        <v>164</v>
      </c>
      <c r="N49" s="244">
        <f>Summary!B43</f>
        <v>428</v>
      </c>
      <c r="O49" s="244">
        <f>SUM(G49:N49)</f>
        <v>62690.416666666672</v>
      </c>
      <c r="P49" s="309"/>
      <c r="Q49" s="309"/>
    </row>
    <row r="50" spans="3:29" ht="12.75" customHeight="1">
      <c r="C50" s="450">
        <v>28</v>
      </c>
      <c r="D50" s="539">
        <f t="shared" si="9"/>
        <v>2007</v>
      </c>
      <c r="E50" s="538"/>
      <c r="F50" s="304"/>
      <c r="G50" s="244">
        <f>Summary!C10</f>
        <v>44388.583333333336</v>
      </c>
      <c r="H50" s="244">
        <f>Summary!C14</f>
        <v>4273.25</v>
      </c>
      <c r="I50" s="244">
        <f>Summary!C18</f>
        <v>500.5</v>
      </c>
      <c r="J50" s="244">
        <f>Summary!C23</f>
        <v>18.666666666666668</v>
      </c>
      <c r="K50" s="244">
        <f>Summary!C28</f>
        <v>0</v>
      </c>
      <c r="L50" s="244">
        <f>Summary!C33</f>
        <v>12976</v>
      </c>
      <c r="M50" s="244">
        <f>Summary!C38</f>
        <v>153</v>
      </c>
      <c r="N50" s="244">
        <f>Summary!C43</f>
        <v>435</v>
      </c>
      <c r="O50" s="244">
        <f t="shared" ref="O50:O61" si="10">SUM(G50:N50)</f>
        <v>62745</v>
      </c>
      <c r="P50" s="309"/>
      <c r="Q50" s="309"/>
    </row>
    <row r="51" spans="3:29">
      <c r="C51" s="450">
        <v>29</v>
      </c>
      <c r="D51" s="539">
        <f t="shared" si="9"/>
        <v>2008</v>
      </c>
      <c r="E51" s="538"/>
      <c r="F51" s="304"/>
      <c r="G51" s="244">
        <f>Summary!D10</f>
        <v>44537.5</v>
      </c>
      <c r="H51" s="244">
        <f>Summary!D14</f>
        <v>4256.916666666667</v>
      </c>
      <c r="I51" s="244">
        <f>Summary!D18</f>
        <v>507.25</v>
      </c>
      <c r="J51" s="244">
        <f>Summary!D23</f>
        <v>19</v>
      </c>
      <c r="K51" s="244">
        <f>Summary!D28</f>
        <v>0</v>
      </c>
      <c r="L51" s="244">
        <f>Summary!D33</f>
        <v>13135</v>
      </c>
      <c r="M51" s="244">
        <f>Summary!D38</f>
        <v>149.83333333333334</v>
      </c>
      <c r="N51" s="244">
        <f>Summary!D43</f>
        <v>457</v>
      </c>
      <c r="O51" s="244">
        <f t="shared" si="10"/>
        <v>63062.5</v>
      </c>
      <c r="P51" s="309"/>
      <c r="Q51" s="309"/>
    </row>
    <row r="52" spans="3:29">
      <c r="C52" s="450">
        <v>30</v>
      </c>
      <c r="D52" s="539">
        <f t="shared" si="9"/>
        <v>2009</v>
      </c>
      <c r="E52" s="538"/>
      <c r="F52" s="304"/>
      <c r="G52" s="244">
        <f>Summary!E10</f>
        <v>44613.666666666664</v>
      </c>
      <c r="H52" s="244">
        <f>Summary!E14</f>
        <v>4264.916666666667</v>
      </c>
      <c r="I52" s="244">
        <f>Summary!E18</f>
        <v>506.08333333333331</v>
      </c>
      <c r="J52" s="244">
        <f>Summary!E23</f>
        <v>21.083333333333332</v>
      </c>
      <c r="K52" s="244">
        <f>Summary!E28</f>
        <v>0</v>
      </c>
      <c r="L52" s="244">
        <f>Summary!E33</f>
        <v>13038.75</v>
      </c>
      <c r="M52" s="244">
        <f>Summary!E38</f>
        <v>157.91666666666666</v>
      </c>
      <c r="N52" s="244">
        <f>Summary!E43</f>
        <v>458.5</v>
      </c>
      <c r="O52" s="244">
        <f t="shared" si="10"/>
        <v>63060.916666666664</v>
      </c>
      <c r="P52" s="309"/>
      <c r="Q52" s="309"/>
    </row>
    <row r="53" spans="3:29">
      <c r="C53" s="450">
        <v>31</v>
      </c>
      <c r="D53" s="539">
        <f t="shared" si="9"/>
        <v>2010</v>
      </c>
      <c r="E53" s="538"/>
      <c r="F53" s="304"/>
      <c r="G53" s="244">
        <f>Summary!F10</f>
        <v>44735.583333333336</v>
      </c>
      <c r="H53" s="244">
        <f>Summary!F14</f>
        <v>4305.75</v>
      </c>
      <c r="I53" s="244">
        <f>Summary!F18</f>
        <v>506.66666666666669</v>
      </c>
      <c r="J53" s="244">
        <f>Summary!F23</f>
        <v>19.916666666666668</v>
      </c>
      <c r="K53" s="244">
        <f>Summary!F28</f>
        <v>0</v>
      </c>
      <c r="L53" s="244">
        <f>Summary!F33</f>
        <v>13170</v>
      </c>
      <c r="M53" s="244">
        <f>Summary!F38</f>
        <v>166.75</v>
      </c>
      <c r="N53" s="244">
        <f>Summary!F43</f>
        <v>469.25</v>
      </c>
      <c r="O53" s="244">
        <f t="shared" si="10"/>
        <v>63373.916666666664</v>
      </c>
      <c r="P53" s="309"/>
      <c r="Q53" s="309"/>
    </row>
    <row r="54" spans="3:29" ht="12.75" customHeight="1">
      <c r="C54" s="450">
        <v>32</v>
      </c>
      <c r="D54" s="539">
        <f t="shared" si="9"/>
        <v>2011</v>
      </c>
      <c r="E54" s="538"/>
      <c r="F54" s="304"/>
      <c r="G54" s="244">
        <f>Summary!G10</f>
        <v>44900.666666666664</v>
      </c>
      <c r="H54" s="244">
        <f>Summary!G14</f>
        <v>4339.666666666667</v>
      </c>
      <c r="I54" s="244">
        <f>Summary!G18</f>
        <v>505.75</v>
      </c>
      <c r="J54" s="244">
        <f>Summary!G23</f>
        <v>18.916666666666668</v>
      </c>
      <c r="K54" s="244">
        <f>Summary!G28</f>
        <v>0</v>
      </c>
      <c r="L54" s="244">
        <f>Summary!G33</f>
        <v>13090.833333333334</v>
      </c>
      <c r="M54" s="244">
        <f>Summary!G38</f>
        <v>147.58333333333334</v>
      </c>
      <c r="N54" s="244">
        <f>Summary!G43</f>
        <v>470.08333333333331</v>
      </c>
      <c r="O54" s="244">
        <f t="shared" si="10"/>
        <v>63473.5</v>
      </c>
      <c r="P54" s="309"/>
      <c r="Q54" s="309"/>
    </row>
    <row r="55" spans="3:29">
      <c r="C55" s="450">
        <v>33</v>
      </c>
      <c r="D55" s="539">
        <f t="shared" si="9"/>
        <v>2012</v>
      </c>
      <c r="E55" s="538"/>
      <c r="F55" s="304"/>
      <c r="G55" s="244">
        <f>Summary!H10</f>
        <v>44736.75</v>
      </c>
      <c r="H55" s="244">
        <f>Summary!H14</f>
        <v>4496.916666666667</v>
      </c>
      <c r="I55" s="244">
        <f>Summary!H18</f>
        <v>513.5</v>
      </c>
      <c r="J55" s="244">
        <f>Summary!H23</f>
        <v>19.416666666666668</v>
      </c>
      <c r="K55" s="244">
        <f>Summary!H28</f>
        <v>0</v>
      </c>
      <c r="L55" s="244">
        <f>Summary!H33</f>
        <v>13172.083333333334</v>
      </c>
      <c r="M55" s="244">
        <f>Summary!H38</f>
        <v>167.16666666666666</v>
      </c>
      <c r="N55" s="244">
        <f>Summary!H43</f>
        <v>469.83333333333331</v>
      </c>
      <c r="O55" s="244">
        <f t="shared" si="10"/>
        <v>63575.666666666664</v>
      </c>
      <c r="P55" s="309"/>
      <c r="Q55" s="309"/>
    </row>
    <row r="56" spans="3:29">
      <c r="C56" s="450">
        <v>34</v>
      </c>
      <c r="D56" s="539">
        <f t="shared" si="9"/>
        <v>2013</v>
      </c>
      <c r="E56" s="538"/>
      <c r="F56" s="304"/>
      <c r="G56" s="244">
        <f>Summary!I10</f>
        <v>44942.416666666664</v>
      </c>
      <c r="H56" s="244">
        <f>Summary!I14</f>
        <v>4527.75</v>
      </c>
      <c r="I56" s="244">
        <f>Summary!I18</f>
        <v>511.58333333333331</v>
      </c>
      <c r="J56" s="244">
        <f>Summary!I23</f>
        <v>21.083333333333332</v>
      </c>
      <c r="K56" s="244">
        <f>Summary!I28</f>
        <v>0</v>
      </c>
      <c r="L56" s="244">
        <f>Summary!I33</f>
        <v>13095.333333333334</v>
      </c>
      <c r="M56" s="244">
        <f>Summary!I38</f>
        <v>170.83333333333334</v>
      </c>
      <c r="N56" s="244">
        <f>Summary!I43</f>
        <v>465.5</v>
      </c>
      <c r="O56" s="244">
        <f t="shared" si="10"/>
        <v>63734.500000000007</v>
      </c>
      <c r="P56" s="309"/>
      <c r="Q56" s="309"/>
    </row>
    <row r="57" spans="3:29" ht="30.75" customHeight="1">
      <c r="C57" s="450">
        <v>35</v>
      </c>
      <c r="D57" s="543" t="str">
        <f>D43</f>
        <v>2013 Board Approved</v>
      </c>
      <c r="E57" s="544"/>
      <c r="F57" s="304"/>
      <c r="G57" s="244">
        <f>[7]Summary!$O$12</f>
        <v>44881.009746844953</v>
      </c>
      <c r="H57" s="244">
        <f>[7]Summary!$O$16</f>
        <v>4491.6613249112725</v>
      </c>
      <c r="I57" s="244">
        <f>[7]Summary!$O$20</f>
        <v>514.84096429896726</v>
      </c>
      <c r="J57" s="244">
        <f>[7]Summary!$O$25</f>
        <v>19.000000000000004</v>
      </c>
      <c r="K57" s="244">
        <v>0</v>
      </c>
      <c r="L57" s="244">
        <f>[7]Summary!$O$30</f>
        <v>13216.809308754411</v>
      </c>
      <c r="M57" s="244">
        <f>[7]Summary!$O$35</f>
        <v>168.67175619551304</v>
      </c>
      <c r="N57" s="244">
        <f>[7]Summary!$O$40</f>
        <v>475.32528689516721</v>
      </c>
      <c r="O57" s="244">
        <f>SUM(G57:N57)</f>
        <v>63767.318387900283</v>
      </c>
      <c r="P57" s="309"/>
      <c r="Q57" s="309"/>
    </row>
    <row r="58" spans="3:29" ht="12.75" customHeight="1">
      <c r="C58" s="450">
        <v>36</v>
      </c>
      <c r="D58" s="539">
        <f>D32</f>
        <v>2014</v>
      </c>
      <c r="E58" s="538"/>
      <c r="F58" s="308"/>
      <c r="G58" s="244">
        <f>Summary!J10</f>
        <v>45106.2705078125</v>
      </c>
      <c r="H58" s="244">
        <f>Summary!J14</f>
        <v>4577.895263671875</v>
      </c>
      <c r="I58" s="244">
        <f>Summary!J18</f>
        <v>495.30155436197919</v>
      </c>
      <c r="J58" s="244">
        <f>Summary!J23</f>
        <v>20.762959798177082</v>
      </c>
      <c r="K58" s="244">
        <f>Summary!J28</f>
        <v>0</v>
      </c>
      <c r="L58" s="244">
        <f>Summary!J33</f>
        <v>13148.318033854166</v>
      </c>
      <c r="M58" s="244">
        <f>Summary!J38</f>
        <v>172.08199055989584</v>
      </c>
      <c r="N58" s="244">
        <f>Summary!J43</f>
        <v>462.49702962239581</v>
      </c>
      <c r="O58" s="244">
        <f t="shared" si="10"/>
        <v>63983.127339680992</v>
      </c>
      <c r="P58" s="309"/>
      <c r="Q58" s="309"/>
      <c r="U58" s="309"/>
    </row>
    <row r="59" spans="3:29" ht="12.75" customHeight="1">
      <c r="C59" s="450">
        <v>37</v>
      </c>
      <c r="D59" s="539">
        <f>D33</f>
        <v>2015</v>
      </c>
      <c r="E59" s="538"/>
      <c r="F59" s="310"/>
      <c r="G59" s="244">
        <f>Summary!$K$10</f>
        <v>45272.592574993767</v>
      </c>
      <c r="H59" s="244">
        <f>Summary!$K$14</f>
        <v>4606.5062813957529</v>
      </c>
      <c r="I59" s="244">
        <f>Summary!$K$18</f>
        <v>471.62621294458705</v>
      </c>
      <c r="J59" s="244">
        <f>Summary!K23</f>
        <v>21.903750717639923</v>
      </c>
      <c r="K59" s="244">
        <f>Summary!$K$28</f>
        <v>0</v>
      </c>
      <c r="L59" s="244">
        <f>Summary!K33</f>
        <v>13197.213741430789</v>
      </c>
      <c r="M59" s="244">
        <f>Summary!K38</f>
        <v>170.93070442477861</v>
      </c>
      <c r="N59" s="244">
        <f>Summary!K43</f>
        <v>451.08502161006135</v>
      </c>
      <c r="O59" s="244">
        <f t="shared" si="10"/>
        <v>64191.858287517374</v>
      </c>
      <c r="P59" s="309"/>
      <c r="Q59" s="309"/>
    </row>
    <row r="60" spans="3:29" ht="12.75" customHeight="1">
      <c r="C60" s="450">
        <v>38</v>
      </c>
      <c r="D60" s="539" t="str">
        <f>D46</f>
        <v>2016 Bridge</v>
      </c>
      <c r="E60" s="538"/>
      <c r="F60" s="288"/>
      <c r="G60" s="244">
        <f>Summary!L10</f>
        <v>45415.196555804439</v>
      </c>
      <c r="H60" s="244">
        <f>Summary!L14</f>
        <v>4623.1350602549164</v>
      </c>
      <c r="I60" s="244">
        <f>Summary!L18</f>
        <v>462.83423899421177</v>
      </c>
      <c r="J60" s="244">
        <f>Summary!L23</f>
        <v>21.640601501640049</v>
      </c>
      <c r="K60" s="244">
        <f>Summary!L28</f>
        <v>0</v>
      </c>
      <c r="L60" s="244">
        <f>Summary!L33</f>
        <v>13245.738644907577</v>
      </c>
      <c r="M60" s="244">
        <f>Summary!L38</f>
        <v>163.76341081650995</v>
      </c>
      <c r="N60" s="244">
        <f>Summary!L43</f>
        <v>439.66158081582279</v>
      </c>
      <c r="O60" s="244">
        <f t="shared" si="10"/>
        <v>64371.970093095115</v>
      </c>
      <c r="P60" s="309"/>
      <c r="Q60" s="309"/>
    </row>
    <row r="61" spans="3:29" ht="12.75" customHeight="1">
      <c r="C61" s="450">
        <v>39</v>
      </c>
      <c r="D61" s="539" t="str">
        <f>D47</f>
        <v>2017 Test</v>
      </c>
      <c r="E61" s="538"/>
      <c r="F61" s="311"/>
      <c r="G61" s="244">
        <f>Summary!M10</f>
        <v>45527.007090561528</v>
      </c>
      <c r="H61" s="244">
        <f>Summary!M14</f>
        <v>4655.2595854572637</v>
      </c>
      <c r="I61" s="244">
        <f>Summary!M18</f>
        <v>459.96777205383216</v>
      </c>
      <c r="J61" s="244">
        <f>Summary!M23</f>
        <v>21.640601501640049</v>
      </c>
      <c r="K61" s="244">
        <f>Summary!M28</f>
        <v>0</v>
      </c>
      <c r="L61" s="244">
        <f>Summary!M33</f>
        <v>13274.451896791892</v>
      </c>
      <c r="M61" s="244">
        <f>Summary!M38</f>
        <v>163.76341081650995</v>
      </c>
      <c r="N61" s="244">
        <f>Summary!M43</f>
        <v>439.66158081582279</v>
      </c>
      <c r="O61" s="244">
        <f t="shared" si="10"/>
        <v>64541.751937998488</v>
      </c>
      <c r="P61" s="309"/>
      <c r="Q61" s="309"/>
    </row>
    <row r="63" spans="3:29" s="20" customFormat="1">
      <c r="D63" s="312"/>
      <c r="E63" s="313"/>
      <c r="F63" s="313"/>
      <c r="G63" s="314"/>
      <c r="H63" s="314"/>
      <c r="I63" s="314"/>
      <c r="J63" s="314"/>
      <c r="K63" s="314"/>
      <c r="L63" s="314"/>
      <c r="M63" s="314"/>
      <c r="N63" s="300"/>
      <c r="AC63" s="418"/>
    </row>
    <row r="64" spans="3:29" ht="32.25" customHeight="1" thickBot="1">
      <c r="D64" s="545" t="s">
        <v>346</v>
      </c>
      <c r="E64" s="546"/>
      <c r="F64" s="546"/>
      <c r="G64" s="546"/>
      <c r="H64" s="546"/>
      <c r="I64" s="547"/>
    </row>
    <row r="65" spans="3:16" ht="48.75" thickBot="1">
      <c r="C65" s="448" t="s">
        <v>423</v>
      </c>
      <c r="D65" s="541" t="s">
        <v>314</v>
      </c>
      <c r="E65" s="541"/>
      <c r="F65" s="364"/>
      <c r="G65" s="357" t="str">
        <f>G22</f>
        <v xml:space="preserve">Residential </v>
      </c>
      <c r="H65" s="357" t="str">
        <f t="shared" ref="H65:I65" si="11">H22</f>
        <v>General Service
 &lt; 50 kW</v>
      </c>
      <c r="I65" s="358" t="str">
        <f t="shared" si="11"/>
        <v>General Service
 &gt; 50 to 999 kW</v>
      </c>
    </row>
    <row r="66" spans="3:16" ht="14.25" hidden="1" customHeight="1">
      <c r="C66" s="439"/>
      <c r="D66" s="354" t="s">
        <v>40</v>
      </c>
      <c r="E66" s="354"/>
      <c r="F66" s="355"/>
      <c r="G66" s="356">
        <f>Summary!B55/1000000</f>
        <v>0</v>
      </c>
      <c r="H66" s="356">
        <f>Summary!B59/1000000</f>
        <v>0</v>
      </c>
      <c r="I66" s="356" t="e">
        <f>Summary!#REF!/1000000</f>
        <v>#REF!</v>
      </c>
    </row>
    <row r="67" spans="3:16">
      <c r="C67" s="412">
        <v>1</v>
      </c>
      <c r="D67" s="538">
        <f t="shared" ref="D67:D74" si="12">D49</f>
        <v>2006</v>
      </c>
      <c r="E67" s="538"/>
      <c r="F67" s="288"/>
      <c r="G67" s="244">
        <f>'CDM Activity'!I3</f>
        <v>1623155.213645139</v>
      </c>
      <c r="H67" s="244">
        <f>'CDM Activity'!O3</f>
        <v>0</v>
      </c>
      <c r="I67" s="244">
        <f>'CDM Activity'!U3</f>
        <v>0</v>
      </c>
    </row>
    <row r="68" spans="3:16">
      <c r="C68" s="412">
        <v>2</v>
      </c>
      <c r="D68" s="538">
        <f t="shared" si="12"/>
        <v>2007</v>
      </c>
      <c r="E68" s="538"/>
      <c r="F68" s="288"/>
      <c r="G68" s="244">
        <f>'CDM Activity'!I4</f>
        <v>4646180.5660392176</v>
      </c>
      <c r="H68" s="244">
        <f>'CDM Activity'!O4</f>
        <v>0</v>
      </c>
      <c r="I68" s="244">
        <f>'CDM Activity'!U4</f>
        <v>0</v>
      </c>
      <c r="P68" s="309"/>
    </row>
    <row r="69" spans="3:16">
      <c r="C69" s="412">
        <v>3</v>
      </c>
      <c r="D69" s="538">
        <f t="shared" si="12"/>
        <v>2008</v>
      </c>
      <c r="E69" s="538"/>
      <c r="F69" s="304"/>
      <c r="G69" s="244">
        <f>'CDM Activity'!I5</f>
        <v>6816130.0086207483</v>
      </c>
      <c r="H69" s="244">
        <f>'CDM Activity'!O5</f>
        <v>50032.177031538566</v>
      </c>
      <c r="I69" s="244">
        <f>'CDM Activity'!U5</f>
        <v>129796.56244278199</v>
      </c>
      <c r="P69" s="309"/>
    </row>
    <row r="70" spans="3:16">
      <c r="C70" s="412">
        <v>4</v>
      </c>
      <c r="D70" s="538">
        <f t="shared" si="12"/>
        <v>2009</v>
      </c>
      <c r="E70" s="538"/>
      <c r="F70" s="304"/>
      <c r="G70" s="244">
        <f>'CDM Activity'!I6</f>
        <v>8262415.9752332782</v>
      </c>
      <c r="H70" s="244">
        <f>'CDM Activity'!O6</f>
        <v>713364.2645495201</v>
      </c>
      <c r="I70" s="244">
        <f>'CDM Activity'!U6</f>
        <v>1205415.6887927018</v>
      </c>
    </row>
    <row r="71" spans="3:16">
      <c r="C71" s="412">
        <v>5</v>
      </c>
      <c r="D71" s="538">
        <f t="shared" si="12"/>
        <v>2010</v>
      </c>
      <c r="E71" s="538"/>
      <c r="F71" s="304"/>
      <c r="G71" s="244">
        <f>'CDM Activity'!I7</f>
        <v>6707812.2110402873</v>
      </c>
      <c r="H71" s="244">
        <f>'CDM Activity'!O7</f>
        <v>1834512.0953367227</v>
      </c>
      <c r="I71" s="244">
        <f>'CDM Activity'!U7</f>
        <v>2242150.1214050464</v>
      </c>
      <c r="P71" s="309"/>
    </row>
    <row r="72" spans="3:16">
      <c r="C72" s="412">
        <v>6</v>
      </c>
      <c r="D72" s="538">
        <f t="shared" si="12"/>
        <v>2011</v>
      </c>
      <c r="E72" s="538"/>
      <c r="F72" s="304"/>
      <c r="G72" s="244">
        <f>'CDM Activity'!I8</f>
        <v>7261361.956700353</v>
      </c>
      <c r="H72" s="244">
        <f>'CDM Activity'!O8</f>
        <v>2580473.4600397875</v>
      </c>
      <c r="I72" s="244">
        <f>'CDM Activity'!U8</f>
        <v>2172752.5882172165</v>
      </c>
      <c r="P72" s="309"/>
    </row>
    <row r="73" spans="3:16">
      <c r="C73" s="412">
        <v>7</v>
      </c>
      <c r="D73" s="538">
        <f t="shared" si="12"/>
        <v>2012</v>
      </c>
      <c r="E73" s="538"/>
      <c r="F73" s="304"/>
      <c r="G73" s="244">
        <f>'CDM Activity'!I9</f>
        <v>7818796.6486679036</v>
      </c>
      <c r="H73" s="244">
        <f>'CDM Activity'!O9</f>
        <v>3418593.1120574865</v>
      </c>
      <c r="I73" s="244">
        <f>'CDM Activity'!U9</f>
        <v>2953081.6058564926</v>
      </c>
      <c r="P73" s="309"/>
    </row>
    <row r="74" spans="3:16">
      <c r="C74" s="412">
        <v>8</v>
      </c>
      <c r="D74" s="538">
        <f t="shared" si="12"/>
        <v>2013</v>
      </c>
      <c r="E74" s="538"/>
      <c r="F74" s="304"/>
      <c r="G74" s="244">
        <f>'CDM Activity'!I10</f>
        <v>8253039.4152895045</v>
      </c>
      <c r="H74" s="244">
        <f>'CDM Activity'!O10</f>
        <v>4757562.3195355311</v>
      </c>
      <c r="I74" s="244">
        <f>'CDM Activity'!U10</f>
        <v>4625958.5316054821</v>
      </c>
      <c r="P74" s="309"/>
    </row>
    <row r="75" spans="3:16">
      <c r="C75" s="412">
        <v>9</v>
      </c>
      <c r="D75" s="538">
        <f>D58</f>
        <v>2014</v>
      </c>
      <c r="E75" s="538"/>
      <c r="F75" s="288"/>
      <c r="G75" s="244">
        <f>'CDM Activity'!I11</f>
        <v>8615819.7132881004</v>
      </c>
      <c r="H75" s="244">
        <f>'CDM Activity'!O11</f>
        <v>6261863.538312396</v>
      </c>
      <c r="I75" s="244">
        <f>'CDM Activity'!U11</f>
        <v>7042383.0340626836</v>
      </c>
    </row>
    <row r="76" spans="3:16">
      <c r="C76" s="412">
        <v>10</v>
      </c>
      <c r="D76" s="538">
        <f>D59</f>
        <v>2015</v>
      </c>
      <c r="E76" s="538"/>
      <c r="F76" s="304"/>
      <c r="G76" s="244">
        <f>'CDM Activity'!I12</f>
        <v>8793615.0518031921</v>
      </c>
      <c r="H76" s="244">
        <f>'CDM Activity'!O12</f>
        <v>7255234.346112065</v>
      </c>
      <c r="I76" s="244">
        <f>'CDM Activity'!U12</f>
        <v>9704337.5262477193</v>
      </c>
    </row>
    <row r="77" spans="3:16">
      <c r="C77" s="412">
        <v>11</v>
      </c>
      <c r="D77" s="538" t="str">
        <f>D60</f>
        <v>2016 Bridge</v>
      </c>
      <c r="E77" s="538"/>
      <c r="F77" s="304"/>
      <c r="G77" s="244">
        <f>'CDM Activity'!I13</f>
        <v>8764898.1253954507</v>
      </c>
      <c r="H77" s="244">
        <f>'CDM Activity'!O13</f>
        <v>7216281.2640150217</v>
      </c>
      <c r="I77" s="244">
        <f>'CDM Activity'!U13</f>
        <v>10899237.105891444</v>
      </c>
    </row>
    <row r="78" spans="3:16">
      <c r="C78" s="412">
        <v>12</v>
      </c>
      <c r="D78" s="538" t="str">
        <f>D61</f>
        <v>2017 Test</v>
      </c>
      <c r="E78" s="538"/>
      <c r="F78" s="304"/>
      <c r="G78" s="244">
        <f>'CDM Activity'!I14</f>
        <v>7640624.6398385055</v>
      </c>
      <c r="H78" s="244">
        <f>'CDM Activity'!O14</f>
        <v>5364658.7894995185</v>
      </c>
      <c r="I78" s="244">
        <f>'CDM Activity'!U14</f>
        <v>10530820.354635421</v>
      </c>
    </row>
    <row r="79" spans="3:16">
      <c r="C79" s="412">
        <v>13</v>
      </c>
      <c r="D79" s="538" t="s">
        <v>5</v>
      </c>
      <c r="E79" s="538"/>
      <c r="G79" s="244">
        <f>SUM(G66:G78)</f>
        <v>85203849.525561675</v>
      </c>
      <c r="H79" s="244">
        <f t="shared" ref="H79:I79" si="13">SUM(H66:H78)</f>
        <v>39452575.366489589</v>
      </c>
      <c r="I79" s="244" t="e">
        <f t="shared" si="13"/>
        <v>#REF!</v>
      </c>
      <c r="J79" s="315"/>
    </row>
    <row r="80" spans="3:16">
      <c r="J80" s="315"/>
    </row>
    <row r="81" spans="2:14">
      <c r="J81" s="315"/>
    </row>
    <row r="82" spans="2:14" ht="13.5" thickBot="1">
      <c r="D82" s="554" t="s">
        <v>347</v>
      </c>
      <c r="E82" s="554"/>
      <c r="F82" s="554"/>
      <c r="G82" s="554"/>
      <c r="H82" s="554"/>
      <c r="I82" s="554"/>
    </row>
    <row r="83" spans="2:14" ht="70.5" customHeight="1" thickBot="1">
      <c r="B83" s="451" t="s">
        <v>424</v>
      </c>
      <c r="C83" s="548" t="s">
        <v>317</v>
      </c>
      <c r="D83" s="548"/>
      <c r="E83" s="548"/>
      <c r="F83" s="364"/>
      <c r="G83" s="357" t="str">
        <f>G22</f>
        <v xml:space="preserve">Residential </v>
      </c>
      <c r="H83" s="357" t="str">
        <f>H22</f>
        <v>General Service
 &lt; 50 kW</v>
      </c>
      <c r="I83" s="358" t="str">
        <f>I22</f>
        <v>General Service
 &gt; 50 to 999 kW</v>
      </c>
      <c r="N83" s="301"/>
    </row>
    <row r="84" spans="2:14">
      <c r="B84" s="453">
        <v>1</v>
      </c>
      <c r="C84" s="549" t="s">
        <v>18</v>
      </c>
      <c r="D84" s="549"/>
      <c r="E84" s="549"/>
      <c r="F84" s="365"/>
      <c r="G84" s="363">
        <f>Residential!O91</f>
        <v>0.95273945836919682</v>
      </c>
      <c r="H84" s="363">
        <f>'GS &lt; 50 kW'!O91</f>
        <v>0.94675511139268775</v>
      </c>
      <c r="I84" s="363">
        <f>'GS &gt; 50 kW'!O91</f>
        <v>0.96855771634881371</v>
      </c>
    </row>
    <row r="85" spans="2:14">
      <c r="B85" s="452">
        <v>2</v>
      </c>
      <c r="C85" s="550" t="s">
        <v>19</v>
      </c>
      <c r="D85" s="550"/>
      <c r="E85" s="550"/>
      <c r="F85" s="366"/>
      <c r="G85" s="316">
        <f>Residential!O92</f>
        <v>0.95066662759591591</v>
      </c>
      <c r="H85" s="316">
        <f>'GS &lt; 50 kW'!O92</f>
        <v>0.94392794916575085</v>
      </c>
      <c r="I85" s="316">
        <f>'GS &gt; 50 kW'!O92</f>
        <v>0.96688821456202512</v>
      </c>
    </row>
    <row r="86" spans="2:14">
      <c r="B86" s="452">
        <v>3</v>
      </c>
      <c r="C86" s="550" t="s">
        <v>318</v>
      </c>
      <c r="D86" s="550"/>
      <c r="E86" s="550"/>
      <c r="F86" s="366"/>
      <c r="G86" s="242">
        <f>Residential!R98</f>
        <v>459.63205035846539</v>
      </c>
      <c r="H86" s="242">
        <f>'GS &lt; 50 kW'!R98</f>
        <v>334.8782402269303</v>
      </c>
      <c r="I86" s="242">
        <f>'GS &gt; 50 kW'!R98</f>
        <v>580.14775666210392</v>
      </c>
    </row>
    <row r="87" spans="2:14">
      <c r="B87" s="280">
        <v>4</v>
      </c>
      <c r="C87" s="550" t="s">
        <v>349</v>
      </c>
      <c r="D87" s="550"/>
      <c r="E87" s="550"/>
      <c r="F87" s="366"/>
      <c r="G87" s="317">
        <f>Residential!M207</f>
        <v>2.6165402314257472E-2</v>
      </c>
      <c r="H87" s="317">
        <f>'GS &lt; 50 kW'!M207</f>
        <v>2.1995143667713914E-2</v>
      </c>
      <c r="I87" s="317">
        <f>'GS &gt; 50 kW'!M207</f>
        <v>1.6020175840889338E-2</v>
      </c>
    </row>
    <row r="88" spans="2:14">
      <c r="B88" s="280">
        <v>5</v>
      </c>
      <c r="C88" s="550" t="s">
        <v>319</v>
      </c>
      <c r="D88" s="550"/>
      <c r="E88" s="550"/>
      <c r="F88" s="366"/>
      <c r="G88" s="242"/>
      <c r="H88" s="242"/>
      <c r="I88" s="242"/>
    </row>
    <row r="89" spans="2:14">
      <c r="B89" s="280">
        <v>6</v>
      </c>
      <c r="C89" s="550" t="str">
        <f>Residential!N104</f>
        <v>Heating Degree Days</v>
      </c>
      <c r="D89" s="550"/>
      <c r="E89" s="550"/>
      <c r="F89" s="366"/>
      <c r="G89" s="318">
        <f>Residential!Q104</f>
        <v>39.223376852810382</v>
      </c>
      <c r="H89" s="318">
        <f>'GS &lt; 50 kW'!Q104</f>
        <v>36.605340916012089</v>
      </c>
      <c r="I89" s="318">
        <f>'GS &gt; 50 kW'!Q104</f>
        <v>46.717931546761697</v>
      </c>
    </row>
    <row r="90" spans="2:14">
      <c r="B90" s="280">
        <v>7</v>
      </c>
      <c r="C90" s="550" t="str">
        <f>Residential!N105</f>
        <v>Cooling Degree Days</v>
      </c>
      <c r="D90" s="550"/>
      <c r="E90" s="550"/>
      <c r="F90" s="366"/>
      <c r="G90" s="318">
        <f>Residential!Q105</f>
        <v>5.3060442486558861</v>
      </c>
      <c r="H90" s="318">
        <f>'GS &lt; 50 kW'!Q105</f>
        <v>7.2715029871082759</v>
      </c>
      <c r="I90" s="318">
        <f>'GS &gt; 50 kW'!Q105</f>
        <v>9.8262937999787479</v>
      </c>
    </row>
    <row r="91" spans="2:14">
      <c r="B91" s="280">
        <v>8</v>
      </c>
      <c r="C91" s="550" t="str">
        <f>Residential!N106</f>
        <v>Number of Days in Month</v>
      </c>
      <c r="D91" s="550"/>
      <c r="E91" s="550"/>
      <c r="F91" s="366"/>
      <c r="G91" s="318">
        <f>Residential!Q106</f>
        <v>8.9512204652615353</v>
      </c>
      <c r="H91" s="318">
        <f>'GS &lt; 50 kW'!Q106</f>
        <v>7.3262710816506385</v>
      </c>
      <c r="I91" s="318">
        <f>'GS &gt; 50 kW'!Q106</f>
        <v>7.2500033773506019</v>
      </c>
    </row>
    <row r="92" spans="2:14">
      <c r="B92" s="280">
        <v>9</v>
      </c>
      <c r="C92" s="550" t="str">
        <f>Residential!N107</f>
        <v>Spring Fall Flag</v>
      </c>
      <c r="D92" s="550"/>
      <c r="E92" s="550"/>
      <c r="F92" s="366"/>
      <c r="G92" s="318">
        <f>Residential!Q107</f>
        <v>-4.5209636760051914</v>
      </c>
      <c r="H92" s="318">
        <f>'GS &lt; 50 kW'!Q107</f>
        <v>-7.1331191832610674</v>
      </c>
      <c r="I92" s="318">
        <f>'GS &gt; 50 kW'!Q107</f>
        <v>-6.2654520717301443</v>
      </c>
    </row>
    <row r="93" spans="2:14">
      <c r="B93" s="280">
        <v>10</v>
      </c>
      <c r="C93" s="550" t="str">
        <f>Residential!N108</f>
        <v>CDM Activity</v>
      </c>
      <c r="D93" s="550"/>
      <c r="E93" s="550"/>
      <c r="F93" s="366"/>
      <c r="G93" s="318">
        <f>Residential!Q108</f>
        <v>-3.9896676606663961</v>
      </c>
      <c r="H93" s="318">
        <f>'GS &lt; 50 kW'!Q108</f>
        <v>-3.9353059591128949</v>
      </c>
      <c r="I93" s="318">
        <f>'GS &gt; 50 kW'!Q108</f>
        <v>-16.276285508494915</v>
      </c>
    </row>
    <row r="94" spans="2:14">
      <c r="B94" s="280">
        <v>11</v>
      </c>
      <c r="C94" s="550" t="str">
        <f>'GS &lt; 50 kW'!N109</f>
        <v>Ontario Real GDP Monthly %</v>
      </c>
      <c r="D94" s="550"/>
      <c r="E94" s="550"/>
      <c r="F94" s="366"/>
      <c r="G94" s="318"/>
      <c r="H94" s="318">
        <f>'GS &lt; 50 kW'!Q109</f>
        <v>3.0395603086107847</v>
      </c>
      <c r="I94" s="318"/>
    </row>
    <row r="95" spans="2:14">
      <c r="B95" s="280">
        <v>12</v>
      </c>
      <c r="C95" s="550" t="str">
        <f>'GS &gt; 50 kW'!N109</f>
        <v>Number of Peak Hours</v>
      </c>
      <c r="D95" s="550"/>
      <c r="E95" s="550"/>
      <c r="F95" s="366"/>
      <c r="G95" s="318"/>
      <c r="H95" s="318"/>
      <c r="I95" s="318">
        <f>'GS &gt; 50 kW'!Q109</f>
        <v>2.729630140590666</v>
      </c>
    </row>
    <row r="96" spans="2:14">
      <c r="B96" s="280">
        <v>13</v>
      </c>
      <c r="C96" s="550" t="str">
        <f>Residential!N103</f>
        <v>Intercept</v>
      </c>
      <c r="D96" s="550"/>
      <c r="E96" s="550"/>
      <c r="F96" s="367"/>
      <c r="G96" s="318">
        <f>Residential!Q103</f>
        <v>-1.9398651056796965</v>
      </c>
      <c r="H96" s="318">
        <f>'GS &lt; 50 kW'!Q103</f>
        <v>-2.2286101312474078</v>
      </c>
      <c r="I96" s="318">
        <f>'GS &gt; 50 kW'!Q103</f>
        <v>1.949587383408756</v>
      </c>
      <c r="N96" s="301"/>
    </row>
    <row r="97" spans="3:14">
      <c r="D97" s="319"/>
      <c r="N97" s="301"/>
    </row>
    <row r="98" spans="3:14" ht="13.5" thickBot="1">
      <c r="D98" s="567" t="s">
        <v>431</v>
      </c>
      <c r="E98" s="567"/>
      <c r="F98" s="567"/>
      <c r="G98" s="567"/>
      <c r="H98" s="567"/>
      <c r="I98" s="567"/>
      <c r="J98" s="567"/>
      <c r="K98" s="567"/>
      <c r="L98" s="567"/>
      <c r="N98" s="300"/>
    </row>
    <row r="99" spans="3:14" ht="48.75" thickBot="1">
      <c r="C99" s="449" t="s">
        <v>425</v>
      </c>
      <c r="D99" s="541" t="s">
        <v>314</v>
      </c>
      <c r="E99" s="541"/>
      <c r="F99" s="364"/>
      <c r="G99" s="368" t="s">
        <v>320</v>
      </c>
      <c r="H99" s="368" t="s">
        <v>321</v>
      </c>
      <c r="I99" s="368" t="s">
        <v>322</v>
      </c>
      <c r="J99" s="368" t="s">
        <v>341</v>
      </c>
      <c r="K99" s="368" t="s">
        <v>342</v>
      </c>
      <c r="L99" s="369" t="s">
        <v>343</v>
      </c>
      <c r="N99" s="300"/>
    </row>
    <row r="100" spans="3:14">
      <c r="C100" s="412">
        <v>1</v>
      </c>
      <c r="D100" s="564" t="s">
        <v>315</v>
      </c>
      <c r="E100" s="565"/>
      <c r="F100" s="565"/>
      <c r="G100" s="565"/>
      <c r="H100" s="565"/>
      <c r="I100" s="566"/>
      <c r="N100" s="300"/>
    </row>
    <row r="101" spans="3:14">
      <c r="C101" s="412">
        <v>2</v>
      </c>
      <c r="D101" s="539">
        <f t="shared" ref="D101:D110" si="14">D24</f>
        <v>2006</v>
      </c>
      <c r="E101" s="538"/>
      <c r="F101" s="288"/>
      <c r="G101" s="302">
        <f>Residential!B234/1000000</f>
        <v>344.98567016000089</v>
      </c>
      <c r="H101" s="302">
        <f>Residential!K234/1000000</f>
        <v>345.24560660896196</v>
      </c>
      <c r="I101" s="320">
        <f>H101/G101-1</f>
        <v>7.5347027846262016E-4</v>
      </c>
      <c r="J101" s="302">
        <f>Residential!N234/1000000</f>
        <v>349.07072557500658</v>
      </c>
      <c r="K101" s="321">
        <f t="shared" ref="K101:K112" si="15">J101/H101</f>
        <v>1.011079413880499</v>
      </c>
      <c r="L101" s="302">
        <f t="shared" ref="L101:L110" si="16">G101*K101</f>
        <v>348.80790918254485</v>
      </c>
      <c r="N101" s="300"/>
    </row>
    <row r="102" spans="3:14">
      <c r="C102" s="412">
        <v>3</v>
      </c>
      <c r="D102" s="539">
        <f t="shared" si="14"/>
        <v>2007</v>
      </c>
      <c r="E102" s="538"/>
      <c r="F102" s="288"/>
      <c r="G102" s="302">
        <f>Residential!B235/1000000</f>
        <v>347.35668225000097</v>
      </c>
      <c r="H102" s="302">
        <f>Residential!K235/1000000</f>
        <v>344.15985490742196</v>
      </c>
      <c r="I102" s="320">
        <f>H102/G102-1</f>
        <v>-9.2032988162817908E-3</v>
      </c>
      <c r="J102" s="302">
        <f>Residential!N235/1000000</f>
        <v>343.53353024206109</v>
      </c>
      <c r="K102" s="321">
        <f t="shared" si="15"/>
        <v>0.99818013444499698</v>
      </c>
      <c r="L102" s="302">
        <f t="shared" si="16"/>
        <v>346.72453978867406</v>
      </c>
      <c r="N102" s="300"/>
    </row>
    <row r="103" spans="3:14">
      <c r="C103" s="412">
        <v>4</v>
      </c>
      <c r="D103" s="539">
        <f t="shared" si="14"/>
        <v>2008</v>
      </c>
      <c r="E103" s="538"/>
      <c r="F103" s="288"/>
      <c r="G103" s="302">
        <f>Residential!B236/1000000</f>
        <v>349.64019536999899</v>
      </c>
      <c r="H103" s="302">
        <f>Residential!K236/1000000</f>
        <v>344.60500847302711</v>
      </c>
      <c r="I103" s="320">
        <f>H103/G103-1</f>
        <v>-1.4401052749794752E-2</v>
      </c>
      <c r="J103" s="302">
        <f>Residential!N236/1000000</f>
        <v>340.54163825969306</v>
      </c>
      <c r="K103" s="321">
        <f t="shared" si="15"/>
        <v>0.98820861533226356</v>
      </c>
      <c r="L103" s="302">
        <f t="shared" si="16"/>
        <v>345.5174533310888</v>
      </c>
      <c r="N103" s="300"/>
    </row>
    <row r="104" spans="3:14">
      <c r="C104" s="412">
        <v>5</v>
      </c>
      <c r="D104" s="539">
        <f t="shared" si="14"/>
        <v>2009</v>
      </c>
      <c r="E104" s="538"/>
      <c r="F104" s="304"/>
      <c r="G104" s="302">
        <f>Residential!B237/1000000</f>
        <v>344.72782068999925</v>
      </c>
      <c r="H104" s="302">
        <f>Residential!K237/1000000</f>
        <v>338.54201115360422</v>
      </c>
      <c r="I104" s="320">
        <f>H104/G104-1</f>
        <v>-1.7944039224956243E-2</v>
      </c>
      <c r="J104" s="302">
        <f>Residential!N237/1000000</f>
        <v>336.90976778675656</v>
      </c>
      <c r="K104" s="321">
        <f t="shared" si="15"/>
        <v>0.99517860911475753</v>
      </c>
      <c r="L104" s="302">
        <f t="shared" si="16"/>
        <v>343.06575311743501</v>
      </c>
      <c r="N104" s="300"/>
    </row>
    <row r="105" spans="3:14">
      <c r="C105" s="412">
        <v>6</v>
      </c>
      <c r="D105" s="539">
        <f t="shared" si="14"/>
        <v>2010</v>
      </c>
      <c r="E105" s="538"/>
      <c r="F105" s="304"/>
      <c r="G105" s="302">
        <f>Residential!B238/1000000</f>
        <v>335.58852946999957</v>
      </c>
      <c r="H105" s="302">
        <f>Residential!K238/1000000</f>
        <v>334.43120435864671</v>
      </c>
      <c r="I105" s="320">
        <f t="shared" ref="I105:I110" si="17">H105/G105-1</f>
        <v>-3.4486432333686867E-3</v>
      </c>
      <c r="J105" s="302">
        <f>Residential!N238/1000000</f>
        <v>339.75729425584541</v>
      </c>
      <c r="K105" s="321">
        <f t="shared" si="15"/>
        <v>1.0159258162150651</v>
      </c>
      <c r="L105" s="302">
        <f t="shared" si="16"/>
        <v>340.9330507142227</v>
      </c>
      <c r="N105" s="300"/>
    </row>
    <row r="106" spans="3:14">
      <c r="C106" s="412">
        <v>7</v>
      </c>
      <c r="D106" s="539">
        <f t="shared" si="14"/>
        <v>2011</v>
      </c>
      <c r="E106" s="538"/>
      <c r="F106" s="304"/>
      <c r="G106" s="302">
        <f>Residential!B239/1000000</f>
        <v>337.21230649999967</v>
      </c>
      <c r="H106" s="302">
        <f>Residential!K239/1000000</f>
        <v>339.85419471704739</v>
      </c>
      <c r="I106" s="320">
        <f t="shared" si="17"/>
        <v>7.8344952604738616E-3</v>
      </c>
      <c r="J106" s="302">
        <f>Residential!N239/1000000</f>
        <v>338.74337187315865</v>
      </c>
      <c r="K106" s="321">
        <f t="shared" si="15"/>
        <v>0.99673147231619852</v>
      </c>
      <c r="L106" s="302">
        <f t="shared" si="16"/>
        <v>336.11011874088587</v>
      </c>
      <c r="N106" s="300"/>
    </row>
    <row r="107" spans="3:14">
      <c r="C107" s="412">
        <v>8</v>
      </c>
      <c r="D107" s="539">
        <f t="shared" si="14"/>
        <v>2012</v>
      </c>
      <c r="E107" s="538"/>
      <c r="F107" s="304"/>
      <c r="G107" s="302">
        <f>Residential!B240/1000000</f>
        <v>331.14242485999961</v>
      </c>
      <c r="H107" s="302">
        <f>Residential!K240/1000000</f>
        <v>332.58378068058573</v>
      </c>
      <c r="I107" s="320">
        <f t="shared" si="17"/>
        <v>4.3526764086343483E-3</v>
      </c>
      <c r="J107" s="302">
        <f>Residential!N240/1000000</f>
        <v>338.70508037724846</v>
      </c>
      <c r="K107" s="321">
        <f t="shared" si="15"/>
        <v>1.0184052862834632</v>
      </c>
      <c r="L107" s="302">
        <f t="shared" si="16"/>
        <v>337.23719599014811</v>
      </c>
      <c r="N107" s="300"/>
    </row>
    <row r="108" spans="3:14">
      <c r="C108" s="412">
        <v>9</v>
      </c>
      <c r="D108" s="539">
        <f t="shared" si="14"/>
        <v>2013</v>
      </c>
      <c r="E108" s="538"/>
      <c r="F108" s="304"/>
      <c r="G108" s="302">
        <f>Residential!B241/1000000</f>
        <v>341.0358886352783</v>
      </c>
      <c r="H108" s="302">
        <f>Residential!K241/1000000</f>
        <v>342.79723795477338</v>
      </c>
      <c r="I108" s="320">
        <f t="shared" si="17"/>
        <v>5.164703710637264E-3</v>
      </c>
      <c r="J108" s="302">
        <f>Residential!N241/1000000</f>
        <v>336.92694258283251</v>
      </c>
      <c r="K108" s="321">
        <f t="shared" si="15"/>
        <v>0.98287531309480569</v>
      </c>
      <c r="L108" s="302">
        <f t="shared" si="16"/>
        <v>335.19575581896441</v>
      </c>
      <c r="N108" s="300"/>
    </row>
    <row r="109" spans="3:14">
      <c r="C109" s="412">
        <v>10</v>
      </c>
      <c r="D109" s="539">
        <f t="shared" si="14"/>
        <v>2014</v>
      </c>
      <c r="E109" s="538"/>
      <c r="F109" s="304"/>
      <c r="G109" s="302">
        <f>Residential!B242/1000000</f>
        <v>340.02479588802839</v>
      </c>
      <c r="H109" s="302">
        <f>Residential!K242/1000000</f>
        <v>341.8313898096842</v>
      </c>
      <c r="I109" s="320">
        <f t="shared" si="17"/>
        <v>5.3131240530197577E-3</v>
      </c>
      <c r="J109" s="302">
        <f>Residential!N242/1000000</f>
        <v>336.2624475360505</v>
      </c>
      <c r="K109" s="321">
        <f t="shared" si="15"/>
        <v>0.98370851115594082</v>
      </c>
      <c r="L109" s="302">
        <f t="shared" si="16"/>
        <v>334.4852857191151</v>
      </c>
      <c r="N109" s="300"/>
    </row>
    <row r="110" spans="3:14">
      <c r="C110" s="412">
        <v>11</v>
      </c>
      <c r="D110" s="539">
        <f t="shared" si="14"/>
        <v>2015</v>
      </c>
      <c r="E110" s="538"/>
      <c r="F110" s="304"/>
      <c r="G110" s="302">
        <f>Residential!B243/1000000</f>
        <v>324.67326919699792</v>
      </c>
      <c r="H110" s="302">
        <f>Residential!K243/1000000</f>
        <v>332.33729435654874</v>
      </c>
      <c r="I110" s="320">
        <f t="shared" si="17"/>
        <v>2.3605346933875948E-2</v>
      </c>
      <c r="J110" s="302">
        <f>Residential!N243/1000000</f>
        <v>335.93678453164819</v>
      </c>
      <c r="K110" s="321">
        <f t="shared" si="15"/>
        <v>1.0108308343247139</v>
      </c>
      <c r="L110" s="302">
        <f t="shared" si="16"/>
        <v>328.18975158533385</v>
      </c>
      <c r="N110" s="300"/>
    </row>
    <row r="111" spans="3:14">
      <c r="C111" s="412">
        <v>12</v>
      </c>
      <c r="D111" s="539" t="str">
        <f>D46</f>
        <v>2016 Bridge</v>
      </c>
      <c r="E111" s="538"/>
      <c r="F111" s="304"/>
      <c r="G111" s="302"/>
      <c r="H111" s="302">
        <f>Residential!K244/1000000</f>
        <v>336.97213140370445</v>
      </c>
      <c r="I111" s="320"/>
      <c r="J111" s="302">
        <f>Residential!N244/1000000</f>
        <v>336.97213140370445</v>
      </c>
      <c r="K111" s="321">
        <f t="shared" si="15"/>
        <v>1</v>
      </c>
      <c r="L111" s="230"/>
      <c r="N111" s="300"/>
    </row>
    <row r="112" spans="3:14" ht="12.75" customHeight="1">
      <c r="C112" s="412">
        <v>13</v>
      </c>
      <c r="D112" s="539" t="str">
        <f>D47</f>
        <v>2017 Test</v>
      </c>
      <c r="E112" s="538"/>
      <c r="F112" s="322"/>
      <c r="G112" s="302"/>
      <c r="H112" s="302">
        <f>Residential!K245/1000000</f>
        <v>338.04868647881699</v>
      </c>
      <c r="I112" s="320"/>
      <c r="J112" s="302">
        <f>Residential!N245/1000000</f>
        <v>338.04868647881699</v>
      </c>
      <c r="K112" s="321">
        <f t="shared" si="15"/>
        <v>1</v>
      </c>
      <c r="L112" s="230"/>
    </row>
    <row r="113" spans="3:29" s="300" customFormat="1">
      <c r="C113" s="450">
        <v>14</v>
      </c>
      <c r="D113" s="234" t="s">
        <v>340</v>
      </c>
      <c r="E113" s="304"/>
      <c r="F113" s="304"/>
      <c r="G113" s="242"/>
      <c r="H113" s="302">
        <f>Residential!L266/1000000</f>
        <v>339.05467936725887</v>
      </c>
      <c r="I113" s="320"/>
      <c r="J113" s="323"/>
      <c r="K113" s="323"/>
      <c r="L113" s="323"/>
      <c r="N113" s="324"/>
      <c r="AC113" s="419"/>
    </row>
    <row r="115" spans="3:29" ht="13.5" thickBot="1">
      <c r="D115" s="567" t="s">
        <v>433</v>
      </c>
      <c r="E115" s="567"/>
      <c r="F115" s="567"/>
      <c r="G115" s="567"/>
      <c r="H115" s="567"/>
      <c r="I115" s="567"/>
      <c r="J115" s="567"/>
      <c r="K115" s="567"/>
      <c r="L115" s="567"/>
    </row>
    <row r="116" spans="3:29" ht="48.75" thickBot="1">
      <c r="C116" s="449" t="s">
        <v>423</v>
      </c>
      <c r="D116" s="541" t="s">
        <v>314</v>
      </c>
      <c r="E116" s="541"/>
      <c r="F116" s="364"/>
      <c r="G116" s="368" t="s">
        <v>320</v>
      </c>
      <c r="H116" s="368" t="s">
        <v>321</v>
      </c>
      <c r="I116" s="368" t="s">
        <v>322</v>
      </c>
      <c r="J116" s="368" t="s">
        <v>341</v>
      </c>
      <c r="K116" s="368" t="s">
        <v>342</v>
      </c>
      <c r="L116" s="369" t="s">
        <v>343</v>
      </c>
      <c r="N116" s="300"/>
    </row>
    <row r="117" spans="3:29">
      <c r="C117" s="412">
        <v>1</v>
      </c>
      <c r="D117" s="555" t="s">
        <v>315</v>
      </c>
      <c r="E117" s="555"/>
      <c r="F117" s="555"/>
      <c r="G117" s="555"/>
      <c r="H117" s="555"/>
      <c r="I117" s="555"/>
      <c r="J117" s="555"/>
      <c r="K117" s="555"/>
      <c r="L117" s="555"/>
      <c r="N117" s="300"/>
    </row>
    <row r="118" spans="3:29">
      <c r="C118" s="412">
        <v>2</v>
      </c>
      <c r="D118" s="539">
        <f t="shared" ref="D118:D125" si="18">D49</f>
        <v>2006</v>
      </c>
      <c r="E118" s="538"/>
      <c r="F118" s="288"/>
      <c r="G118" s="302">
        <f>'GS &lt; 50 kW'!B234/1000000</f>
        <v>141.63101854999996</v>
      </c>
      <c r="H118" s="302">
        <f>'GS &lt; 50 kW'!K234/1000000</f>
        <v>137.26574884545417</v>
      </c>
      <c r="I118" s="320">
        <f>H118/G118-1</f>
        <v>-3.0821424213684723E-2</v>
      </c>
      <c r="J118" s="302">
        <f>'GS &lt; 50 kW'!N234/1000000</f>
        <v>138.30379791295042</v>
      </c>
      <c r="K118" s="321">
        <f t="shared" ref="K118:K129" si="19">J118/H118</f>
        <v>1.0075623312896866</v>
      </c>
      <c r="L118" s="302">
        <f t="shared" ref="L118" si="20">G118*K118</f>
        <v>142.70207923317082</v>
      </c>
      <c r="N118" s="300"/>
    </row>
    <row r="119" spans="3:29">
      <c r="C119" s="412">
        <v>3</v>
      </c>
      <c r="D119" s="539">
        <f t="shared" si="18"/>
        <v>2007</v>
      </c>
      <c r="E119" s="538"/>
      <c r="F119" s="288"/>
      <c r="G119" s="302">
        <f>'GS &lt; 50 kW'!B235/1000000</f>
        <v>140.79561554000006</v>
      </c>
      <c r="H119" s="302">
        <f>'GS &lt; 50 kW'!K235/1000000</f>
        <v>140.25438987938389</v>
      </c>
      <c r="I119" s="320">
        <f t="shared" ref="I119:I127" si="21">H119/G119-1</f>
        <v>-3.8440519510524185E-3</v>
      </c>
      <c r="J119" s="302">
        <f>'GS &lt; 50 kW'!N235/1000000</f>
        <v>139.99802719955571</v>
      </c>
      <c r="K119" s="321">
        <f t="shared" ref="K119:K127" si="22">J119/H119</f>
        <v>0.99817215931673398</v>
      </c>
      <c r="L119" s="302">
        <f t="shared" ref="L119:L127" si="23">G119*K119</f>
        <v>140.53826358589058</v>
      </c>
      <c r="N119" s="300"/>
    </row>
    <row r="120" spans="3:29">
      <c r="C120" s="412">
        <v>4</v>
      </c>
      <c r="D120" s="539">
        <f t="shared" si="18"/>
        <v>2008</v>
      </c>
      <c r="E120" s="538"/>
      <c r="F120" s="304"/>
      <c r="G120" s="302">
        <f>'GS &lt; 50 kW'!B236/1000000</f>
        <v>140.90191911999995</v>
      </c>
      <c r="H120" s="302">
        <f>'GS &lt; 50 kW'!K236/1000000</f>
        <v>141.67508703623375</v>
      </c>
      <c r="I120" s="320">
        <f t="shared" si="21"/>
        <v>5.4872773987935108E-3</v>
      </c>
      <c r="J120" s="302">
        <f>'GS &lt; 50 kW'!N236/1000000</f>
        <v>140.52603296879536</v>
      </c>
      <c r="K120" s="321">
        <f t="shared" si="22"/>
        <v>0.99188951218258636</v>
      </c>
      <c r="L120" s="302">
        <f t="shared" si="23"/>
        <v>139.759135821527</v>
      </c>
      <c r="N120" s="300"/>
    </row>
    <row r="121" spans="3:29">
      <c r="C121" s="412">
        <v>5</v>
      </c>
      <c r="D121" s="539">
        <f t="shared" si="18"/>
        <v>2009</v>
      </c>
      <c r="E121" s="538"/>
      <c r="F121" s="304"/>
      <c r="G121" s="302">
        <f>'GS &lt; 50 kW'!B237/1000000</f>
        <v>137.50681568000019</v>
      </c>
      <c r="H121" s="302">
        <f>'GS &lt; 50 kW'!K237/1000000</f>
        <v>137.73318143429435</v>
      </c>
      <c r="I121" s="320">
        <f t="shared" si="21"/>
        <v>1.6462147943339112E-3</v>
      </c>
      <c r="J121" s="302">
        <f>'GS &lt; 50 kW'!N237/1000000</f>
        <v>137.52763306321484</v>
      </c>
      <c r="K121" s="321">
        <f t="shared" si="22"/>
        <v>0.99850763360768247</v>
      </c>
      <c r="L121" s="302">
        <f t="shared" si="23"/>
        <v>137.30160512956476</v>
      </c>
      <c r="N121" s="300"/>
    </row>
    <row r="122" spans="3:29">
      <c r="C122" s="412">
        <v>6</v>
      </c>
      <c r="D122" s="539">
        <f t="shared" si="18"/>
        <v>2010</v>
      </c>
      <c r="E122" s="538"/>
      <c r="F122" s="304"/>
      <c r="G122" s="302">
        <f>'GS &lt; 50 kW'!B238/1000000</f>
        <v>132.76578444999993</v>
      </c>
      <c r="H122" s="302">
        <f>'GS &lt; 50 kW'!K238/1000000</f>
        <v>134.42568995492312</v>
      </c>
      <c r="I122" s="320">
        <f t="shared" si="21"/>
        <v>1.2502509677471352E-2</v>
      </c>
      <c r="J122" s="302">
        <f>'GS &lt; 50 kW'!N238/1000000</f>
        <v>135.97599645203013</v>
      </c>
      <c r="K122" s="321">
        <f t="shared" si="22"/>
        <v>1.0115328141341651</v>
      </c>
      <c r="L122" s="302">
        <f t="shared" si="23"/>
        <v>134.29694756543839</v>
      </c>
      <c r="N122" s="300"/>
    </row>
    <row r="123" spans="3:29">
      <c r="C123" s="412">
        <v>7</v>
      </c>
      <c r="D123" s="539">
        <f t="shared" si="18"/>
        <v>2011</v>
      </c>
      <c r="E123" s="538"/>
      <c r="F123" s="304"/>
      <c r="G123" s="302">
        <f>'GS &lt; 50 kW'!B239/1000000</f>
        <v>135.68868722999997</v>
      </c>
      <c r="H123" s="302">
        <f>'GS &lt; 50 kW'!K239/1000000</f>
        <v>137.61378632684102</v>
      </c>
      <c r="I123" s="320">
        <f t="shared" si="21"/>
        <v>1.4187616787668444E-2</v>
      </c>
      <c r="J123" s="302">
        <f>'GS &lt; 50 kW'!N239/1000000</f>
        <v>137.0425832225888</v>
      </c>
      <c r="K123" s="321">
        <f t="shared" si="22"/>
        <v>0.99584923052043939</v>
      </c>
      <c r="L123" s="302">
        <f t="shared" si="23"/>
        <v>135.12547476832404</v>
      </c>
      <c r="N123" s="300"/>
    </row>
    <row r="124" spans="3:29">
      <c r="C124" s="412">
        <v>8</v>
      </c>
      <c r="D124" s="539">
        <f t="shared" si="18"/>
        <v>2012</v>
      </c>
      <c r="E124" s="538"/>
      <c r="F124" s="304"/>
      <c r="G124" s="302">
        <f>'GS &lt; 50 kW'!B240/1000000</f>
        <v>133.67884049000008</v>
      </c>
      <c r="H124" s="302">
        <f>'GS &lt; 50 kW'!K240/1000000</f>
        <v>135.89883788275046</v>
      </c>
      <c r="I124" s="320">
        <f t="shared" si="21"/>
        <v>1.6606946803345846E-2</v>
      </c>
      <c r="J124" s="302">
        <f>'GS &lt; 50 kW'!N240/1000000</f>
        <v>137.67444370124613</v>
      </c>
      <c r="K124" s="321">
        <f t="shared" si="22"/>
        <v>1.0130656438727432</v>
      </c>
      <c r="L124" s="302">
        <f t="shared" si="23"/>
        <v>135.42544061316369</v>
      </c>
      <c r="N124" s="300"/>
    </row>
    <row r="125" spans="3:29">
      <c r="C125" s="412">
        <v>9</v>
      </c>
      <c r="D125" s="539">
        <f t="shared" si="18"/>
        <v>2013</v>
      </c>
      <c r="E125" s="538"/>
      <c r="F125" s="304"/>
      <c r="G125" s="302">
        <f>'GS &lt; 50 kW'!B241/1000000</f>
        <v>136.33118561000001</v>
      </c>
      <c r="H125" s="302">
        <f>'GS &lt; 50 kW'!K241/1000000</f>
        <v>138.35615915573462</v>
      </c>
      <c r="I125" s="320">
        <f t="shared" si="21"/>
        <v>1.4853340684114702E-2</v>
      </c>
      <c r="J125" s="302">
        <f>'GS &lt; 50 kW'!N241/1000000</f>
        <v>136.48809013412674</v>
      </c>
      <c r="K125" s="321">
        <f t="shared" si="22"/>
        <v>0.98649811448216651</v>
      </c>
      <c r="L125" s="302">
        <f t="shared" si="23"/>
        <v>134.49045754938328</v>
      </c>
      <c r="N125" s="300"/>
    </row>
    <row r="126" spans="3:29">
      <c r="C126" s="412">
        <v>10</v>
      </c>
      <c r="D126" s="539">
        <f>D58</f>
        <v>2014</v>
      </c>
      <c r="E126" s="538"/>
      <c r="F126" s="304"/>
      <c r="G126" s="302">
        <f>'GS &lt; 50 kW'!B242/1000000</f>
        <v>139.28583596861196</v>
      </c>
      <c r="H126" s="302">
        <f>'GS &lt; 50 kW'!K242/1000000</f>
        <v>137.25960973047785</v>
      </c>
      <c r="I126" s="320">
        <f t="shared" si="21"/>
        <v>-1.4547252590641935E-2</v>
      </c>
      <c r="J126" s="302">
        <f>'GS &lt; 50 kW'!N242/1000000</f>
        <v>135.81239010566955</v>
      </c>
      <c r="K126" s="321">
        <f t="shared" si="22"/>
        <v>0.98945633294710622</v>
      </c>
      <c r="L126" s="302">
        <f t="shared" si="23"/>
        <v>137.81725248897493</v>
      </c>
      <c r="N126" s="300"/>
    </row>
    <row r="127" spans="3:29">
      <c r="C127" s="412">
        <v>11</v>
      </c>
      <c r="D127" s="539">
        <f>D59</f>
        <v>2015</v>
      </c>
      <c r="E127" s="538"/>
      <c r="F127" s="304"/>
      <c r="G127" s="302">
        <f>'GS &lt; 50 kW'!B243/1000000</f>
        <v>137.17940147999988</v>
      </c>
      <c r="H127" s="302">
        <f>'GS &lt; 50 kW'!K243/1000000</f>
        <v>135.28261387251851</v>
      </c>
      <c r="I127" s="320">
        <f t="shared" si="21"/>
        <v>-1.3827058487042021E-2</v>
      </c>
      <c r="J127" s="302">
        <f>'GS &lt; 50 kW'!N243/1000000</f>
        <v>136.41610935843417</v>
      </c>
      <c r="K127" s="321">
        <f t="shared" si="22"/>
        <v>1.0083787225384615</v>
      </c>
      <c r="L127" s="302">
        <f t="shared" si="23"/>
        <v>138.32878962299301</v>
      </c>
      <c r="N127" s="300"/>
    </row>
    <row r="128" spans="3:29" ht="12.75" customHeight="1">
      <c r="C128" s="412">
        <v>12</v>
      </c>
      <c r="D128" s="539" t="str">
        <f>D60</f>
        <v>2016 Bridge</v>
      </c>
      <c r="E128" s="538"/>
      <c r="F128" s="322"/>
      <c r="G128" s="302"/>
      <c r="H128" s="302">
        <f>'GS &lt; 50 kW'!K244/1000000</f>
        <v>138.75752373480822</v>
      </c>
      <c r="I128" s="320"/>
      <c r="J128" s="302">
        <f>'GS &lt; 50 kW'!N244/1000000</f>
        <v>138.75752373480822</v>
      </c>
      <c r="K128" s="321">
        <f t="shared" si="19"/>
        <v>1</v>
      </c>
      <c r="L128" s="230"/>
    </row>
    <row r="129" spans="3:29" ht="12.75" customHeight="1">
      <c r="C129" s="412">
        <v>13</v>
      </c>
      <c r="D129" s="539" t="str">
        <f>D61</f>
        <v>2017 Test</v>
      </c>
      <c r="E129" s="538"/>
      <c r="F129" s="310"/>
      <c r="G129" s="302"/>
      <c r="H129" s="302">
        <f>'GS &lt; 50 kW'!K245/1000000</f>
        <v>143.39740591995323</v>
      </c>
      <c r="I129" s="320"/>
      <c r="J129" s="302">
        <f>'GS &lt; 50 kW'!N245/1000000</f>
        <v>143.39740591995323</v>
      </c>
      <c r="K129" s="321">
        <f t="shared" si="19"/>
        <v>1</v>
      </c>
      <c r="L129" s="230"/>
    </row>
    <row r="130" spans="3:29" s="300" customFormat="1">
      <c r="C130" s="450">
        <v>14</v>
      </c>
      <c r="D130" s="234" t="s">
        <v>340</v>
      </c>
      <c r="E130" s="304"/>
      <c r="F130" s="304"/>
      <c r="G130" s="242"/>
      <c r="H130" s="302">
        <f>'GS &lt; 50 kW'!L266/1000000</f>
        <v>143.7438419493829</v>
      </c>
      <c r="I130" s="320"/>
      <c r="J130" s="323"/>
      <c r="K130" s="323"/>
      <c r="L130" s="323"/>
      <c r="N130" s="324"/>
      <c r="AC130" s="419"/>
    </row>
    <row r="131" spans="3:29">
      <c r="D131" s="311"/>
      <c r="E131" s="325"/>
      <c r="F131" s="325"/>
      <c r="G131" s="326"/>
      <c r="H131" s="327"/>
      <c r="I131" s="328"/>
    </row>
    <row r="132" spans="3:29" ht="13.5" thickBot="1">
      <c r="D132" s="567" t="s">
        <v>432</v>
      </c>
      <c r="E132" s="567"/>
      <c r="F132" s="567"/>
      <c r="G132" s="567"/>
      <c r="H132" s="567"/>
      <c r="I132" s="567"/>
      <c r="J132" s="567"/>
      <c r="K132" s="567"/>
      <c r="L132" s="567"/>
    </row>
    <row r="133" spans="3:29" ht="48.75" thickBot="1">
      <c r="C133" s="449" t="s">
        <v>423</v>
      </c>
      <c r="D133" s="541" t="s">
        <v>314</v>
      </c>
      <c r="E133" s="541"/>
      <c r="F133" s="364"/>
      <c r="G133" s="368" t="s">
        <v>320</v>
      </c>
      <c r="H133" s="368" t="s">
        <v>321</v>
      </c>
      <c r="I133" s="368" t="s">
        <v>322</v>
      </c>
      <c r="J133" s="368" t="s">
        <v>341</v>
      </c>
      <c r="K133" s="368" t="s">
        <v>342</v>
      </c>
      <c r="L133" s="369" t="s">
        <v>343</v>
      </c>
      <c r="N133" s="300"/>
    </row>
    <row r="134" spans="3:29">
      <c r="C134" s="412">
        <v>1</v>
      </c>
      <c r="D134" s="564" t="s">
        <v>315</v>
      </c>
      <c r="E134" s="565"/>
      <c r="F134" s="565"/>
      <c r="G134" s="565"/>
      <c r="H134" s="565"/>
      <c r="I134" s="565"/>
      <c r="J134" s="565"/>
      <c r="K134" s="565"/>
      <c r="L134" s="566"/>
      <c r="N134" s="300"/>
    </row>
    <row r="135" spans="3:29">
      <c r="C135" s="412">
        <v>2</v>
      </c>
      <c r="D135" s="539">
        <f>D118</f>
        <v>2006</v>
      </c>
      <c r="E135" s="538"/>
      <c r="F135" s="288"/>
      <c r="G135" s="302">
        <f>'GS &gt; 50 kW'!B234/1000000</f>
        <v>299.21679275999992</v>
      </c>
      <c r="H135" s="302">
        <f>'GS &gt; 50 kW'!K234/1000000</f>
        <v>294.21500736611023</v>
      </c>
      <c r="I135" s="320">
        <f>H135/G135-1</f>
        <v>-1.6716258963117681E-2</v>
      </c>
      <c r="J135" s="302">
        <f>'GS &gt; 50 kW'!N234/1000000</f>
        <v>296.18993624199629</v>
      </c>
      <c r="K135" s="321">
        <f t="shared" ref="K135:K146" si="24">J135/H135</f>
        <v>1.0067125361604297</v>
      </c>
      <c r="L135" s="302">
        <f t="shared" ref="L135" si="25">G135*K135</f>
        <v>301.2252963012092</v>
      </c>
      <c r="N135" s="300"/>
    </row>
    <row r="136" spans="3:29">
      <c r="C136" s="412">
        <v>3</v>
      </c>
      <c r="D136" s="539">
        <f t="shared" ref="D136:D146" si="26">D119</f>
        <v>2007</v>
      </c>
      <c r="E136" s="538"/>
      <c r="F136" s="288"/>
      <c r="G136" s="302">
        <f>'GS &gt; 50 kW'!B235/1000000</f>
        <v>298.98171629999996</v>
      </c>
      <c r="H136" s="302">
        <f>'GS &gt; 50 kW'!K235/1000000</f>
        <v>296.84333517087725</v>
      </c>
      <c r="I136" s="320">
        <f t="shared" ref="I136:I144" si="27">H136/G136-1</f>
        <v>-7.1522137058610546E-3</v>
      </c>
      <c r="J136" s="302">
        <f>'GS &gt; 50 kW'!N235/1000000</f>
        <v>296.31707406536441</v>
      </c>
      <c r="K136" s="321">
        <f t="shared" ref="K136:K145" si="28">J136/H136</f>
        <v>0.99822714191912076</v>
      </c>
      <c r="L136" s="302">
        <f t="shared" ref="L136:L144" si="29">G136*K136</f>
        <v>298.45166414822233</v>
      </c>
      <c r="N136" s="300"/>
    </row>
    <row r="137" spans="3:29">
      <c r="C137" s="412">
        <v>4</v>
      </c>
      <c r="D137" s="539">
        <f t="shared" si="26"/>
        <v>2008</v>
      </c>
      <c r="E137" s="538"/>
      <c r="F137" s="288"/>
      <c r="G137" s="302">
        <f>'GS &gt; 50 kW'!B236/1000000</f>
        <v>297.54897691999997</v>
      </c>
      <c r="H137" s="302">
        <f>'GS &gt; 50 kW'!K236/1000000</f>
        <v>298.36344592036988</v>
      </c>
      <c r="I137" s="320">
        <f t="shared" si="27"/>
        <v>2.7372602950972436E-3</v>
      </c>
      <c r="J137" s="302">
        <f>'GS &gt; 50 kW'!N236/1000000</f>
        <v>296.15665936501796</v>
      </c>
      <c r="K137" s="321">
        <f t="shared" si="28"/>
        <v>0.99260369664740733</v>
      </c>
      <c r="L137" s="302">
        <f t="shared" si="29"/>
        <v>295.34821442444604</v>
      </c>
      <c r="N137" s="300"/>
    </row>
    <row r="138" spans="3:29">
      <c r="C138" s="412">
        <v>5</v>
      </c>
      <c r="D138" s="539">
        <f t="shared" si="26"/>
        <v>2009</v>
      </c>
      <c r="E138" s="538"/>
      <c r="F138" s="304"/>
      <c r="G138" s="302">
        <f>'GS &gt; 50 kW'!B237/1000000</f>
        <v>290.80412680000006</v>
      </c>
      <c r="H138" s="302">
        <f>'GS &gt; 50 kW'!K237/1000000</f>
        <v>292.84030274648831</v>
      </c>
      <c r="I138" s="320">
        <f t="shared" si="27"/>
        <v>7.0018811936896075E-3</v>
      </c>
      <c r="J138" s="302">
        <f>'GS &gt; 50 kW'!N237/1000000</f>
        <v>292.55509400684201</v>
      </c>
      <c r="K138" s="321">
        <f t="shared" si="28"/>
        <v>0.99902606049450371</v>
      </c>
      <c r="L138" s="302">
        <f t="shared" si="29"/>
        <v>290.52090117254818</v>
      </c>
      <c r="N138" s="300"/>
    </row>
    <row r="139" spans="3:29">
      <c r="C139" s="412">
        <v>6</v>
      </c>
      <c r="D139" s="539">
        <f t="shared" si="26"/>
        <v>2010</v>
      </c>
      <c r="E139" s="538"/>
      <c r="F139" s="304"/>
      <c r="G139" s="302">
        <f>'GS &gt; 50 kW'!B238/1000000</f>
        <v>285.04781686000013</v>
      </c>
      <c r="H139" s="302">
        <f>'GS &gt; 50 kW'!K238/1000000</f>
        <v>286.681342987596</v>
      </c>
      <c r="I139" s="320">
        <f t="shared" si="27"/>
        <v>5.7307091336122884E-3</v>
      </c>
      <c r="J139" s="302">
        <f>'GS &gt; 50 kW'!N238/1000000</f>
        <v>289.67764759650237</v>
      </c>
      <c r="K139" s="321">
        <f t="shared" si="28"/>
        <v>1.0104516902902747</v>
      </c>
      <c r="L139" s="302">
        <f t="shared" si="29"/>
        <v>288.02704835973981</v>
      </c>
      <c r="N139" s="300"/>
    </row>
    <row r="140" spans="3:29">
      <c r="C140" s="412">
        <v>7</v>
      </c>
      <c r="D140" s="539">
        <f t="shared" si="26"/>
        <v>2011</v>
      </c>
      <c r="E140" s="538"/>
      <c r="F140" s="304"/>
      <c r="G140" s="302">
        <f>'GS &gt; 50 kW'!B239/1000000</f>
        <v>288.5251404899999</v>
      </c>
      <c r="H140" s="302">
        <f>'GS &gt; 50 kW'!K239/1000000</f>
        <v>291.21813394183732</v>
      </c>
      <c r="I140" s="320">
        <f t="shared" si="27"/>
        <v>9.3336526836584888E-3</v>
      </c>
      <c r="J140" s="302">
        <f>'GS &gt; 50 kW'!N239/1000000</f>
        <v>290.01111985166466</v>
      </c>
      <c r="K140" s="321">
        <f t="shared" si="28"/>
        <v>0.995855292135023</v>
      </c>
      <c r="L140" s="302">
        <f t="shared" si="29"/>
        <v>287.32928807096738</v>
      </c>
      <c r="N140" s="300"/>
    </row>
    <row r="141" spans="3:29">
      <c r="C141" s="412">
        <v>8</v>
      </c>
      <c r="D141" s="539">
        <f t="shared" si="26"/>
        <v>2012</v>
      </c>
      <c r="E141" s="538"/>
      <c r="F141" s="304"/>
      <c r="G141" s="302">
        <f>'GS &gt; 50 kW'!B240/1000000</f>
        <v>283.47524067000001</v>
      </c>
      <c r="H141" s="302">
        <f>'GS &gt; 50 kW'!K240/1000000</f>
        <v>284.66397093480032</v>
      </c>
      <c r="I141" s="320">
        <f t="shared" si="27"/>
        <v>4.1934183105047929E-3</v>
      </c>
      <c r="J141" s="302">
        <f>'GS &gt; 50 kW'!N240/1000000</f>
        <v>288.09315118226044</v>
      </c>
      <c r="K141" s="321">
        <f t="shared" si="28"/>
        <v>1.012046414712052</v>
      </c>
      <c r="L141" s="302">
        <f t="shared" si="29"/>
        <v>286.89010097970959</v>
      </c>
      <c r="N141" s="300"/>
    </row>
    <row r="142" spans="3:29">
      <c r="C142" s="412">
        <v>9</v>
      </c>
      <c r="D142" s="539">
        <f t="shared" si="26"/>
        <v>2013</v>
      </c>
      <c r="E142" s="538"/>
      <c r="F142" s="304"/>
      <c r="G142" s="302">
        <f>'GS &gt; 50 kW'!B241/1000000</f>
        <v>285.06837438000002</v>
      </c>
      <c r="H142" s="302">
        <f>'GS &gt; 50 kW'!K241/1000000</f>
        <v>286.43454011460659</v>
      </c>
      <c r="I142" s="320">
        <f t="shared" si="27"/>
        <v>4.7924142324726748E-3</v>
      </c>
      <c r="J142" s="302">
        <f>'GS &gt; 50 kW'!N241/1000000</f>
        <v>282.7578449364683</v>
      </c>
      <c r="K142" s="321">
        <f t="shared" si="28"/>
        <v>0.98716392521423157</v>
      </c>
      <c r="L142" s="302">
        <f t="shared" si="29"/>
        <v>281.40921540740089</v>
      </c>
      <c r="N142" s="300"/>
    </row>
    <row r="143" spans="3:29">
      <c r="C143" s="412">
        <v>10</v>
      </c>
      <c r="D143" s="539">
        <f t="shared" si="26"/>
        <v>2014</v>
      </c>
      <c r="E143" s="538"/>
      <c r="F143" s="304"/>
      <c r="G143" s="302">
        <f>'GS &gt; 50 kW'!B242/1000000</f>
        <v>280.03746024000003</v>
      </c>
      <c r="H143" s="302">
        <f>'GS &gt; 50 kW'!K242/1000000</f>
        <v>278.20414503058311</v>
      </c>
      <c r="I143" s="320">
        <f t="shared" si="27"/>
        <v>-6.5466784616805551E-3</v>
      </c>
      <c r="J143" s="302">
        <f>'GS &gt; 50 kW'!N242/1000000</f>
        <v>275.47931781617905</v>
      </c>
      <c r="K143" s="321">
        <f t="shared" si="28"/>
        <v>0.99020565558394347</v>
      </c>
      <c r="L143" s="302">
        <f t="shared" si="29"/>
        <v>277.29467690501173</v>
      </c>
      <c r="N143" s="300"/>
    </row>
    <row r="144" spans="3:29">
      <c r="C144" s="412">
        <v>11</v>
      </c>
      <c r="D144" s="539">
        <f t="shared" si="26"/>
        <v>2015</v>
      </c>
      <c r="E144" s="538"/>
      <c r="F144" s="304"/>
      <c r="G144" s="302">
        <f>'GS &gt; 50 kW'!B243/1000000</f>
        <v>266.54834792000003</v>
      </c>
      <c r="H144" s="302">
        <f>'GS &gt; 50 kW'!K243/1000000</f>
        <v>265.78976912673005</v>
      </c>
      <c r="I144" s="320">
        <f t="shared" si="27"/>
        <v>-2.8459332019482586E-3</v>
      </c>
      <c r="J144" s="302">
        <f>'GS &gt; 50 kW'!N243/1000000</f>
        <v>268.01614827770385</v>
      </c>
      <c r="K144" s="321">
        <f t="shared" si="28"/>
        <v>1.0083764667025699</v>
      </c>
      <c r="L144" s="302">
        <f t="shared" si="29"/>
        <v>268.78108128097693</v>
      </c>
      <c r="N144" s="300"/>
    </row>
    <row r="145" spans="3:29">
      <c r="C145" s="412">
        <v>12</v>
      </c>
      <c r="D145" s="539" t="str">
        <f t="shared" si="26"/>
        <v>2016 Bridge</v>
      </c>
      <c r="E145" s="538"/>
      <c r="F145" s="304"/>
      <c r="G145" s="302"/>
      <c r="H145" s="302">
        <f>'GS &gt; 50 kW'!K244/1000000</f>
        <v>265.02677230260758</v>
      </c>
      <c r="I145" s="320"/>
      <c r="J145" s="302">
        <f>'GS &gt; 50 kW'!N244/1000000</f>
        <v>265.02677230260758</v>
      </c>
      <c r="K145" s="321">
        <f t="shared" si="28"/>
        <v>1</v>
      </c>
      <c r="L145" s="302"/>
      <c r="N145" s="300"/>
    </row>
    <row r="146" spans="3:29" ht="12.75" customHeight="1">
      <c r="C146" s="412">
        <v>13</v>
      </c>
      <c r="D146" s="539" t="str">
        <f t="shared" si="26"/>
        <v>2017 Test</v>
      </c>
      <c r="E146" s="538"/>
      <c r="F146" s="322"/>
      <c r="G146" s="302"/>
      <c r="H146" s="302">
        <f>'GS &gt; 50 kW'!K245/1000000</f>
        <v>265.48498227451239</v>
      </c>
      <c r="I146" s="320"/>
      <c r="J146" s="302">
        <f>'GS &gt; 50 kW'!N245/1000000</f>
        <v>265.48498227451239</v>
      </c>
      <c r="K146" s="321">
        <f t="shared" si="24"/>
        <v>1</v>
      </c>
      <c r="L146" s="230"/>
    </row>
    <row r="147" spans="3:29" s="300" customFormat="1">
      <c r="C147" s="450">
        <v>14</v>
      </c>
      <c r="D147" s="234" t="s">
        <v>340</v>
      </c>
      <c r="E147" s="304"/>
      <c r="F147" s="304"/>
      <c r="G147" s="242"/>
      <c r="H147" s="302">
        <f>'GS &gt; 50 kW'!L266/1000000</f>
        <v>266.17683285202537</v>
      </c>
      <c r="I147" s="320"/>
      <c r="J147" s="323"/>
      <c r="K147" s="323"/>
      <c r="L147" s="323"/>
      <c r="N147" s="72"/>
      <c r="AC147" s="419"/>
    </row>
    <row r="148" spans="3:29">
      <c r="D148" s="311"/>
      <c r="E148" s="325"/>
      <c r="F148" s="325"/>
      <c r="G148" s="326"/>
      <c r="H148" s="327"/>
      <c r="I148" s="328"/>
    </row>
    <row r="149" spans="3:29" ht="13.5" thickBot="1">
      <c r="D149" s="572" t="s">
        <v>350</v>
      </c>
      <c r="E149" s="573"/>
      <c r="F149" s="573"/>
      <c r="G149" s="573"/>
      <c r="H149" s="573"/>
      <c r="I149" s="573"/>
      <c r="J149" s="573"/>
      <c r="K149" s="573"/>
      <c r="L149" s="573"/>
      <c r="M149" s="573"/>
      <c r="N149" s="573"/>
      <c r="O149" s="573"/>
    </row>
    <row r="150" spans="3:29" ht="48.75" thickBot="1">
      <c r="C150" s="448" t="s">
        <v>423</v>
      </c>
      <c r="D150" s="548" t="s">
        <v>314</v>
      </c>
      <c r="E150" s="548"/>
      <c r="F150" s="364"/>
      <c r="G150" s="357" t="str">
        <f t="shared" ref="G150:N150" si="30">G22</f>
        <v xml:space="preserve">Residential </v>
      </c>
      <c r="H150" s="357" t="str">
        <f t="shared" si="30"/>
        <v>General Service
 &lt; 50 kW</v>
      </c>
      <c r="I150" s="357" t="str">
        <f t="shared" si="30"/>
        <v>General Service
 &gt; 50 to 999 kW</v>
      </c>
      <c r="J150" s="357" t="str">
        <f t="shared" si="30"/>
        <v>General Service 
&gt; 1000 kW</v>
      </c>
      <c r="K150" s="357" t="str">
        <f t="shared" si="30"/>
        <v>Large User</v>
      </c>
      <c r="L150" s="357" t="str">
        <f t="shared" si="30"/>
        <v>Street Lighting</v>
      </c>
      <c r="M150" s="357" t="str">
        <f t="shared" si="30"/>
        <v>Sentinel Lighting</v>
      </c>
      <c r="N150" s="357" t="str">
        <f t="shared" si="30"/>
        <v>Unmetered Scattered Load</v>
      </c>
      <c r="O150" s="358" t="s">
        <v>5</v>
      </c>
    </row>
    <row r="151" spans="3:29">
      <c r="C151" s="411">
        <v>1</v>
      </c>
      <c r="D151" s="566" t="s">
        <v>316</v>
      </c>
      <c r="E151" s="555"/>
      <c r="F151" s="555"/>
      <c r="G151" s="555"/>
      <c r="H151" s="555"/>
      <c r="I151" s="555"/>
      <c r="J151" s="555"/>
      <c r="K151" s="555"/>
      <c r="L151" s="555"/>
      <c r="M151" s="555"/>
      <c r="N151" s="555"/>
      <c r="O151" s="555"/>
    </row>
    <row r="152" spans="3:29">
      <c r="C152" s="412">
        <v>2</v>
      </c>
      <c r="D152" s="538">
        <f t="shared" ref="D152:D161" si="31">D101</f>
        <v>2006</v>
      </c>
      <c r="E152" s="542"/>
      <c r="F152" s="290"/>
      <c r="G152" s="329">
        <f t="shared" ref="G152:N159" si="32">G49</f>
        <v>44312.083333333336</v>
      </c>
      <c r="H152" s="329">
        <f t="shared" si="32"/>
        <v>4313.833333333333</v>
      </c>
      <c r="I152" s="329">
        <f t="shared" si="32"/>
        <v>492.5</v>
      </c>
      <c r="J152" s="329">
        <f t="shared" si="32"/>
        <v>18</v>
      </c>
      <c r="K152" s="329">
        <f t="shared" si="32"/>
        <v>0</v>
      </c>
      <c r="L152" s="329">
        <f t="shared" si="32"/>
        <v>12962</v>
      </c>
      <c r="M152" s="329">
        <f t="shared" si="32"/>
        <v>164</v>
      </c>
      <c r="N152" s="329">
        <f t="shared" si="32"/>
        <v>428</v>
      </c>
      <c r="O152" s="329">
        <f>SUM(G152:N152)</f>
        <v>62690.416666666672</v>
      </c>
      <c r="P152" s="309"/>
      <c r="Q152" s="309"/>
    </row>
    <row r="153" spans="3:29">
      <c r="C153" s="412">
        <v>3</v>
      </c>
      <c r="D153" s="538">
        <f t="shared" si="31"/>
        <v>2007</v>
      </c>
      <c r="E153" s="542"/>
      <c r="F153" s="290"/>
      <c r="G153" s="329">
        <f t="shared" si="32"/>
        <v>44388.583333333336</v>
      </c>
      <c r="H153" s="329">
        <f t="shared" si="32"/>
        <v>4273.25</v>
      </c>
      <c r="I153" s="329">
        <f t="shared" si="32"/>
        <v>500.5</v>
      </c>
      <c r="J153" s="329">
        <f t="shared" si="32"/>
        <v>18.666666666666668</v>
      </c>
      <c r="K153" s="329">
        <f t="shared" si="32"/>
        <v>0</v>
      </c>
      <c r="L153" s="329">
        <f t="shared" si="32"/>
        <v>12976</v>
      </c>
      <c r="M153" s="329">
        <f t="shared" si="32"/>
        <v>153</v>
      </c>
      <c r="N153" s="329">
        <f t="shared" si="32"/>
        <v>435</v>
      </c>
      <c r="O153" s="329">
        <f t="shared" ref="O153:O161" si="33">SUM(G153:N153)</f>
        <v>62745</v>
      </c>
      <c r="P153" s="309"/>
      <c r="Q153" s="309"/>
    </row>
    <row r="154" spans="3:29">
      <c r="C154" s="412">
        <v>4</v>
      </c>
      <c r="D154" s="538">
        <f t="shared" si="31"/>
        <v>2008</v>
      </c>
      <c r="E154" s="542"/>
      <c r="F154" s="290"/>
      <c r="G154" s="329">
        <f t="shared" si="32"/>
        <v>44537.5</v>
      </c>
      <c r="H154" s="329">
        <f t="shared" si="32"/>
        <v>4256.916666666667</v>
      </c>
      <c r="I154" s="329">
        <f t="shared" si="32"/>
        <v>507.25</v>
      </c>
      <c r="J154" s="329">
        <f t="shared" si="32"/>
        <v>19</v>
      </c>
      <c r="K154" s="329">
        <f t="shared" si="32"/>
        <v>0</v>
      </c>
      <c r="L154" s="329">
        <f t="shared" si="32"/>
        <v>13135</v>
      </c>
      <c r="M154" s="329">
        <f t="shared" si="32"/>
        <v>149.83333333333334</v>
      </c>
      <c r="N154" s="329">
        <f t="shared" si="32"/>
        <v>457</v>
      </c>
      <c r="O154" s="329">
        <f t="shared" si="33"/>
        <v>63062.5</v>
      </c>
      <c r="P154" s="309"/>
      <c r="Q154" s="309"/>
    </row>
    <row r="155" spans="3:29">
      <c r="C155" s="412">
        <v>5</v>
      </c>
      <c r="D155" s="538">
        <f t="shared" si="31"/>
        <v>2009</v>
      </c>
      <c r="E155" s="542"/>
      <c r="F155" s="246"/>
      <c r="G155" s="329">
        <f t="shared" si="32"/>
        <v>44613.666666666664</v>
      </c>
      <c r="H155" s="329">
        <f t="shared" si="32"/>
        <v>4264.916666666667</v>
      </c>
      <c r="I155" s="329">
        <f t="shared" si="32"/>
        <v>506.08333333333331</v>
      </c>
      <c r="J155" s="329">
        <f t="shared" si="32"/>
        <v>21.083333333333332</v>
      </c>
      <c r="K155" s="329">
        <f t="shared" si="32"/>
        <v>0</v>
      </c>
      <c r="L155" s="329">
        <f t="shared" si="32"/>
        <v>13038.75</v>
      </c>
      <c r="M155" s="329">
        <f t="shared" si="32"/>
        <v>157.91666666666666</v>
      </c>
      <c r="N155" s="329">
        <f t="shared" si="32"/>
        <v>458.5</v>
      </c>
      <c r="O155" s="329">
        <f t="shared" si="33"/>
        <v>63060.916666666664</v>
      </c>
      <c r="P155" s="309"/>
      <c r="Q155" s="309"/>
    </row>
    <row r="156" spans="3:29">
      <c r="C156" s="412">
        <v>6</v>
      </c>
      <c r="D156" s="538">
        <f t="shared" si="31"/>
        <v>2010</v>
      </c>
      <c r="E156" s="542"/>
      <c r="F156" s="246"/>
      <c r="G156" s="329">
        <f t="shared" si="32"/>
        <v>44735.583333333336</v>
      </c>
      <c r="H156" s="329">
        <f t="shared" si="32"/>
        <v>4305.75</v>
      </c>
      <c r="I156" s="329">
        <f t="shared" si="32"/>
        <v>506.66666666666669</v>
      </c>
      <c r="J156" s="329">
        <f t="shared" si="32"/>
        <v>19.916666666666668</v>
      </c>
      <c r="K156" s="329">
        <f t="shared" si="32"/>
        <v>0</v>
      </c>
      <c r="L156" s="329">
        <f t="shared" si="32"/>
        <v>13170</v>
      </c>
      <c r="M156" s="329">
        <f t="shared" si="32"/>
        <v>166.75</v>
      </c>
      <c r="N156" s="329">
        <f t="shared" si="32"/>
        <v>469.25</v>
      </c>
      <c r="O156" s="329">
        <f t="shared" si="33"/>
        <v>63373.916666666664</v>
      </c>
      <c r="P156" s="309"/>
      <c r="Q156" s="309"/>
    </row>
    <row r="157" spans="3:29">
      <c r="C157" s="412">
        <v>7</v>
      </c>
      <c r="D157" s="538">
        <f t="shared" si="31"/>
        <v>2011</v>
      </c>
      <c r="E157" s="542"/>
      <c r="F157" s="246"/>
      <c r="G157" s="329">
        <f t="shared" si="32"/>
        <v>44900.666666666664</v>
      </c>
      <c r="H157" s="329">
        <f t="shared" si="32"/>
        <v>4339.666666666667</v>
      </c>
      <c r="I157" s="329">
        <f t="shared" si="32"/>
        <v>505.75</v>
      </c>
      <c r="J157" s="329">
        <f t="shared" si="32"/>
        <v>18.916666666666668</v>
      </c>
      <c r="K157" s="329">
        <f t="shared" si="32"/>
        <v>0</v>
      </c>
      <c r="L157" s="329">
        <f t="shared" si="32"/>
        <v>13090.833333333334</v>
      </c>
      <c r="M157" s="329">
        <f t="shared" si="32"/>
        <v>147.58333333333334</v>
      </c>
      <c r="N157" s="329">
        <f t="shared" si="32"/>
        <v>470.08333333333331</v>
      </c>
      <c r="O157" s="329">
        <f t="shared" si="33"/>
        <v>63473.5</v>
      </c>
      <c r="P157" s="309"/>
      <c r="Q157" s="309"/>
    </row>
    <row r="158" spans="3:29">
      <c r="C158" s="412">
        <v>8</v>
      </c>
      <c r="D158" s="538">
        <f t="shared" si="31"/>
        <v>2012</v>
      </c>
      <c r="E158" s="542"/>
      <c r="F158" s="246"/>
      <c r="G158" s="329">
        <f t="shared" si="32"/>
        <v>44736.75</v>
      </c>
      <c r="H158" s="329">
        <f t="shared" si="32"/>
        <v>4496.916666666667</v>
      </c>
      <c r="I158" s="329">
        <f t="shared" si="32"/>
        <v>513.5</v>
      </c>
      <c r="J158" s="329">
        <f t="shared" si="32"/>
        <v>19.416666666666668</v>
      </c>
      <c r="K158" s="329">
        <f t="shared" si="32"/>
        <v>0</v>
      </c>
      <c r="L158" s="329">
        <f t="shared" si="32"/>
        <v>13172.083333333334</v>
      </c>
      <c r="M158" s="329">
        <f t="shared" si="32"/>
        <v>167.16666666666666</v>
      </c>
      <c r="N158" s="329">
        <f t="shared" si="32"/>
        <v>469.83333333333331</v>
      </c>
      <c r="O158" s="329">
        <f t="shared" si="33"/>
        <v>63575.666666666664</v>
      </c>
      <c r="P158" s="309"/>
      <c r="Q158" s="309"/>
    </row>
    <row r="159" spans="3:29">
      <c r="C159" s="412">
        <v>9</v>
      </c>
      <c r="D159" s="538">
        <f t="shared" si="31"/>
        <v>2013</v>
      </c>
      <c r="E159" s="542"/>
      <c r="F159" s="246"/>
      <c r="G159" s="329">
        <f t="shared" si="32"/>
        <v>44942.416666666664</v>
      </c>
      <c r="H159" s="329">
        <f t="shared" si="32"/>
        <v>4527.75</v>
      </c>
      <c r="I159" s="329">
        <f t="shared" si="32"/>
        <v>511.58333333333331</v>
      </c>
      <c r="J159" s="329">
        <f t="shared" si="32"/>
        <v>21.083333333333332</v>
      </c>
      <c r="K159" s="329">
        <f t="shared" si="32"/>
        <v>0</v>
      </c>
      <c r="L159" s="329">
        <f t="shared" si="32"/>
        <v>13095.333333333334</v>
      </c>
      <c r="M159" s="329">
        <f t="shared" si="32"/>
        <v>170.83333333333334</v>
      </c>
      <c r="N159" s="329">
        <f t="shared" si="32"/>
        <v>465.5</v>
      </c>
      <c r="O159" s="329">
        <f t="shared" si="33"/>
        <v>63734.500000000007</v>
      </c>
      <c r="P159" s="309"/>
      <c r="Q159" s="309"/>
    </row>
    <row r="160" spans="3:29">
      <c r="C160" s="412">
        <v>10</v>
      </c>
      <c r="D160" s="538">
        <f t="shared" si="31"/>
        <v>2014</v>
      </c>
      <c r="E160" s="542"/>
      <c r="F160" s="246"/>
      <c r="G160" s="329">
        <f t="shared" ref="G160:N161" si="34">G58</f>
        <v>45106.2705078125</v>
      </c>
      <c r="H160" s="329">
        <f t="shared" si="34"/>
        <v>4577.895263671875</v>
      </c>
      <c r="I160" s="329">
        <f t="shared" si="34"/>
        <v>495.30155436197919</v>
      </c>
      <c r="J160" s="329">
        <f t="shared" si="34"/>
        <v>20.762959798177082</v>
      </c>
      <c r="K160" s="329">
        <f t="shared" si="34"/>
        <v>0</v>
      </c>
      <c r="L160" s="329">
        <f t="shared" si="34"/>
        <v>13148.318033854166</v>
      </c>
      <c r="M160" s="329">
        <f t="shared" si="34"/>
        <v>172.08199055989584</v>
      </c>
      <c r="N160" s="329">
        <f t="shared" si="34"/>
        <v>462.49702962239581</v>
      </c>
      <c r="O160" s="329">
        <f t="shared" si="33"/>
        <v>63983.127339680992</v>
      </c>
      <c r="P160" s="309"/>
      <c r="Q160" s="309"/>
      <c r="S160" s="309"/>
      <c r="T160" s="309"/>
    </row>
    <row r="161" spans="3:17">
      <c r="C161" s="412">
        <v>11</v>
      </c>
      <c r="D161" s="538">
        <f t="shared" si="31"/>
        <v>2015</v>
      </c>
      <c r="E161" s="542"/>
      <c r="F161" s="246"/>
      <c r="G161" s="329">
        <f t="shared" si="34"/>
        <v>45272.592574993767</v>
      </c>
      <c r="H161" s="329">
        <f t="shared" si="34"/>
        <v>4606.5062813957529</v>
      </c>
      <c r="I161" s="329">
        <f t="shared" si="34"/>
        <v>471.62621294458705</v>
      </c>
      <c r="J161" s="329">
        <f t="shared" si="34"/>
        <v>21.903750717639923</v>
      </c>
      <c r="K161" s="329">
        <f t="shared" si="34"/>
        <v>0</v>
      </c>
      <c r="L161" s="329">
        <f t="shared" si="34"/>
        <v>13197.213741430789</v>
      </c>
      <c r="M161" s="329">
        <f t="shared" si="34"/>
        <v>170.93070442477861</v>
      </c>
      <c r="N161" s="329">
        <f t="shared" si="34"/>
        <v>451.08502161006135</v>
      </c>
      <c r="O161" s="329">
        <f t="shared" si="33"/>
        <v>64191.858287517374</v>
      </c>
      <c r="P161" s="309"/>
      <c r="Q161" s="309"/>
    </row>
    <row r="163" spans="3:17" ht="13.5" thickBot="1">
      <c r="D163" s="554" t="s">
        <v>351</v>
      </c>
      <c r="E163" s="554"/>
      <c r="F163" s="554"/>
      <c r="G163" s="554"/>
      <c r="H163" s="554"/>
      <c r="I163" s="554"/>
      <c r="J163" s="554"/>
      <c r="K163" s="554"/>
      <c r="L163" s="554"/>
      <c r="M163" s="554"/>
      <c r="N163" s="554"/>
    </row>
    <row r="164" spans="3:17" ht="48.75" thickBot="1">
      <c r="C164" s="448" t="s">
        <v>423</v>
      </c>
      <c r="D164" s="548" t="s">
        <v>314</v>
      </c>
      <c r="E164" s="548"/>
      <c r="F164" s="364"/>
      <c r="G164" s="357" t="str">
        <f t="shared" ref="G164:N164" si="35">G150</f>
        <v xml:space="preserve">Residential </v>
      </c>
      <c r="H164" s="357" t="str">
        <f t="shared" si="35"/>
        <v>General Service
 &lt; 50 kW</v>
      </c>
      <c r="I164" s="357" t="str">
        <f t="shared" si="35"/>
        <v>General Service
 &gt; 50 to 999 kW</v>
      </c>
      <c r="J164" s="357" t="str">
        <f t="shared" si="35"/>
        <v>General Service 
&gt; 1000 kW</v>
      </c>
      <c r="K164" s="357" t="str">
        <f t="shared" si="35"/>
        <v>Large User</v>
      </c>
      <c r="L164" s="357" t="str">
        <f t="shared" si="35"/>
        <v>Street Lighting</v>
      </c>
      <c r="M164" s="357" t="str">
        <f t="shared" si="35"/>
        <v>Sentinel Lighting</v>
      </c>
      <c r="N164" s="358" t="str">
        <f t="shared" si="35"/>
        <v>Unmetered Scattered Load</v>
      </c>
    </row>
    <row r="165" spans="3:17">
      <c r="C165" s="453">
        <v>1</v>
      </c>
      <c r="D165" s="566" t="s">
        <v>323</v>
      </c>
      <c r="E165" s="555"/>
      <c r="F165" s="555"/>
      <c r="G165" s="555"/>
      <c r="H165" s="555"/>
      <c r="I165" s="555"/>
      <c r="J165" s="555"/>
      <c r="K165" s="555"/>
      <c r="L165" s="555"/>
      <c r="M165" s="555"/>
      <c r="N165" s="555"/>
    </row>
    <row r="166" spans="3:17">
      <c r="C166" s="452">
        <v>2</v>
      </c>
      <c r="D166" s="569">
        <f t="shared" ref="D166:D175" si="36">D152</f>
        <v>2006</v>
      </c>
      <c r="E166" s="570"/>
      <c r="F166" s="330"/>
      <c r="G166" s="330"/>
      <c r="H166" s="330"/>
      <c r="I166" s="330"/>
      <c r="J166" s="330"/>
      <c r="K166" s="330"/>
      <c r="L166" s="330"/>
      <c r="M166" s="330"/>
      <c r="N166" s="330"/>
    </row>
    <row r="167" spans="3:17">
      <c r="C167" s="452">
        <v>3</v>
      </c>
      <c r="D167" s="538">
        <f t="shared" si="36"/>
        <v>2007</v>
      </c>
      <c r="E167" s="542"/>
      <c r="F167" s="290"/>
      <c r="G167" s="331">
        <f t="shared" ref="G167:J175" si="37">G153/G152-1</f>
        <v>1.7263914094161059E-3</v>
      </c>
      <c r="H167" s="331">
        <f t="shared" si="37"/>
        <v>-9.4077193524706448E-3</v>
      </c>
      <c r="I167" s="331">
        <f t="shared" si="37"/>
        <v>1.624365482233503E-2</v>
      </c>
      <c r="J167" s="331">
        <f t="shared" si="37"/>
        <v>3.7037037037037202E-2</v>
      </c>
      <c r="K167" s="331" t="e">
        <f t="shared" ref="K167:K168" si="38">K153/K152-1</f>
        <v>#DIV/0!</v>
      </c>
      <c r="L167" s="331">
        <f t="shared" ref="L167:N175" si="39">L153/L152-1</f>
        <v>1.0800802345316551E-3</v>
      </c>
      <c r="M167" s="331">
        <f t="shared" si="39"/>
        <v>-6.7073170731707266E-2</v>
      </c>
      <c r="N167" s="331">
        <f t="shared" si="39"/>
        <v>1.6355140186915973E-2</v>
      </c>
      <c r="O167" s="332"/>
      <c r="P167" s="332"/>
    </row>
    <row r="168" spans="3:17">
      <c r="C168" s="452">
        <v>4</v>
      </c>
      <c r="D168" s="538">
        <f t="shared" si="36"/>
        <v>2008</v>
      </c>
      <c r="E168" s="542"/>
      <c r="F168" s="290"/>
      <c r="G168" s="331">
        <f t="shared" si="37"/>
        <v>3.3548416165567474E-3</v>
      </c>
      <c r="H168" s="331">
        <f t="shared" si="37"/>
        <v>-3.8222274225315767E-3</v>
      </c>
      <c r="I168" s="331">
        <f t="shared" si="37"/>
        <v>1.3486513486513418E-2</v>
      </c>
      <c r="J168" s="331">
        <f t="shared" si="37"/>
        <v>1.7857142857142794E-2</v>
      </c>
      <c r="K168" s="331" t="e">
        <f t="shared" si="38"/>
        <v>#DIV/0!</v>
      </c>
      <c r="L168" s="331">
        <f t="shared" si="39"/>
        <v>1.2253390875462289E-2</v>
      </c>
      <c r="M168" s="331">
        <f t="shared" si="39"/>
        <v>-2.0697167755991175E-2</v>
      </c>
      <c r="N168" s="331">
        <f t="shared" si="39"/>
        <v>5.0574712643678188E-2</v>
      </c>
      <c r="O168" s="332"/>
      <c r="P168" s="332"/>
    </row>
    <row r="169" spans="3:17">
      <c r="C169" s="452">
        <v>5</v>
      </c>
      <c r="D169" s="538">
        <f t="shared" si="36"/>
        <v>2009</v>
      </c>
      <c r="E169" s="542"/>
      <c r="F169" s="246"/>
      <c r="G169" s="331">
        <f t="shared" si="37"/>
        <v>1.7101693329590884E-3</v>
      </c>
      <c r="H169" s="331">
        <f t="shared" si="37"/>
        <v>1.8792944815300139E-3</v>
      </c>
      <c r="I169" s="331">
        <f t="shared" si="37"/>
        <v>-2.2999835715459271E-3</v>
      </c>
      <c r="J169" s="331">
        <f t="shared" si="37"/>
        <v>0.10964912280701755</v>
      </c>
      <c r="K169" s="331" t="e">
        <f t="shared" ref="K169:K175" si="40">K155/K154-1</f>
        <v>#DIV/0!</v>
      </c>
      <c r="L169" s="331">
        <f t="shared" si="39"/>
        <v>-7.3277502854968146E-3</v>
      </c>
      <c r="M169" s="331">
        <f t="shared" si="39"/>
        <v>5.3948832035594974E-2</v>
      </c>
      <c r="N169" s="331">
        <f t="shared" si="39"/>
        <v>3.2822757111596879E-3</v>
      </c>
      <c r="O169" s="332"/>
      <c r="P169" s="332"/>
    </row>
    <row r="170" spans="3:17">
      <c r="C170" s="452">
        <v>6</v>
      </c>
      <c r="D170" s="538">
        <f t="shared" si="36"/>
        <v>2010</v>
      </c>
      <c r="E170" s="542"/>
      <c r="F170" s="246"/>
      <c r="G170" s="331">
        <f t="shared" si="37"/>
        <v>2.7327201679605562E-3</v>
      </c>
      <c r="H170" s="331">
        <f t="shared" si="37"/>
        <v>9.5742394341429282E-3</v>
      </c>
      <c r="I170" s="331">
        <f t="shared" si="37"/>
        <v>1.152642845381191E-3</v>
      </c>
      <c r="J170" s="331">
        <f t="shared" si="37"/>
        <v>-5.5335968379446543E-2</v>
      </c>
      <c r="K170" s="331" t="e">
        <f t="shared" si="40"/>
        <v>#DIV/0!</v>
      </c>
      <c r="L170" s="331">
        <f t="shared" si="39"/>
        <v>1.0066148979004819E-2</v>
      </c>
      <c r="M170" s="331">
        <f t="shared" si="39"/>
        <v>5.5936675461741414E-2</v>
      </c>
      <c r="N170" s="331">
        <f t="shared" si="39"/>
        <v>2.3446019629225656E-2</v>
      </c>
      <c r="O170" s="332"/>
      <c r="P170" s="332"/>
    </row>
    <row r="171" spans="3:17">
      <c r="C171" s="452">
        <v>7</v>
      </c>
      <c r="D171" s="538">
        <f t="shared" si="36"/>
        <v>2011</v>
      </c>
      <c r="E171" s="542"/>
      <c r="F171" s="246"/>
      <c r="G171" s="331">
        <f t="shared" si="37"/>
        <v>3.690201871366261E-3</v>
      </c>
      <c r="H171" s="331">
        <f t="shared" si="37"/>
        <v>7.877063616481994E-3</v>
      </c>
      <c r="I171" s="331">
        <f t="shared" si="37"/>
        <v>-1.8092105263157743E-3</v>
      </c>
      <c r="J171" s="331">
        <f t="shared" si="37"/>
        <v>-5.0209205020920522E-2</v>
      </c>
      <c r="K171" s="331" t="e">
        <f t="shared" si="40"/>
        <v>#DIV/0!</v>
      </c>
      <c r="L171" s="331">
        <f t="shared" si="39"/>
        <v>-6.0111364211591356E-3</v>
      </c>
      <c r="M171" s="331">
        <f t="shared" si="39"/>
        <v>-0.11494252873563215</v>
      </c>
      <c r="N171" s="331">
        <f t="shared" si="39"/>
        <v>1.7758835020422747E-3</v>
      </c>
      <c r="O171" s="332"/>
      <c r="P171" s="332"/>
    </row>
    <row r="172" spans="3:17">
      <c r="C172" s="452">
        <v>8</v>
      </c>
      <c r="D172" s="538">
        <f t="shared" si="36"/>
        <v>2012</v>
      </c>
      <c r="E172" s="542"/>
      <c r="F172" s="246"/>
      <c r="G172" s="331">
        <f t="shared" si="37"/>
        <v>-3.6506510667992931E-3</v>
      </c>
      <c r="H172" s="331">
        <f t="shared" si="37"/>
        <v>3.6235501958675753E-2</v>
      </c>
      <c r="I172" s="331">
        <f t="shared" si="37"/>
        <v>1.5323776569451386E-2</v>
      </c>
      <c r="J172" s="331">
        <f t="shared" si="37"/>
        <v>2.6431718061673992E-2</v>
      </c>
      <c r="K172" s="331" t="e">
        <f t="shared" si="40"/>
        <v>#DIV/0!</v>
      </c>
      <c r="L172" s="331">
        <f t="shared" si="39"/>
        <v>6.2066331402381714E-3</v>
      </c>
      <c r="M172" s="331">
        <f t="shared" si="39"/>
        <v>0.13269339356295862</v>
      </c>
      <c r="N172" s="331">
        <f t="shared" si="39"/>
        <v>-5.3182059918455149E-4</v>
      </c>
      <c r="O172" s="332"/>
      <c r="P172" s="332"/>
    </row>
    <row r="173" spans="3:17">
      <c r="C173" s="452">
        <v>9</v>
      </c>
      <c r="D173" s="538">
        <f t="shared" si="36"/>
        <v>2013</v>
      </c>
      <c r="E173" s="542"/>
      <c r="F173" s="246"/>
      <c r="G173" s="331">
        <f t="shared" si="37"/>
        <v>4.5972643669167645E-3</v>
      </c>
      <c r="H173" s="331">
        <f t="shared" si="37"/>
        <v>6.8565498582360274E-3</v>
      </c>
      <c r="I173" s="331">
        <f t="shared" si="37"/>
        <v>-3.7325543654658233E-3</v>
      </c>
      <c r="J173" s="331">
        <f t="shared" si="37"/>
        <v>8.5836909871244593E-2</v>
      </c>
      <c r="K173" s="331" t="e">
        <f t="shared" si="40"/>
        <v>#DIV/0!</v>
      </c>
      <c r="L173" s="331">
        <f t="shared" si="39"/>
        <v>-5.8267168569892114E-3</v>
      </c>
      <c r="M173" s="331">
        <f t="shared" si="39"/>
        <v>2.193419740777669E-2</v>
      </c>
      <c r="N173" s="331">
        <f t="shared" si="39"/>
        <v>-9.2231287690670571E-3</v>
      </c>
      <c r="O173" s="332"/>
      <c r="P173" s="332"/>
    </row>
    <row r="174" spans="3:17">
      <c r="C174" s="452">
        <v>10</v>
      </c>
      <c r="D174" s="538">
        <f t="shared" si="36"/>
        <v>2014</v>
      </c>
      <c r="E174" s="542"/>
      <c r="F174" s="246"/>
      <c r="G174" s="331">
        <f t="shared" si="37"/>
        <v>3.645861822721308E-3</v>
      </c>
      <c r="H174" s="331">
        <f t="shared" si="37"/>
        <v>1.1075095504803789E-2</v>
      </c>
      <c r="I174" s="331">
        <f t="shared" si="37"/>
        <v>-3.1826249821835684E-2</v>
      </c>
      <c r="J174" s="331">
        <f t="shared" si="37"/>
        <v>-1.5195582695158083E-2</v>
      </c>
      <c r="K174" s="331" t="e">
        <f t="shared" si="40"/>
        <v>#DIV/0!</v>
      </c>
      <c r="L174" s="331">
        <f t="shared" si="39"/>
        <v>4.0460749774091642E-3</v>
      </c>
      <c r="M174" s="331">
        <f t="shared" si="39"/>
        <v>7.309213033536599E-3</v>
      </c>
      <c r="N174" s="331">
        <f t="shared" si="39"/>
        <v>-6.4510641838972926E-3</v>
      </c>
      <c r="O174" s="332"/>
      <c r="P174" s="332"/>
    </row>
    <row r="175" spans="3:17">
      <c r="C175" s="452">
        <v>11</v>
      </c>
      <c r="D175" s="538">
        <f t="shared" si="36"/>
        <v>2015</v>
      </c>
      <c r="E175" s="542"/>
      <c r="F175" s="246"/>
      <c r="G175" s="331">
        <f t="shared" si="37"/>
        <v>3.6873380421122981E-3</v>
      </c>
      <c r="H175" s="331">
        <f t="shared" si="37"/>
        <v>6.2498192020516985E-3</v>
      </c>
      <c r="I175" s="331">
        <f t="shared" si="37"/>
        <v>-4.7799852855074154E-2</v>
      </c>
      <c r="J175" s="331">
        <f t="shared" si="37"/>
        <v>5.4943559615378001E-2</v>
      </c>
      <c r="K175" s="331" t="e">
        <f t="shared" si="40"/>
        <v>#DIV/0!</v>
      </c>
      <c r="L175" s="331">
        <f t="shared" si="39"/>
        <v>3.718780413641154E-3</v>
      </c>
      <c r="M175" s="331">
        <f t="shared" si="39"/>
        <v>-6.6903348303407606E-3</v>
      </c>
      <c r="N175" s="331">
        <f t="shared" si="39"/>
        <v>-2.4674770390745615E-2</v>
      </c>
      <c r="O175" s="332"/>
      <c r="P175" s="332"/>
    </row>
    <row r="176" spans="3:17">
      <c r="C176" s="452">
        <v>12</v>
      </c>
      <c r="D176" s="538" t="s">
        <v>324</v>
      </c>
      <c r="E176" s="542"/>
      <c r="F176" s="246"/>
      <c r="G176" s="331">
        <f>'Rate Class Customer Model'!B30-1</f>
        <v>2.4619630264002268E-3</v>
      </c>
      <c r="H176" s="331">
        <f>'Rate Class Customer Model'!C30-1</f>
        <v>6.9486451906892732E-3</v>
      </c>
      <c r="I176" s="331">
        <f>'Rate Class Customer Model'!D30-1</f>
        <v>-6.1932905971018304E-3</v>
      </c>
      <c r="J176" s="331">
        <f>'Rate Class Customer Model'!E30-1</f>
        <v>1.8590642861149753E-2</v>
      </c>
      <c r="K176" s="331">
        <f>'Rate Class Customer Model'!F30-1</f>
        <v>-1</v>
      </c>
      <c r="L176" s="331">
        <f>'Rate Class Customer Model'!G30-1</f>
        <v>2.1677350470261647E-3</v>
      </c>
      <c r="M176" s="331">
        <f>'Rate Class Customer Model'!H30-1</f>
        <v>-1.443554343727449E-4</v>
      </c>
      <c r="N176" s="331">
        <f>'Rate Class Customer Model'!I30-1</f>
        <v>2.69182656516187E-3</v>
      </c>
      <c r="O176" s="332"/>
    </row>
    <row r="177" spans="3:15">
      <c r="O177" s="300"/>
    </row>
    <row r="178" spans="3:15" ht="13.5" thickBot="1">
      <c r="D178" s="554" t="s">
        <v>352</v>
      </c>
      <c r="E178" s="554"/>
      <c r="F178" s="554"/>
      <c r="G178" s="554"/>
      <c r="H178" s="554"/>
      <c r="I178" s="554"/>
      <c r="J178" s="554"/>
      <c r="K178" s="554"/>
      <c r="L178" s="554"/>
      <c r="M178" s="554"/>
      <c r="N178" s="554"/>
      <c r="O178" s="554"/>
    </row>
    <row r="179" spans="3:15" ht="48.75" thickBot="1">
      <c r="C179" s="448" t="s">
        <v>423</v>
      </c>
      <c r="D179" s="541" t="s">
        <v>314</v>
      </c>
      <c r="E179" s="541"/>
      <c r="F179" s="370"/>
      <c r="G179" s="357" t="str">
        <f t="shared" ref="G179:N179" si="41">G150</f>
        <v xml:space="preserve">Residential </v>
      </c>
      <c r="H179" s="357" t="str">
        <f t="shared" si="41"/>
        <v>General Service
 &lt; 50 kW</v>
      </c>
      <c r="I179" s="357" t="str">
        <f t="shared" si="41"/>
        <v>General Service
 &gt; 50 to 999 kW</v>
      </c>
      <c r="J179" s="357" t="str">
        <f t="shared" si="41"/>
        <v>General Service 
&gt; 1000 kW</v>
      </c>
      <c r="K179" s="357" t="str">
        <f t="shared" si="41"/>
        <v>Large User</v>
      </c>
      <c r="L179" s="357" t="str">
        <f t="shared" si="41"/>
        <v>Street Lighting</v>
      </c>
      <c r="M179" s="357" t="str">
        <f t="shared" si="41"/>
        <v>Sentinel Lighting</v>
      </c>
      <c r="N179" s="358" t="str">
        <f t="shared" si="41"/>
        <v>Unmetered Scattered Load</v>
      </c>
      <c r="O179" s="454" t="s">
        <v>5</v>
      </c>
    </row>
    <row r="180" spans="3:15">
      <c r="C180" s="453">
        <v>1</v>
      </c>
      <c r="D180" s="566" t="s">
        <v>325</v>
      </c>
      <c r="E180" s="555"/>
      <c r="F180" s="555"/>
      <c r="G180" s="555"/>
      <c r="H180" s="555"/>
      <c r="I180" s="555"/>
      <c r="J180" s="555"/>
      <c r="K180" s="555"/>
      <c r="L180" s="555"/>
      <c r="M180" s="555"/>
      <c r="N180" s="555"/>
      <c r="O180" s="555"/>
    </row>
    <row r="181" spans="3:15">
      <c r="C181" s="452">
        <v>2</v>
      </c>
      <c r="D181" s="574" t="str">
        <f>D145</f>
        <v>2016 Bridge</v>
      </c>
      <c r="E181" s="575"/>
      <c r="F181" s="333"/>
      <c r="G181" s="334">
        <f>'Rate Class Customer Model'!B13</f>
        <v>45415.196555804439</v>
      </c>
      <c r="H181" s="334">
        <f>'Rate Class Customer Model'!C13</f>
        <v>4623.1350602549164</v>
      </c>
      <c r="I181" s="334">
        <f>'Rate Class Customer Model'!D13</f>
        <v>462.83423899421177</v>
      </c>
      <c r="J181" s="334">
        <f>'Rate Class Customer Model'!E13</f>
        <v>21.640601501640049</v>
      </c>
      <c r="K181" s="334">
        <f>'Rate Class Customer Model'!F13</f>
        <v>0</v>
      </c>
      <c r="L181" s="334">
        <f>'Rate Class Customer Model'!G13</f>
        <v>13245.738644907577</v>
      </c>
      <c r="M181" s="334">
        <f>'Rate Class Customer Model'!H13</f>
        <v>163.76341081650995</v>
      </c>
      <c r="N181" s="334">
        <f>'Rate Class Customer Model'!I13</f>
        <v>439.66158081582279</v>
      </c>
      <c r="O181" s="334">
        <f>SUM(G181:N181)</f>
        <v>64371.970093095115</v>
      </c>
    </row>
    <row r="182" spans="3:15">
      <c r="C182" s="452">
        <v>3</v>
      </c>
      <c r="D182" s="544" t="str">
        <f>D146</f>
        <v>2017 Test</v>
      </c>
      <c r="E182" s="576"/>
      <c r="F182" s="246"/>
      <c r="G182" s="334">
        <f>'Rate Class Customer Model'!B14</f>
        <v>45527.007090561528</v>
      </c>
      <c r="H182" s="334">
        <f>'Rate Class Customer Model'!C14</f>
        <v>4655.2595854572637</v>
      </c>
      <c r="I182" s="334">
        <f>'Rate Class Customer Model'!D14</f>
        <v>459.96777205383216</v>
      </c>
      <c r="J182" s="334">
        <f>'Rate Class Customer Model'!E14</f>
        <v>21.640601501640049</v>
      </c>
      <c r="K182" s="334">
        <f>'Rate Class Customer Model'!F14</f>
        <v>0</v>
      </c>
      <c r="L182" s="334">
        <f>'Rate Class Customer Model'!G14</f>
        <v>13274.451896791892</v>
      </c>
      <c r="M182" s="334">
        <f>'Rate Class Customer Model'!H14</f>
        <v>163.76341081650995</v>
      </c>
      <c r="N182" s="334">
        <f>'Rate Class Customer Model'!I14</f>
        <v>439.66158081582279</v>
      </c>
      <c r="O182" s="334">
        <f>SUM(G182:N182)</f>
        <v>64541.751937998488</v>
      </c>
    </row>
    <row r="184" spans="3:15" ht="13.5" thickBot="1">
      <c r="D184" s="554" t="s">
        <v>353</v>
      </c>
      <c r="E184" s="554"/>
      <c r="F184" s="554"/>
      <c r="G184" s="554"/>
      <c r="H184" s="554"/>
      <c r="I184" s="554"/>
      <c r="J184" s="554"/>
      <c r="K184" s="554"/>
    </row>
    <row r="185" spans="3:15" ht="34.5" thickBot="1">
      <c r="C185" s="455" t="s">
        <v>423</v>
      </c>
      <c r="D185" s="568" t="s">
        <v>314</v>
      </c>
      <c r="E185" s="568"/>
      <c r="F185" s="416"/>
      <c r="G185" s="371" t="str">
        <f>J179</f>
        <v>General Service 
&gt; 1000 kW</v>
      </c>
      <c r="H185" s="371" t="str">
        <f t="shared" ref="H185:K185" si="42">K179</f>
        <v>Large User</v>
      </c>
      <c r="I185" s="371" t="str">
        <f t="shared" si="42"/>
        <v>Street Lighting</v>
      </c>
      <c r="J185" s="371" t="str">
        <f t="shared" si="42"/>
        <v>Sentinel Lighting</v>
      </c>
      <c r="K185" s="372" t="str">
        <f t="shared" si="42"/>
        <v>Unmetered Scattered Load</v>
      </c>
      <c r="N185" s="301"/>
    </row>
    <row r="186" spans="3:15">
      <c r="C186" s="411">
        <v>1</v>
      </c>
      <c r="D186" s="566" t="s">
        <v>326</v>
      </c>
      <c r="E186" s="555"/>
      <c r="F186" s="555"/>
      <c r="G186" s="555"/>
      <c r="H186" s="555"/>
      <c r="I186" s="555"/>
      <c r="J186" s="555"/>
      <c r="K186" s="555"/>
      <c r="N186" s="335"/>
    </row>
    <row r="187" spans="3:15">
      <c r="C187" s="412">
        <v>2</v>
      </c>
      <c r="D187" s="569">
        <f t="shared" ref="D187:D196" si="43">D166</f>
        <v>2006</v>
      </c>
      <c r="E187" s="570"/>
      <c r="F187" s="336"/>
      <c r="G187" s="334">
        <f>'Rate Class Energy Model'!K17</f>
        <v>13408370.112222219</v>
      </c>
      <c r="H187" s="334">
        <f>'Rate Class Energy Model'!L17</f>
        <v>0</v>
      </c>
      <c r="I187" s="334">
        <f>'Rate Class Energy Model'!M17</f>
        <v>760.89281900941216</v>
      </c>
      <c r="J187" s="334">
        <f>'Rate Class Energy Model'!N17</f>
        <v>820.8000000000003</v>
      </c>
      <c r="K187" s="334">
        <f>'Rate Class Energy Model'!O17</f>
        <v>4337.3271728971968</v>
      </c>
      <c r="N187" s="335"/>
    </row>
    <row r="188" spans="3:15">
      <c r="C188" s="412">
        <v>3</v>
      </c>
      <c r="D188" s="538">
        <f t="shared" si="43"/>
        <v>2007</v>
      </c>
      <c r="E188" s="542"/>
      <c r="F188" s="337"/>
      <c r="G188" s="334">
        <f>'Rate Class Energy Model'!K18</f>
        <v>12370794.805714287</v>
      </c>
      <c r="H188" s="334">
        <f>'Rate Class Energy Model'!L18</f>
        <v>0</v>
      </c>
      <c r="I188" s="334">
        <f>'Rate Class Energy Model'!M18</f>
        <v>840.62312885326753</v>
      </c>
      <c r="J188" s="334">
        <f>'Rate Class Energy Model'!N18</f>
        <v>820.79999999999984</v>
      </c>
      <c r="K188" s="334">
        <f>'Rate Class Energy Model'!O18</f>
        <v>4670.093563218391</v>
      </c>
      <c r="N188" s="335"/>
    </row>
    <row r="189" spans="3:15">
      <c r="C189" s="412">
        <v>4</v>
      </c>
      <c r="D189" s="538">
        <f t="shared" si="43"/>
        <v>2008</v>
      </c>
      <c r="E189" s="542"/>
      <c r="F189" s="337"/>
      <c r="G189" s="334">
        <f>'Rate Class Energy Model'!K19</f>
        <v>10762727.910000002</v>
      </c>
      <c r="H189" s="334">
        <f>'Rate Class Energy Model'!L19</f>
        <v>0</v>
      </c>
      <c r="I189" s="334">
        <f>'Rate Class Energy Model'!M19</f>
        <v>824.85931480776549</v>
      </c>
      <c r="J189" s="334">
        <f>'Rate Class Energy Model'!N19</f>
        <v>820.8</v>
      </c>
      <c r="K189" s="334">
        <f>'Rate Class Energy Model'!O19</f>
        <v>4273.3536980306344</v>
      </c>
      <c r="N189" s="335"/>
    </row>
    <row r="190" spans="3:15">
      <c r="C190" s="412">
        <v>5</v>
      </c>
      <c r="D190" s="538">
        <f t="shared" si="43"/>
        <v>2009</v>
      </c>
      <c r="E190" s="542"/>
      <c r="F190" s="246"/>
      <c r="G190" s="334">
        <f>'Rate Class Energy Model'!K20</f>
        <v>9011381.2415810283</v>
      </c>
      <c r="H190" s="334">
        <f>'Rate Class Energy Model'!L20</f>
        <v>0</v>
      </c>
      <c r="I190" s="334">
        <f>'Rate Class Energy Model'!M20</f>
        <v>888.99030275141411</v>
      </c>
      <c r="J190" s="334">
        <f>'Rate Class Energy Model'!N20</f>
        <v>820.8</v>
      </c>
      <c r="K190" s="334">
        <f>'Rate Class Energy Model'!O20</f>
        <v>4307.488920392585</v>
      </c>
      <c r="N190" s="338"/>
    </row>
    <row r="191" spans="3:15">
      <c r="C191" s="412">
        <v>6</v>
      </c>
      <c r="D191" s="538">
        <f t="shared" si="43"/>
        <v>2010</v>
      </c>
      <c r="E191" s="542"/>
      <c r="F191" s="246"/>
      <c r="G191" s="334">
        <f>'Rate Class Energy Model'!K21</f>
        <v>8901280.7512970697</v>
      </c>
      <c r="H191" s="334">
        <f>'Rate Class Energy Model'!L21</f>
        <v>0</v>
      </c>
      <c r="I191" s="334">
        <f>'Rate Class Energy Model'!M21</f>
        <v>853.54976765375852</v>
      </c>
      <c r="J191" s="334">
        <f>'Rate Class Energy Model'!N21</f>
        <v>820.80000000000018</v>
      </c>
      <c r="K191" s="334">
        <f>'Rate Class Energy Model'!O21</f>
        <v>4148.4098028769322</v>
      </c>
      <c r="N191" s="339"/>
    </row>
    <row r="192" spans="3:15">
      <c r="C192" s="412">
        <v>7</v>
      </c>
      <c r="D192" s="538">
        <f t="shared" si="43"/>
        <v>2011</v>
      </c>
      <c r="E192" s="542"/>
      <c r="F192" s="246"/>
      <c r="G192" s="334">
        <f>'Rate Class Energy Model'!K22</f>
        <v>9683425.5335682817</v>
      </c>
      <c r="H192" s="334">
        <f>'Rate Class Energy Model'!L22</f>
        <v>0</v>
      </c>
      <c r="I192" s="334">
        <f>'Rate Class Energy Model'!M22</f>
        <v>858.96995047425037</v>
      </c>
      <c r="J192" s="334">
        <f>'Rate Class Energy Model'!N22</f>
        <v>820.8</v>
      </c>
      <c r="K192" s="334">
        <f>'Rate Class Energy Model'!O22</f>
        <v>4193.5445488388596</v>
      </c>
      <c r="N192" s="339"/>
    </row>
    <row r="193" spans="3:18">
      <c r="C193" s="412">
        <v>8</v>
      </c>
      <c r="D193" s="538">
        <f t="shared" si="43"/>
        <v>2012</v>
      </c>
      <c r="E193" s="542"/>
      <c r="F193" s="246"/>
      <c r="G193" s="334">
        <f>'Rate Class Energy Model'!K23</f>
        <v>9709786.1665236056</v>
      </c>
      <c r="H193" s="334">
        <f>'Rate Class Energy Model'!L23</f>
        <v>0</v>
      </c>
      <c r="I193" s="334">
        <f>'Rate Class Energy Model'!M23</f>
        <v>839.85892208901407</v>
      </c>
      <c r="J193" s="334">
        <f>'Rate Class Energy Model'!N23</f>
        <v>848.16</v>
      </c>
      <c r="K193" s="334">
        <f>'Rate Class Energy Model'!O23</f>
        <v>4215.2455338772616</v>
      </c>
    </row>
    <row r="194" spans="3:18">
      <c r="C194" s="412">
        <v>9</v>
      </c>
      <c r="D194" s="538">
        <f t="shared" si="43"/>
        <v>2013</v>
      </c>
      <c r="E194" s="542"/>
      <c r="F194" s="246"/>
      <c r="G194" s="334">
        <f>'Rate Class Energy Model'!K24</f>
        <v>8916655.8000000007</v>
      </c>
      <c r="H194" s="334">
        <f>'Rate Class Energy Model'!L24</f>
        <v>0</v>
      </c>
      <c r="I194" s="334">
        <f>'Rate Class Energy Model'!M24</f>
        <v>806.04390902611601</v>
      </c>
      <c r="J194" s="334">
        <f>'Rate Class Energy Model'!N24</f>
        <v>848.16</v>
      </c>
      <c r="K194" s="334">
        <f>'Rate Class Energy Model'!O24</f>
        <v>4279.8285284640178</v>
      </c>
      <c r="N194" s="301"/>
    </row>
    <row r="195" spans="3:18">
      <c r="C195" s="412">
        <v>10</v>
      </c>
      <c r="D195" s="538">
        <f t="shared" si="43"/>
        <v>2014</v>
      </c>
      <c r="E195" s="542"/>
      <c r="F195" s="246"/>
      <c r="G195" s="334">
        <f>'Rate Class Energy Model'!K25</f>
        <v>9303343.5043764431</v>
      </c>
      <c r="H195" s="334">
        <f>'Rate Class Energy Model'!L25</f>
        <v>0</v>
      </c>
      <c r="I195" s="334">
        <f>'Rate Class Energy Model'!M25</f>
        <v>784.20487878764402</v>
      </c>
      <c r="J195" s="334">
        <f>'Rate Class Energy Model'!N25</f>
        <v>850.25202600939622</v>
      </c>
      <c r="K195" s="334">
        <f>'Rate Class Energy Model'!O25</f>
        <v>4540.0623042148982</v>
      </c>
    </row>
    <row r="196" spans="3:18">
      <c r="C196" s="412">
        <v>11</v>
      </c>
      <c r="D196" s="538">
        <f t="shared" si="43"/>
        <v>2015</v>
      </c>
      <c r="E196" s="542"/>
      <c r="F196" s="246"/>
      <c r="G196" s="334">
        <f>'Rate Class Energy Model'!K26</f>
        <v>9062728.166465763</v>
      </c>
      <c r="H196" s="334">
        <f>'Rate Class Energy Model'!L26</f>
        <v>0</v>
      </c>
      <c r="I196" s="334">
        <f>'Rate Class Energy Model'!M26</f>
        <v>722.37676351875405</v>
      </c>
      <c r="J196" s="334">
        <f>'Rate Class Energy Model'!N26</f>
        <v>659.71452092322136</v>
      </c>
      <c r="K196" s="334">
        <f>'Rate Class Energy Model'!O26</f>
        <v>4885.8523657768073</v>
      </c>
    </row>
    <row r="198" spans="3:18">
      <c r="N198" s="340"/>
    </row>
    <row r="199" spans="3:18" ht="15" customHeight="1" thickBot="1">
      <c r="D199" s="554" t="s">
        <v>355</v>
      </c>
      <c r="E199" s="554"/>
      <c r="F199" s="554"/>
      <c r="G199" s="554"/>
      <c r="H199" s="554"/>
      <c r="I199" s="554"/>
      <c r="J199" s="554"/>
      <c r="K199" s="554"/>
    </row>
    <row r="200" spans="3:18" ht="34.5" thickBot="1">
      <c r="C200" s="455" t="s">
        <v>423</v>
      </c>
      <c r="D200" s="568" t="s">
        <v>314</v>
      </c>
      <c r="E200" s="568"/>
      <c r="F200" s="416"/>
      <c r="G200" s="371" t="str">
        <f>G185</f>
        <v>General Service 
&gt; 1000 kW</v>
      </c>
      <c r="H200" s="371" t="str">
        <f t="shared" ref="H200:K200" si="44">H185</f>
        <v>Large User</v>
      </c>
      <c r="I200" s="371" t="str">
        <f t="shared" si="44"/>
        <v>Street Lighting</v>
      </c>
      <c r="J200" s="371" t="str">
        <f t="shared" si="44"/>
        <v>Sentinel Lighting</v>
      </c>
      <c r="K200" s="372" t="str">
        <f t="shared" si="44"/>
        <v>Unmetered Scattered Load</v>
      </c>
    </row>
    <row r="201" spans="3:18" ht="15" customHeight="1">
      <c r="C201" s="456">
        <v>1</v>
      </c>
      <c r="D201" s="566" t="s">
        <v>327</v>
      </c>
      <c r="E201" s="555"/>
      <c r="F201" s="555"/>
      <c r="G201" s="555"/>
      <c r="H201" s="555"/>
      <c r="I201" s="555"/>
      <c r="J201" s="555"/>
    </row>
    <row r="202" spans="3:18" ht="15" customHeight="1">
      <c r="C202" s="456">
        <v>2</v>
      </c>
      <c r="D202" s="544" t="str">
        <f>D181</f>
        <v>2016 Bridge</v>
      </c>
      <c r="E202" s="576"/>
      <c r="F202" s="341"/>
      <c r="G202" s="329">
        <f>G196</f>
        <v>9062728.166465763</v>
      </c>
      <c r="H202" s="329">
        <f t="shared" ref="H202:K202" si="45">H196</f>
        <v>0</v>
      </c>
      <c r="I202" s="329">
        <f t="shared" si="45"/>
        <v>722.37676351875405</v>
      </c>
      <c r="J202" s="329">
        <f t="shared" si="45"/>
        <v>659.71452092322136</v>
      </c>
      <c r="K202" s="329">
        <f t="shared" si="45"/>
        <v>4885.8523657768073</v>
      </c>
    </row>
    <row r="203" spans="3:18" ht="15" customHeight="1">
      <c r="C203" s="411">
        <v>3</v>
      </c>
      <c r="D203" s="544" t="str">
        <f>D182</f>
        <v>2017 Test</v>
      </c>
      <c r="E203" s="576"/>
      <c r="F203" s="246"/>
      <c r="G203" s="329">
        <f>G202</f>
        <v>9062728.166465763</v>
      </c>
      <c r="H203" s="329">
        <f t="shared" ref="H203:K203" si="46">H202</f>
        <v>0</v>
      </c>
      <c r="I203" s="329">
        <f t="shared" si="46"/>
        <v>722.37676351875405</v>
      </c>
      <c r="J203" s="329">
        <f t="shared" si="46"/>
        <v>659.71452092322136</v>
      </c>
      <c r="K203" s="329">
        <f t="shared" si="46"/>
        <v>4885.8523657768073</v>
      </c>
      <c r="N203" s="309"/>
      <c r="O203" s="309"/>
      <c r="P203" s="309"/>
      <c r="Q203" s="309"/>
      <c r="R203" s="309"/>
    </row>
    <row r="205" spans="3:18" ht="13.5" thickBot="1">
      <c r="D205" s="554" t="s">
        <v>356</v>
      </c>
      <c r="E205" s="554"/>
      <c r="F205" s="554"/>
      <c r="G205" s="554"/>
      <c r="H205" s="554"/>
      <c r="I205" s="554"/>
      <c r="J205" s="554"/>
      <c r="K205" s="554"/>
      <c r="L205" s="554"/>
      <c r="M205" s="311"/>
      <c r="O205" s="301"/>
    </row>
    <row r="206" spans="3:18" ht="34.5" thickBot="1">
      <c r="C206" s="459" t="s">
        <v>423</v>
      </c>
      <c r="D206" s="568" t="s">
        <v>314</v>
      </c>
      <c r="E206" s="568"/>
      <c r="F206" s="416"/>
      <c r="G206" s="371" t="str">
        <f>G200</f>
        <v>General Service 
&gt; 1000 kW</v>
      </c>
      <c r="H206" s="371" t="str">
        <f>H200</f>
        <v>Large User</v>
      </c>
      <c r="I206" s="371" t="str">
        <f>I200</f>
        <v>Street Lighting</v>
      </c>
      <c r="J206" s="371" t="str">
        <f>J200</f>
        <v>Sentinel Lighting</v>
      </c>
      <c r="K206" s="371" t="str">
        <f>K200</f>
        <v>Unmetered Scattered Load</v>
      </c>
      <c r="L206" s="372" t="s">
        <v>5</v>
      </c>
      <c r="M206" s="335"/>
    </row>
    <row r="207" spans="3:18">
      <c r="C207" s="412">
        <v>1</v>
      </c>
      <c r="D207" s="555" t="s">
        <v>328</v>
      </c>
      <c r="E207" s="555"/>
      <c r="F207" s="555"/>
      <c r="G207" s="555"/>
      <c r="H207" s="555"/>
      <c r="I207" s="555"/>
      <c r="J207" s="555"/>
      <c r="K207" s="555"/>
      <c r="L207" s="555"/>
      <c r="M207" s="311"/>
    </row>
    <row r="208" spans="3:18">
      <c r="C208" s="412">
        <v>2</v>
      </c>
      <c r="D208" s="578" t="str">
        <f>D202</f>
        <v>2016 Bridge</v>
      </c>
      <c r="E208" s="578"/>
      <c r="F208" s="246"/>
      <c r="G208" s="342">
        <f t="shared" ref="G208:K209" si="47">G202*J181/1000000</f>
        <v>196.12288876817456</v>
      </c>
      <c r="H208" s="342">
        <f t="shared" si="47"/>
        <v>0</v>
      </c>
      <c r="I208" s="342">
        <f t="shared" si="47"/>
        <v>9.5684138127236213</v>
      </c>
      <c r="J208" s="342">
        <f t="shared" si="47"/>
        <v>0.10803710011156654</v>
      </c>
      <c r="K208" s="342">
        <f t="shared" si="47"/>
        <v>2.1481215747701587</v>
      </c>
      <c r="L208" s="342">
        <f>SUM(G208:K208)</f>
        <v>207.94746125577993</v>
      </c>
    </row>
    <row r="209" spans="3:15">
      <c r="C209" s="412">
        <v>3</v>
      </c>
      <c r="D209" s="578" t="str">
        <f>D203</f>
        <v>2017 Test</v>
      </c>
      <c r="E209" s="578"/>
      <c r="F209" s="246"/>
      <c r="G209" s="342">
        <f t="shared" si="47"/>
        <v>196.12288876817456</v>
      </c>
      <c r="H209" s="342">
        <f t="shared" si="47"/>
        <v>0</v>
      </c>
      <c r="I209" s="342">
        <f t="shared" si="47"/>
        <v>9.5891555986899117</v>
      </c>
      <c r="J209" s="342">
        <f t="shared" si="47"/>
        <v>0.10803710011156654</v>
      </c>
      <c r="K209" s="342">
        <f t="shared" si="47"/>
        <v>2.1481215747701587</v>
      </c>
      <c r="L209" s="342">
        <f>SUM(G209:K209)</f>
        <v>207.96820304174619</v>
      </c>
    </row>
    <row r="210" spans="3:15">
      <c r="D210" s="343"/>
      <c r="E210" s="343"/>
      <c r="F210" s="311"/>
      <c r="G210" s="339"/>
      <c r="H210" s="339"/>
      <c r="I210" s="339"/>
      <c r="J210" s="339"/>
      <c r="K210" s="339"/>
      <c r="M210" s="339"/>
      <c r="N210" s="339"/>
    </row>
    <row r="211" spans="3:15" ht="13.5" thickBot="1">
      <c r="D211" s="567" t="s">
        <v>434</v>
      </c>
      <c r="E211" s="567"/>
      <c r="F211" s="567"/>
      <c r="G211" s="567"/>
      <c r="H211" s="567"/>
      <c r="I211" s="567"/>
      <c r="J211" s="567"/>
      <c r="K211" s="567"/>
      <c r="L211" s="567"/>
      <c r="M211" s="567"/>
      <c r="N211" s="567"/>
      <c r="O211" s="567"/>
    </row>
    <row r="212" spans="3:15" ht="34.5" thickBot="1">
      <c r="C212" s="458" t="s">
        <v>423</v>
      </c>
      <c r="D212" s="568" t="s">
        <v>314</v>
      </c>
      <c r="E212" s="568"/>
      <c r="F212" s="416"/>
      <c r="G212" s="373" t="str">
        <f t="shared" ref="G212:N212" si="48">G22</f>
        <v xml:space="preserve">Residential </v>
      </c>
      <c r="H212" s="373" t="str">
        <f t="shared" si="48"/>
        <v>General Service
 &lt; 50 kW</v>
      </c>
      <c r="I212" s="373" t="str">
        <f t="shared" si="48"/>
        <v>General Service
 &gt; 50 to 999 kW</v>
      </c>
      <c r="J212" s="373" t="str">
        <f t="shared" si="48"/>
        <v>General Service 
&gt; 1000 kW</v>
      </c>
      <c r="K212" s="373" t="str">
        <f t="shared" si="48"/>
        <v>Large User</v>
      </c>
      <c r="L212" s="373" t="str">
        <f t="shared" si="48"/>
        <v>Street Lighting</v>
      </c>
      <c r="M212" s="373" t="str">
        <f t="shared" si="48"/>
        <v>Sentinel Lighting</v>
      </c>
      <c r="N212" s="373" t="str">
        <f t="shared" si="48"/>
        <v>Unmetered Scattered Load</v>
      </c>
      <c r="O212" s="374" t="s">
        <v>5</v>
      </c>
    </row>
    <row r="213" spans="3:15">
      <c r="C213" s="411">
        <v>1</v>
      </c>
      <c r="D213" s="555" t="s">
        <v>328</v>
      </c>
      <c r="E213" s="555"/>
      <c r="F213" s="555"/>
      <c r="G213" s="555"/>
      <c r="H213" s="555"/>
      <c r="I213" s="555"/>
      <c r="J213" s="555"/>
      <c r="K213" s="555"/>
      <c r="L213" s="555"/>
      <c r="M213" s="555"/>
      <c r="N213" s="555"/>
      <c r="O213" s="555"/>
    </row>
    <row r="214" spans="3:15">
      <c r="C214" s="412">
        <v>2</v>
      </c>
      <c r="D214" s="578" t="str">
        <f>D208</f>
        <v>2016 Bridge</v>
      </c>
      <c r="E214" s="578"/>
      <c r="F214" s="246"/>
      <c r="G214" s="342">
        <f>H111</f>
        <v>336.97213140370445</v>
      </c>
      <c r="H214" s="342">
        <f>H128</f>
        <v>138.75752373480822</v>
      </c>
      <c r="I214" s="342">
        <f>H145</f>
        <v>265.02677230260758</v>
      </c>
      <c r="J214" s="342">
        <f t="shared" ref="J214:N215" si="49">G208</f>
        <v>196.12288876817456</v>
      </c>
      <c r="K214" s="342">
        <f t="shared" si="49"/>
        <v>0</v>
      </c>
      <c r="L214" s="342">
        <f t="shared" si="49"/>
        <v>9.5684138127236213</v>
      </c>
      <c r="M214" s="342">
        <f t="shared" si="49"/>
        <v>0.10803710011156654</v>
      </c>
      <c r="N214" s="342">
        <f t="shared" si="49"/>
        <v>2.1481215747701587</v>
      </c>
      <c r="O214" s="342">
        <f>SUM(G214:N214)</f>
        <v>948.70388869690009</v>
      </c>
    </row>
    <row r="215" spans="3:15">
      <c r="C215" s="412">
        <v>3</v>
      </c>
      <c r="D215" s="578" t="str">
        <f>D209</f>
        <v>2017 Test</v>
      </c>
      <c r="E215" s="578"/>
      <c r="F215" s="246"/>
      <c r="G215" s="342">
        <f>H112</f>
        <v>338.04868647881699</v>
      </c>
      <c r="H215" s="342">
        <f>H129</f>
        <v>143.39740591995323</v>
      </c>
      <c r="I215" s="342">
        <f>H146</f>
        <v>265.48498227451239</v>
      </c>
      <c r="J215" s="342">
        <f t="shared" si="49"/>
        <v>196.12288876817456</v>
      </c>
      <c r="K215" s="342">
        <f t="shared" si="49"/>
        <v>0</v>
      </c>
      <c r="L215" s="342">
        <f t="shared" si="49"/>
        <v>9.5891555986899117</v>
      </c>
      <c r="M215" s="342">
        <f t="shared" si="49"/>
        <v>0.10803710011156654</v>
      </c>
      <c r="N215" s="342">
        <f t="shared" si="49"/>
        <v>2.1481215747701587</v>
      </c>
      <c r="O215" s="342">
        <f>SUM(G215:N215)</f>
        <v>954.8992777150288</v>
      </c>
    </row>
    <row r="217" spans="3:15" ht="13.5" thickBot="1">
      <c r="D217" s="567" t="s">
        <v>442</v>
      </c>
      <c r="E217" s="567"/>
      <c r="F217" s="567"/>
      <c r="G217" s="567"/>
      <c r="H217" s="567"/>
      <c r="I217" s="567"/>
      <c r="J217" s="567"/>
      <c r="K217" s="567"/>
      <c r="L217" s="567"/>
    </row>
    <row r="218" spans="3:15" ht="34.5" thickBot="1">
      <c r="C218" s="458" t="s">
        <v>423</v>
      </c>
      <c r="D218" s="577" t="s">
        <v>314</v>
      </c>
      <c r="E218" s="568"/>
      <c r="F218" s="416"/>
      <c r="G218" s="373" t="str">
        <f>G212</f>
        <v xml:space="preserve">Residential </v>
      </c>
      <c r="H218" s="373" t="str">
        <f t="shared" ref="H218:J218" si="50">H212</f>
        <v>General Service
 &lt; 50 kW</v>
      </c>
      <c r="I218" s="373" t="str">
        <f t="shared" si="50"/>
        <v>General Service
 &gt; 50 to 999 kW</v>
      </c>
      <c r="J218" s="373" t="str">
        <f t="shared" si="50"/>
        <v>General Service 
&gt; 1000 kW</v>
      </c>
      <c r="K218" s="373" t="str">
        <f>L212</f>
        <v>Street Lighting</v>
      </c>
      <c r="L218" s="374" t="s">
        <v>5</v>
      </c>
    </row>
    <row r="219" spans="3:15">
      <c r="C219" s="411">
        <v>1</v>
      </c>
      <c r="D219" s="566" t="s">
        <v>328</v>
      </c>
      <c r="E219" s="555"/>
      <c r="F219" s="555"/>
      <c r="G219" s="555"/>
      <c r="H219" s="555"/>
      <c r="I219" s="555"/>
      <c r="J219" s="555"/>
      <c r="K219" s="555"/>
      <c r="L219" s="555"/>
    </row>
    <row r="220" spans="3:15">
      <c r="C220" s="412">
        <v>2</v>
      </c>
      <c r="D220" s="576">
        <f>D196</f>
        <v>2015</v>
      </c>
      <c r="E220" s="578"/>
      <c r="F220" s="290"/>
      <c r="G220" s="329">
        <f>'CDM Activity'!BC57</f>
        <v>2457558.1561766542</v>
      </c>
      <c r="H220" s="329">
        <f>'CDM Activity'!BC58</f>
        <v>509177.59232368018</v>
      </c>
      <c r="I220" s="329">
        <f>'CDM Activity'!BC59</f>
        <v>2627750.2717046291</v>
      </c>
      <c r="J220" s="329">
        <f>'Rate Class Energy Model'!K51</f>
        <v>13005537</v>
      </c>
      <c r="K220" s="329">
        <f>'Rate Class Energy Model'!M51</f>
        <v>752180.45618073316</v>
      </c>
      <c r="L220" s="329">
        <f>SUM(G220:K220)</f>
        <v>19352203.476385694</v>
      </c>
    </row>
    <row r="221" spans="3:15">
      <c r="C221" s="412">
        <v>3</v>
      </c>
      <c r="D221" s="576" t="str">
        <f>D214</f>
        <v>2016 Bridge</v>
      </c>
      <c r="E221" s="578"/>
      <c r="F221" s="246"/>
      <c r="G221" s="329">
        <f>'Rate Class Energy Model'!H52</f>
        <v>949699.99999999988</v>
      </c>
      <c r="H221" s="329">
        <f>'Rate Class Energy Model'!I52</f>
        <v>440905.99999999994</v>
      </c>
      <c r="I221" s="329">
        <f>'Rate Class Energy Model'!J52</f>
        <v>1701193.9999999998</v>
      </c>
      <c r="J221" s="329">
        <f>'Rate Class Energy Model'!K52</f>
        <v>13685000</v>
      </c>
      <c r="K221" s="329">
        <f>'Rate Class Energy Model'!M52</f>
        <v>615000</v>
      </c>
      <c r="L221" s="329">
        <f>SUM(G221:K221)</f>
        <v>17391800</v>
      </c>
    </row>
    <row r="222" spans="3:15">
      <c r="C222" s="412">
        <v>4</v>
      </c>
      <c r="D222" s="576" t="str">
        <f>D215</f>
        <v>2017 Test</v>
      </c>
      <c r="E222" s="578"/>
      <c r="F222" s="246"/>
      <c r="G222" s="329">
        <f>'Rate Class Energy Model'!H53</f>
        <v>1968600</v>
      </c>
      <c r="H222" s="329">
        <f>'Rate Class Energy Model'!I53</f>
        <v>518584.99999999994</v>
      </c>
      <c r="I222" s="329">
        <f>'Rate Class Energy Model'!J53</f>
        <v>1791814.9999999998</v>
      </c>
      <c r="J222" s="329">
        <f>'Rate Class Energy Model'!K53</f>
        <v>200000</v>
      </c>
      <c r="K222" s="329">
        <f>'Rate Class Energy Model'!M53</f>
        <v>615000</v>
      </c>
      <c r="L222" s="329">
        <f>SUM(G222:K222)</f>
        <v>5094000</v>
      </c>
      <c r="N222" s="309">
        <f>L220+L221+L222</f>
        <v>41838003.476385698</v>
      </c>
    </row>
    <row r="224" spans="3:15" ht="13.5" thickBot="1">
      <c r="D224" s="567" t="s">
        <v>357</v>
      </c>
      <c r="E224" s="567"/>
      <c r="F224" s="567"/>
      <c r="G224" s="567"/>
      <c r="H224" s="567"/>
      <c r="I224" s="567"/>
      <c r="J224" s="567"/>
      <c r="K224" s="567"/>
      <c r="L224" s="567"/>
    </row>
    <row r="225" spans="3:15" ht="34.5" thickBot="1">
      <c r="C225" s="458" t="s">
        <v>423</v>
      </c>
      <c r="D225" s="577" t="s">
        <v>314</v>
      </c>
      <c r="E225" s="568"/>
      <c r="F225" s="416"/>
      <c r="G225" s="373" t="str">
        <f>G218</f>
        <v xml:space="preserve">Residential </v>
      </c>
      <c r="H225" s="373" t="str">
        <f t="shared" ref="H225:K225" si="51">H218</f>
        <v>General Service
 &lt; 50 kW</v>
      </c>
      <c r="I225" s="373" t="str">
        <f t="shared" si="51"/>
        <v>General Service
 &gt; 50 to 999 kW</v>
      </c>
      <c r="J225" s="373" t="str">
        <f t="shared" si="51"/>
        <v>General Service 
&gt; 1000 kW</v>
      </c>
      <c r="K225" s="373" t="str">
        <f t="shared" si="51"/>
        <v>Street Lighting</v>
      </c>
      <c r="L225" s="374" t="s">
        <v>5</v>
      </c>
    </row>
    <row r="226" spans="3:15">
      <c r="C226" s="453">
        <v>1</v>
      </c>
      <c r="D226" s="566" t="s">
        <v>328</v>
      </c>
      <c r="E226" s="555"/>
      <c r="F226" s="555"/>
      <c r="G226" s="555"/>
      <c r="H226" s="555"/>
      <c r="I226" s="555"/>
      <c r="J226" s="555"/>
      <c r="K226" s="555"/>
      <c r="L226" s="555"/>
    </row>
    <row r="227" spans="3:15">
      <c r="C227" s="452">
        <v>2</v>
      </c>
      <c r="D227" s="576" t="str">
        <f>D221</f>
        <v>2016 Bridge</v>
      </c>
      <c r="E227" s="578"/>
      <c r="F227" s="246"/>
      <c r="G227" s="329">
        <f>G221*0.5</f>
        <v>474849.99999999994</v>
      </c>
      <c r="H227" s="329">
        <f t="shared" ref="H227:I227" si="52">H221*0.5</f>
        <v>220452.99999999997</v>
      </c>
      <c r="I227" s="329">
        <f t="shared" si="52"/>
        <v>850596.99999999988</v>
      </c>
      <c r="J227" s="329">
        <f>J220+J221*0.5</f>
        <v>19848037</v>
      </c>
      <c r="K227" s="329">
        <f>K220*0.5+K221*0.5</f>
        <v>683590.22809036658</v>
      </c>
      <c r="L227" s="329">
        <f>SUM(G227:K227)</f>
        <v>22077527.228090368</v>
      </c>
      <c r="M227" s="309"/>
    </row>
    <row r="228" spans="3:15">
      <c r="C228" s="452">
        <v>3</v>
      </c>
      <c r="D228" s="576" t="str">
        <f>D222</f>
        <v>2017 Test</v>
      </c>
      <c r="E228" s="578"/>
      <c r="F228" s="246"/>
      <c r="G228" s="329">
        <f>G221+G222*0.5</f>
        <v>1934000</v>
      </c>
      <c r="H228" s="329">
        <f t="shared" ref="H228:I228" si="53">H221+H222*0.5</f>
        <v>700198.49999999988</v>
      </c>
      <c r="I228" s="329">
        <f t="shared" si="53"/>
        <v>2597101.4999999995</v>
      </c>
      <c r="J228" s="329">
        <f>J220+J221+J222*0.5</f>
        <v>26790537</v>
      </c>
      <c r="K228" s="329">
        <f>K227+K222</f>
        <v>1298590.2280903666</v>
      </c>
      <c r="L228" s="329">
        <f>SUM(G228:K228)</f>
        <v>33320427.228090368</v>
      </c>
      <c r="M228" s="309"/>
    </row>
    <row r="229" spans="3:15">
      <c r="G229" s="344"/>
      <c r="H229" s="344"/>
      <c r="I229" s="344"/>
      <c r="J229" s="344"/>
      <c r="K229" s="344"/>
    </row>
    <row r="230" spans="3:15">
      <c r="G230" s="309"/>
      <c r="H230" s="309"/>
      <c r="I230" s="309"/>
      <c r="J230" s="309"/>
      <c r="K230" s="309"/>
    </row>
    <row r="231" spans="3:15" ht="13.5" thickBot="1">
      <c r="D231" s="567" t="s">
        <v>435</v>
      </c>
      <c r="E231" s="567"/>
      <c r="F231" s="567"/>
      <c r="G231" s="567"/>
      <c r="H231" s="567"/>
      <c r="I231" s="567"/>
      <c r="J231" s="567"/>
      <c r="K231" s="567"/>
      <c r="L231" s="567"/>
    </row>
    <row r="232" spans="3:15" ht="34.5" thickBot="1">
      <c r="C232" s="458" t="s">
        <v>423</v>
      </c>
      <c r="D232" s="568" t="s">
        <v>314</v>
      </c>
      <c r="E232" s="568"/>
      <c r="F232" s="416"/>
      <c r="G232" s="373" t="str">
        <f>G225</f>
        <v xml:space="preserve">Residential </v>
      </c>
      <c r="H232" s="373" t="str">
        <f t="shared" ref="H232:K232" si="54">H225</f>
        <v>General Service
 &lt; 50 kW</v>
      </c>
      <c r="I232" s="373" t="str">
        <f t="shared" si="54"/>
        <v>General Service
 &gt; 50 to 999 kW</v>
      </c>
      <c r="J232" s="373" t="str">
        <f t="shared" si="54"/>
        <v>General Service 
&gt; 1000 kW</v>
      </c>
      <c r="K232" s="373" t="str">
        <f t="shared" si="54"/>
        <v>Street Lighting</v>
      </c>
      <c r="L232" s="374" t="s">
        <v>5</v>
      </c>
    </row>
    <row r="233" spans="3:15">
      <c r="C233" s="411">
        <v>1</v>
      </c>
      <c r="D233" s="566" t="s">
        <v>328</v>
      </c>
      <c r="E233" s="555"/>
      <c r="F233" s="555"/>
      <c r="G233" s="555"/>
      <c r="H233" s="555"/>
      <c r="I233" s="555"/>
      <c r="J233" s="555"/>
      <c r="K233" s="555"/>
      <c r="L233" s="555"/>
    </row>
    <row r="234" spans="3:15">
      <c r="C234" s="412">
        <v>2</v>
      </c>
      <c r="D234" s="576" t="s">
        <v>358</v>
      </c>
      <c r="E234" s="578"/>
      <c r="F234" s="246"/>
      <c r="G234" s="329">
        <f>G220+G221+G222</f>
        <v>5375858.1561766546</v>
      </c>
      <c r="H234" s="329">
        <f t="shared" ref="H234:K234" si="55">H220+H221+H222</f>
        <v>1468668.5923236802</v>
      </c>
      <c r="I234" s="329">
        <f t="shared" si="55"/>
        <v>6120759.2717046291</v>
      </c>
      <c r="J234" s="329">
        <f t="shared" si="55"/>
        <v>26890537</v>
      </c>
      <c r="K234" s="329">
        <f t="shared" si="55"/>
        <v>1982180.4561807332</v>
      </c>
      <c r="L234" s="329">
        <f>SUM(G234:K234)</f>
        <v>41838003.476385698</v>
      </c>
      <c r="N234" s="69"/>
      <c r="O234"/>
    </row>
    <row r="235" spans="3:15">
      <c r="C235" s="412">
        <v>3</v>
      </c>
      <c r="D235" s="576" t="s">
        <v>359</v>
      </c>
      <c r="E235" s="578"/>
      <c r="F235" s="246"/>
      <c r="G235" s="329"/>
      <c r="H235" s="329"/>
      <c r="I235" s="329">
        <f>I234*G279</f>
        <v>15296.661304398729</v>
      </c>
      <c r="J235" s="329">
        <f>J234*H279</f>
        <v>74149.112258709225</v>
      </c>
      <c r="K235" s="329">
        <f>K234*J279</f>
        <v>5640.1332741562801</v>
      </c>
      <c r="L235" s="329">
        <f>SUM(G235:K235)</f>
        <v>95085.906837264236</v>
      </c>
    </row>
    <row r="236" spans="3:15">
      <c r="C236" s="412">
        <v>4</v>
      </c>
      <c r="D236" s="576" t="s">
        <v>360</v>
      </c>
      <c r="E236" s="578"/>
      <c r="G236" s="230"/>
      <c r="H236" s="230"/>
      <c r="I236" s="329">
        <f>I235/12</f>
        <v>1274.7217753665607</v>
      </c>
      <c r="J236" s="329">
        <f>J235/12</f>
        <v>6179.0926882257691</v>
      </c>
      <c r="K236" s="329">
        <f t="shared" ref="K236:L236" si="56">K235/12</f>
        <v>470.01110617968999</v>
      </c>
      <c r="L236" s="329">
        <f t="shared" si="56"/>
        <v>7923.8255697720197</v>
      </c>
    </row>
    <row r="238" spans="3:15" ht="13.5" thickBot="1">
      <c r="D238" s="567" t="s">
        <v>361</v>
      </c>
      <c r="E238" s="567"/>
      <c r="F238" s="567"/>
      <c r="G238" s="567"/>
      <c r="H238" s="567"/>
      <c r="I238" s="567"/>
      <c r="J238" s="567"/>
      <c r="K238" s="567"/>
      <c r="L238" s="567"/>
      <c r="M238" s="567"/>
      <c r="N238" s="567"/>
      <c r="O238" s="567"/>
    </row>
    <row r="239" spans="3:15" ht="34.5" thickBot="1">
      <c r="C239" s="458" t="s">
        <v>423</v>
      </c>
      <c r="D239" s="568" t="s">
        <v>314</v>
      </c>
      <c r="E239" s="568"/>
      <c r="F239" s="460"/>
      <c r="G239" s="373" t="str">
        <f>G212</f>
        <v xml:space="preserve">Residential </v>
      </c>
      <c r="H239" s="373" t="str">
        <f t="shared" ref="H239:M239" si="57">H212</f>
        <v>General Service
 &lt; 50 kW</v>
      </c>
      <c r="I239" s="373" t="str">
        <f t="shared" si="57"/>
        <v>General Service
 &gt; 50 to 999 kW</v>
      </c>
      <c r="J239" s="373" t="str">
        <f t="shared" si="57"/>
        <v>General Service 
&gt; 1000 kW</v>
      </c>
      <c r="K239" s="373" t="str">
        <f t="shared" si="57"/>
        <v>Large User</v>
      </c>
      <c r="L239" s="373" t="str">
        <f t="shared" si="57"/>
        <v>Street Lighting</v>
      </c>
      <c r="M239" s="373" t="str">
        <f t="shared" si="57"/>
        <v>Sentinel Lighting</v>
      </c>
      <c r="N239" s="373" t="str">
        <f>N212</f>
        <v>Unmetered Scattered Load</v>
      </c>
      <c r="O239" s="374" t="str">
        <f>O212</f>
        <v>Total</v>
      </c>
    </row>
    <row r="240" spans="3:15">
      <c r="C240" s="453">
        <v>1</v>
      </c>
      <c r="D240" s="566" t="s">
        <v>328</v>
      </c>
      <c r="E240" s="555"/>
      <c r="F240" s="555"/>
      <c r="G240" s="555"/>
      <c r="H240" s="555"/>
      <c r="I240" s="555"/>
      <c r="J240" s="555"/>
      <c r="K240" s="555"/>
      <c r="L240" s="555"/>
      <c r="M240" s="555"/>
      <c r="N240" s="555"/>
      <c r="O240" s="555"/>
    </row>
    <row r="241" spans="3:15">
      <c r="C241" s="452">
        <v>2</v>
      </c>
      <c r="D241" s="569" t="str">
        <f>D227</f>
        <v>2016 Bridge</v>
      </c>
      <c r="E241" s="570"/>
      <c r="F241" s="345"/>
      <c r="G241" s="346">
        <f>G214</f>
        <v>336.97213140370445</v>
      </c>
      <c r="H241" s="346">
        <f t="shared" ref="H241:N241" si="58">H214</f>
        <v>138.75752373480822</v>
      </c>
      <c r="I241" s="346">
        <f t="shared" si="58"/>
        <v>265.02677230260758</v>
      </c>
      <c r="J241" s="346">
        <f t="shared" si="58"/>
        <v>196.12288876817456</v>
      </c>
      <c r="K241" s="346">
        <f t="shared" si="58"/>
        <v>0</v>
      </c>
      <c r="L241" s="346">
        <f t="shared" si="58"/>
        <v>9.5684138127236213</v>
      </c>
      <c r="M241" s="346">
        <f t="shared" si="58"/>
        <v>0.10803710011156654</v>
      </c>
      <c r="N241" s="346">
        <f t="shared" si="58"/>
        <v>2.1481215747701587</v>
      </c>
      <c r="O241" s="346">
        <f>SUM(G241:N241)</f>
        <v>948.70388869690009</v>
      </c>
    </row>
    <row r="242" spans="3:15">
      <c r="C242" s="452">
        <v>3</v>
      </c>
      <c r="D242" s="538" t="str">
        <f>D228</f>
        <v>2017 Test</v>
      </c>
      <c r="E242" s="542"/>
      <c r="F242" s="246"/>
      <c r="G242" s="342">
        <f>G215</f>
        <v>338.04868647881699</v>
      </c>
      <c r="H242" s="342">
        <f t="shared" ref="H242:N242" si="59">H215</f>
        <v>143.39740591995323</v>
      </c>
      <c r="I242" s="342">
        <f t="shared" si="59"/>
        <v>265.48498227451239</v>
      </c>
      <c r="J242" s="342">
        <f t="shared" si="59"/>
        <v>196.12288876817456</v>
      </c>
      <c r="K242" s="342">
        <f t="shared" si="59"/>
        <v>0</v>
      </c>
      <c r="L242" s="342">
        <f t="shared" si="59"/>
        <v>9.5891555986899117</v>
      </c>
      <c r="M242" s="342">
        <f t="shared" si="59"/>
        <v>0.10803710011156654</v>
      </c>
      <c r="N242" s="342">
        <f t="shared" si="59"/>
        <v>2.1481215747701587</v>
      </c>
      <c r="O242" s="342">
        <f>SUM(G242:N242)</f>
        <v>954.8992777150288</v>
      </c>
    </row>
    <row r="243" spans="3:15" ht="15" customHeight="1">
      <c r="C243" s="452">
        <v>4</v>
      </c>
      <c r="D243" s="571" t="s">
        <v>329</v>
      </c>
      <c r="E243" s="540"/>
      <c r="F243" s="540"/>
      <c r="G243" s="540"/>
      <c r="H243" s="540"/>
      <c r="I243" s="540"/>
      <c r="J243" s="540"/>
      <c r="K243" s="540"/>
      <c r="L243" s="540"/>
      <c r="M243" s="540"/>
      <c r="N243" s="540"/>
      <c r="O243" s="540"/>
    </row>
    <row r="244" spans="3:15">
      <c r="C244" s="452">
        <v>5</v>
      </c>
      <c r="D244" s="569" t="str">
        <f>D241</f>
        <v>2016 Bridge</v>
      </c>
      <c r="E244" s="570"/>
      <c r="F244" s="345"/>
      <c r="G244" s="347">
        <f>-G227/1000000</f>
        <v>-0.47484999999999994</v>
      </c>
      <c r="H244" s="347">
        <f t="shared" ref="H244:J244" si="60">-H227/1000000</f>
        <v>-0.22045299999999998</v>
      </c>
      <c r="I244" s="347">
        <f t="shared" si="60"/>
        <v>-0.85059699999999994</v>
      </c>
      <c r="J244" s="347">
        <f t="shared" si="60"/>
        <v>-19.848037000000001</v>
      </c>
      <c r="K244" s="347">
        <f>'Rate Class Energy Model'!L82/1000000</f>
        <v>0</v>
      </c>
      <c r="L244" s="347">
        <f>-K227/1000000</f>
        <v>-0.68359022809036663</v>
      </c>
      <c r="M244" s="347">
        <f>'Rate Class Energy Model'!N82/1000000</f>
        <v>0</v>
      </c>
      <c r="N244" s="347">
        <f>'Rate Class Energy Model'!O82/1000000</f>
        <v>0</v>
      </c>
      <c r="O244" s="347">
        <f>SUM(G244:N244)</f>
        <v>-22.077527228090368</v>
      </c>
    </row>
    <row r="245" spans="3:15">
      <c r="C245" s="452">
        <v>6</v>
      </c>
      <c r="D245" s="538" t="str">
        <f>D242</f>
        <v>2017 Test</v>
      </c>
      <c r="E245" s="542"/>
      <c r="F245" s="246"/>
      <c r="G245" s="347">
        <f>-G228/1000000</f>
        <v>-1.9339999999999999</v>
      </c>
      <c r="H245" s="347">
        <f t="shared" ref="H245:J245" si="61">-H228/1000000</f>
        <v>-0.70019849999999983</v>
      </c>
      <c r="I245" s="347">
        <f t="shared" si="61"/>
        <v>-2.5971014999999995</v>
      </c>
      <c r="J245" s="347">
        <f t="shared" si="61"/>
        <v>-26.790537</v>
      </c>
      <c r="K245" s="348">
        <f>'Rate Class Energy Model'!L89/1000000</f>
        <v>0</v>
      </c>
      <c r="L245" s="347">
        <f>-K228/1000000</f>
        <v>-1.2985902280903665</v>
      </c>
      <c r="M245" s="348">
        <f>'Rate Class Energy Model'!N89/1000000</f>
        <v>0</v>
      </c>
      <c r="N245" s="348">
        <f>'Rate Class Energy Model'!O89/1000000</f>
        <v>0</v>
      </c>
      <c r="O245" s="347">
        <f>SUM(G245:N245)</f>
        <v>-33.320427228090367</v>
      </c>
    </row>
    <row r="246" spans="3:15">
      <c r="C246" s="452">
        <v>7</v>
      </c>
      <c r="D246" s="571" t="s">
        <v>330</v>
      </c>
      <c r="E246" s="540"/>
      <c r="F246" s="540"/>
      <c r="G246" s="540"/>
      <c r="H246" s="540"/>
      <c r="I246" s="540"/>
      <c r="J246" s="540"/>
      <c r="K246" s="540"/>
      <c r="L246" s="540"/>
      <c r="M246" s="540"/>
      <c r="N246" s="540"/>
      <c r="O246" s="540"/>
    </row>
    <row r="247" spans="3:15">
      <c r="C247" s="452">
        <v>8</v>
      </c>
      <c r="D247" s="569" t="str">
        <f>D244</f>
        <v>2016 Bridge</v>
      </c>
      <c r="E247" s="570"/>
      <c r="F247" s="333"/>
      <c r="G247" s="349">
        <f>G241+G244</f>
        <v>336.49728140370445</v>
      </c>
      <c r="H247" s="349">
        <f t="shared" ref="H247:N248" si="62">H241+H244</f>
        <v>138.53707073480822</v>
      </c>
      <c r="I247" s="349">
        <f t="shared" si="62"/>
        <v>264.17617530260759</v>
      </c>
      <c r="J247" s="349">
        <f t="shared" si="62"/>
        <v>176.27485176817456</v>
      </c>
      <c r="K247" s="349">
        <f t="shared" si="62"/>
        <v>0</v>
      </c>
      <c r="L247" s="349">
        <f t="shared" si="62"/>
        <v>8.8848235846332546</v>
      </c>
      <c r="M247" s="349">
        <f t="shared" si="62"/>
        <v>0.10803710011156654</v>
      </c>
      <c r="N247" s="349">
        <f t="shared" si="62"/>
        <v>2.1481215747701587</v>
      </c>
      <c r="O247" s="346">
        <f>SUM(G247:N247)</f>
        <v>926.62636146880982</v>
      </c>
    </row>
    <row r="248" spans="3:15">
      <c r="C248" s="452">
        <v>9</v>
      </c>
      <c r="D248" s="538" t="str">
        <f>D245</f>
        <v>2017 Test</v>
      </c>
      <c r="E248" s="542"/>
      <c r="F248" s="246"/>
      <c r="G248" s="349">
        <f>G242+G245</f>
        <v>336.11468647881696</v>
      </c>
      <c r="H248" s="349">
        <f t="shared" si="62"/>
        <v>142.69720741995323</v>
      </c>
      <c r="I248" s="349">
        <f t="shared" si="62"/>
        <v>262.88788077451238</v>
      </c>
      <c r="J248" s="349">
        <f t="shared" si="62"/>
        <v>169.33235176817456</v>
      </c>
      <c r="K248" s="349">
        <f t="shared" si="62"/>
        <v>0</v>
      </c>
      <c r="L248" s="349">
        <f t="shared" si="62"/>
        <v>8.2905653705995448</v>
      </c>
      <c r="M248" s="349">
        <f t="shared" si="62"/>
        <v>0.10803710011156654</v>
      </c>
      <c r="N248" s="349">
        <f t="shared" si="62"/>
        <v>2.1481215747701587</v>
      </c>
      <c r="O248" s="342">
        <f>SUM(G248:N248)</f>
        <v>921.57885048693845</v>
      </c>
    </row>
    <row r="250" spans="3:15" ht="13.5" thickBot="1">
      <c r="D250" s="554" t="s">
        <v>362</v>
      </c>
      <c r="E250" s="554"/>
      <c r="F250" s="554"/>
      <c r="G250" s="554"/>
      <c r="H250" s="554"/>
      <c r="I250" s="554"/>
      <c r="J250" s="554"/>
      <c r="K250" s="554"/>
      <c r="L250" s="554"/>
      <c r="M250" s="554"/>
      <c r="N250" s="338"/>
    </row>
    <row r="251" spans="3:15" ht="45.75" thickBot="1">
      <c r="C251" s="458" t="s">
        <v>423</v>
      </c>
      <c r="D251" s="568" t="s">
        <v>314</v>
      </c>
      <c r="E251" s="568"/>
      <c r="F251" s="416"/>
      <c r="G251" s="373" t="str">
        <f>I239</f>
        <v>General Service
 &gt; 50 to 999 kW</v>
      </c>
      <c r="H251" s="373" t="str">
        <f>J239</f>
        <v>General Service 
&gt; 1000 kW</v>
      </c>
      <c r="I251" s="373" t="str">
        <f>K239</f>
        <v>Large User</v>
      </c>
      <c r="J251" s="373" t="str">
        <f>L239</f>
        <v>Street Lighting</v>
      </c>
      <c r="K251" s="373" t="str">
        <f>M239</f>
        <v>Sentinel Lighting</v>
      </c>
      <c r="L251" s="373" t="str">
        <f>O239</f>
        <v>Total</v>
      </c>
      <c r="M251" s="374" t="str">
        <f>G251</f>
        <v>General Service
 &gt; 50 to 999 kW</v>
      </c>
    </row>
    <row r="252" spans="3:15">
      <c r="C252" s="411">
        <v>1</v>
      </c>
      <c r="D252" s="566" t="s">
        <v>331</v>
      </c>
      <c r="E252" s="555"/>
      <c r="F252" s="555"/>
      <c r="G252" s="555"/>
      <c r="H252" s="555"/>
      <c r="I252" s="555"/>
      <c r="J252" s="555"/>
      <c r="K252" s="555"/>
      <c r="L252" s="555"/>
      <c r="M252" s="555"/>
    </row>
    <row r="253" spans="3:15">
      <c r="C253" s="412">
        <v>2</v>
      </c>
      <c r="D253" s="408"/>
      <c r="E253" s="289"/>
      <c r="F253" s="290"/>
      <c r="G253" s="592" t="s">
        <v>363</v>
      </c>
      <c r="H253" s="593"/>
      <c r="I253" s="593"/>
      <c r="J253" s="593"/>
      <c r="K253" s="593"/>
      <c r="L253" s="594"/>
      <c r="M253" s="350" t="s">
        <v>364</v>
      </c>
    </row>
    <row r="254" spans="3:15">
      <c r="C254" s="412">
        <v>3</v>
      </c>
      <c r="D254" s="538">
        <f>D187</f>
        <v>2006</v>
      </c>
      <c r="E254" s="542"/>
      <c r="F254" s="290"/>
      <c r="G254" s="334">
        <f>'Rate Class Load Model'!B2</f>
        <v>715592.13</v>
      </c>
      <c r="H254" s="334">
        <f>'Rate Class Load Model'!C2</f>
        <v>675435.28559999994</v>
      </c>
      <c r="I254" s="334">
        <f>'Rate Class Load Model'!D2</f>
        <v>0</v>
      </c>
      <c r="J254" s="334">
        <f>'Rate Class Load Model'!E2</f>
        <v>30656.799999999996</v>
      </c>
      <c r="K254" s="351">
        <f>SUM(G254:J254)</f>
        <v>1421684.2156</v>
      </c>
      <c r="L254" s="351">
        <f>SUM(G254:K254)</f>
        <v>2843368.4312</v>
      </c>
      <c r="M254" s="334">
        <f>G254*K135</f>
        <v>720395.56804874388</v>
      </c>
      <c r="N254" s="309"/>
    </row>
    <row r="255" spans="3:15">
      <c r="C255" s="412">
        <v>4</v>
      </c>
      <c r="D255" s="538">
        <f t="shared" ref="D255:D263" si="63">D188</f>
        <v>2007</v>
      </c>
      <c r="E255" s="542"/>
      <c r="F255" s="290"/>
      <c r="G255" s="329">
        <f>'Rate Class Load Model'!B3</f>
        <v>728766.5</v>
      </c>
      <c r="H255" s="329">
        <f>'Rate Class Load Model'!C3</f>
        <v>626041.3097000001</v>
      </c>
      <c r="I255" s="329">
        <f>'Rate Class Load Model'!D3</f>
        <v>0</v>
      </c>
      <c r="J255" s="329">
        <f>'Rate Class Load Model'!E3</f>
        <v>30889.010000000002</v>
      </c>
      <c r="K255" s="249">
        <f>SUM(G255:J255)</f>
        <v>1385696.8197000001</v>
      </c>
      <c r="L255" s="249">
        <f t="shared" ref="L255:L263" si="64">SUM(G255:K255)</f>
        <v>2771393.6394000002</v>
      </c>
      <c r="M255" s="334">
        <f t="shared" ref="M255:M263" si="65">G255*K136</f>
        <v>727474.50042140088</v>
      </c>
      <c r="N255" s="309"/>
    </row>
    <row r="256" spans="3:15">
      <c r="C256" s="412">
        <v>5</v>
      </c>
      <c r="D256" s="538">
        <f t="shared" si="63"/>
        <v>2008</v>
      </c>
      <c r="E256" s="542"/>
      <c r="F256" s="290"/>
      <c r="G256" s="329">
        <f>'Rate Class Load Model'!B4</f>
        <v>747849.27000000014</v>
      </c>
      <c r="H256" s="329">
        <f>'Rate Class Load Model'!C4</f>
        <v>572083.02580000006</v>
      </c>
      <c r="I256" s="329">
        <f>'Rate Class Load Model'!D4</f>
        <v>0</v>
      </c>
      <c r="J256" s="329">
        <f>'Rate Class Load Model'!E4</f>
        <v>31499.200000000001</v>
      </c>
      <c r="K256" s="249">
        <f>SUM(G256:J256)</f>
        <v>1351431.4958000001</v>
      </c>
      <c r="L256" s="249">
        <f t="shared" si="64"/>
        <v>2702862.9916000003</v>
      </c>
      <c r="M256" s="334">
        <f t="shared" si="65"/>
        <v>742317.94993706513</v>
      </c>
      <c r="N256" s="309"/>
    </row>
    <row r="257" spans="3:14">
      <c r="C257" s="412">
        <v>6</v>
      </c>
      <c r="D257" s="538">
        <f t="shared" si="63"/>
        <v>2009</v>
      </c>
      <c r="E257" s="542"/>
      <c r="F257" s="290"/>
      <c r="G257" s="329">
        <f>'Rate Class Load Model'!B5</f>
        <v>719275.91000000015</v>
      </c>
      <c r="H257" s="329">
        <f>'Rate Class Load Model'!C5</f>
        <v>530288.73339999991</v>
      </c>
      <c r="I257" s="329">
        <f>'Rate Class Load Model'!D5</f>
        <v>0</v>
      </c>
      <c r="J257" s="329">
        <f>'Rate Class Load Model'!E5</f>
        <v>31053.320000000007</v>
      </c>
      <c r="K257" s="249">
        <f>SUM(G257:J257)</f>
        <v>1280617.9634</v>
      </c>
      <c r="L257" s="249">
        <f t="shared" si="64"/>
        <v>2561235.9268</v>
      </c>
      <c r="M257" s="334">
        <f t="shared" si="65"/>
        <v>718575.3787758993</v>
      </c>
      <c r="N257" s="309"/>
    </row>
    <row r="258" spans="3:14">
      <c r="C258" s="412">
        <v>7</v>
      </c>
      <c r="D258" s="538">
        <f t="shared" si="63"/>
        <v>2010</v>
      </c>
      <c r="E258" s="542"/>
      <c r="F258" s="246"/>
      <c r="G258" s="329">
        <f>'Rate Class Load Model'!B6</f>
        <v>723294.84999999986</v>
      </c>
      <c r="H258" s="329">
        <f>'Rate Class Load Model'!C6</f>
        <v>516956.12800000003</v>
      </c>
      <c r="I258" s="329">
        <f>'Rate Class Load Model'!D6</f>
        <v>0</v>
      </c>
      <c r="J258" s="329">
        <f>'Rate Class Load Model'!E6</f>
        <v>31561.720000000008</v>
      </c>
      <c r="K258" s="249">
        <f t="shared" ref="K258:K263" si="66">SUM(G258:J258)</f>
        <v>1271812.6979999999</v>
      </c>
      <c r="L258" s="249">
        <f t="shared" si="64"/>
        <v>2543625.3959999997</v>
      </c>
      <c r="M258" s="334">
        <f t="shared" si="65"/>
        <v>730854.50376075052</v>
      </c>
      <c r="N258" s="309"/>
    </row>
    <row r="259" spans="3:14">
      <c r="C259" s="412">
        <v>8</v>
      </c>
      <c r="D259" s="538">
        <f t="shared" si="63"/>
        <v>2011</v>
      </c>
      <c r="E259" s="542"/>
      <c r="F259" s="246"/>
      <c r="G259" s="329">
        <f>'Rate Class Load Model'!B7</f>
        <v>732497.42999999993</v>
      </c>
      <c r="H259" s="329">
        <f>'Rate Class Load Model'!C7</f>
        <v>504570.848</v>
      </c>
      <c r="I259" s="329">
        <f>'Rate Class Load Model'!D7</f>
        <v>0</v>
      </c>
      <c r="J259" s="329">
        <f>'Rate Class Load Model'!E7</f>
        <v>31849.550000000003</v>
      </c>
      <c r="K259" s="249">
        <f t="shared" si="66"/>
        <v>1268917.828</v>
      </c>
      <c r="L259" s="249">
        <f t="shared" si="64"/>
        <v>2537835.656</v>
      </c>
      <c r="M259" s="334">
        <f t="shared" si="65"/>
        <v>729461.44214080344</v>
      </c>
      <c r="N259" s="309"/>
    </row>
    <row r="260" spans="3:14">
      <c r="C260" s="412">
        <v>9</v>
      </c>
      <c r="D260" s="538">
        <f t="shared" si="63"/>
        <v>2012</v>
      </c>
      <c r="E260" s="542"/>
      <c r="F260" s="246"/>
      <c r="G260" s="329">
        <f>'Rate Class Load Model'!B8</f>
        <v>734173.25</v>
      </c>
      <c r="H260" s="329">
        <f>'Rate Class Load Model'!C8</f>
        <v>517091.88530000014</v>
      </c>
      <c r="I260" s="329">
        <f>'Rate Class Load Model'!D8</f>
        <v>0</v>
      </c>
      <c r="J260" s="329">
        <f>'Rate Class Load Model'!E8</f>
        <v>30858.559999999998</v>
      </c>
      <c r="K260" s="249">
        <f t="shared" si="66"/>
        <v>1282123.6953000003</v>
      </c>
      <c r="L260" s="249">
        <f t="shared" si="64"/>
        <v>2564247.3906000005</v>
      </c>
      <c r="M260" s="334">
        <f t="shared" si="65"/>
        <v>743017.40543999511</v>
      </c>
      <c r="N260" s="309"/>
    </row>
    <row r="261" spans="3:14">
      <c r="C261" s="412">
        <v>10</v>
      </c>
      <c r="D261" s="538">
        <f t="shared" si="63"/>
        <v>2013</v>
      </c>
      <c r="E261" s="542"/>
      <c r="F261" s="246"/>
      <c r="G261" s="329">
        <f>'Rate Class Load Model'!B9</f>
        <v>722899.29</v>
      </c>
      <c r="H261" s="329">
        <f>'Rate Class Load Model'!C9</f>
        <v>510032.45079999993</v>
      </c>
      <c r="I261" s="329">
        <f>'Rate Class Load Model'!D9</f>
        <v>0</v>
      </c>
      <c r="J261" s="329">
        <f>'Rate Class Load Model'!E9</f>
        <v>29850.29</v>
      </c>
      <c r="K261" s="249">
        <f t="shared" si="66"/>
        <v>1262782.0308000001</v>
      </c>
      <c r="L261" s="249">
        <f t="shared" si="64"/>
        <v>2525564.0616000001</v>
      </c>
      <c r="M261" s="334">
        <f t="shared" si="65"/>
        <v>713620.10065098119</v>
      </c>
      <c r="N261" s="309"/>
    </row>
    <row r="262" spans="3:14">
      <c r="C262" s="412">
        <v>11</v>
      </c>
      <c r="D262" s="538">
        <f t="shared" si="63"/>
        <v>2014</v>
      </c>
      <c r="E262" s="542"/>
      <c r="F262" s="246"/>
      <c r="G262" s="329">
        <f>'Rate Class Load Model'!B10</f>
        <v>690826.75000000012</v>
      </c>
      <c r="H262" s="329">
        <f>'Rate Class Load Model'!C10</f>
        <v>512108.56049999996</v>
      </c>
      <c r="I262" s="329">
        <f>'Rate Class Load Model'!D10</f>
        <v>0</v>
      </c>
      <c r="J262" s="329">
        <f>'Rate Class Load Model'!E10</f>
        <v>29216.71</v>
      </c>
      <c r="K262" s="249">
        <f t="shared" si="66"/>
        <v>1232152.0205000001</v>
      </c>
      <c r="L262" s="249">
        <f t="shared" si="64"/>
        <v>2464304.0410000002</v>
      </c>
      <c r="M262" s="334">
        <f t="shared" si="65"/>
        <v>684060.55487867515</v>
      </c>
      <c r="N262" s="309"/>
    </row>
    <row r="263" spans="3:14">
      <c r="C263" s="412">
        <v>12</v>
      </c>
      <c r="D263" s="538">
        <f t="shared" si="63"/>
        <v>2015</v>
      </c>
      <c r="E263" s="542"/>
      <c r="F263" s="246"/>
      <c r="G263" s="329">
        <f>'Rate Class Load Model'!B11</f>
        <v>668162.78</v>
      </c>
      <c r="H263" s="329">
        <f>'Rate Class Load Model'!C11</f>
        <v>535701.6155999999</v>
      </c>
      <c r="I263" s="329">
        <f>'Rate Class Load Model'!D11</f>
        <v>0</v>
      </c>
      <c r="J263" s="329">
        <f>'Rate Class Load Model'!E11</f>
        <v>27043.15</v>
      </c>
      <c r="K263" s="249">
        <f t="shared" si="66"/>
        <v>1230907.5455999998</v>
      </c>
      <c r="L263" s="249">
        <f t="shared" si="64"/>
        <v>2461815.0911999997</v>
      </c>
      <c r="M263" s="334">
        <f t="shared" si="65"/>
        <v>673759.62327856652</v>
      </c>
      <c r="N263" s="309"/>
    </row>
    <row r="265" spans="3:14" ht="13.5" thickBot="1">
      <c r="D265" s="595" t="s">
        <v>365</v>
      </c>
      <c r="E265" s="595"/>
      <c r="F265" s="595"/>
      <c r="G265" s="595"/>
      <c r="H265" s="595"/>
      <c r="I265" s="595"/>
      <c r="J265" s="595"/>
      <c r="K265" s="595"/>
    </row>
    <row r="266" spans="3:14" ht="45.75" thickBot="1">
      <c r="C266" s="458" t="s">
        <v>423</v>
      </c>
      <c r="D266" s="568" t="s">
        <v>314</v>
      </c>
      <c r="E266" s="568"/>
      <c r="F266" s="416"/>
      <c r="G266" s="373" t="str">
        <f>G251</f>
        <v>General Service
 &gt; 50 to 999 kW</v>
      </c>
      <c r="H266" s="373" t="str">
        <f>H251</f>
        <v>General Service 
&gt; 1000 kW</v>
      </c>
      <c r="I266" s="373" t="str">
        <f>I251</f>
        <v>Large User</v>
      </c>
      <c r="J266" s="373" t="str">
        <f>J251</f>
        <v>Street Lighting</v>
      </c>
      <c r="K266" s="374" t="str">
        <f>K251</f>
        <v>Sentinel Lighting</v>
      </c>
    </row>
    <row r="267" spans="3:14">
      <c r="C267" s="453">
        <v>1</v>
      </c>
      <c r="D267" s="461" t="s">
        <v>332</v>
      </c>
      <c r="E267" s="336"/>
      <c r="F267" s="336"/>
      <c r="G267" s="336"/>
      <c r="H267" s="336"/>
      <c r="I267" s="439"/>
      <c r="J267" s="439"/>
    </row>
    <row r="268" spans="3:14">
      <c r="C268" s="452">
        <v>2</v>
      </c>
      <c r="D268" s="538">
        <f t="shared" ref="D268:D277" si="67">D254</f>
        <v>2006</v>
      </c>
      <c r="E268" s="542"/>
      <c r="F268" s="337"/>
      <c r="G268" s="352">
        <f>'Rate Class Load Model'!B16</f>
        <v>2.3915506994086804E-3</v>
      </c>
      <c r="H268" s="352">
        <f>'Rate Class Load Model'!C16</f>
        <v>2.7985640476263902E-3</v>
      </c>
      <c r="I268" s="352">
        <f>'Rate Class Load Model'!D16</f>
        <v>0</v>
      </c>
      <c r="J268" s="352">
        <f>'Rate Class Load Model'!E16</f>
        <v>3.1083600463221155E-3</v>
      </c>
      <c r="K268" s="352">
        <f>'Rate Class Load Model'!F16</f>
        <v>2.7777777777777775E-3</v>
      </c>
    </row>
    <row r="269" spans="3:14">
      <c r="C269" s="452">
        <v>3</v>
      </c>
      <c r="D269" s="538">
        <f t="shared" si="67"/>
        <v>2007</v>
      </c>
      <c r="E269" s="542"/>
      <c r="F269" s="337"/>
      <c r="G269" s="352">
        <f>'Rate Class Load Model'!B17</f>
        <v>2.4374952054551442E-3</v>
      </c>
      <c r="H269" s="352">
        <f>'Rate Class Load Model'!C17</f>
        <v>2.7110567940117633E-3</v>
      </c>
      <c r="I269" s="352">
        <f>'Rate Class Load Model'!D17</f>
        <v>0</v>
      </c>
      <c r="J269" s="352">
        <f>'Rate Class Load Model'!E17</f>
        <v>2.8317950445302452E-3</v>
      </c>
      <c r="K269" s="352">
        <f>'Rate Class Load Model'!F17</f>
        <v>2.7777777777777779E-3</v>
      </c>
    </row>
    <row r="270" spans="3:14">
      <c r="C270" s="452">
        <v>4</v>
      </c>
      <c r="D270" s="538">
        <f t="shared" si="67"/>
        <v>2008</v>
      </c>
      <c r="E270" s="542"/>
      <c r="F270" s="337"/>
      <c r="G270" s="352">
        <f>'Rate Class Load Model'!B18</f>
        <v>2.5133652877625907E-3</v>
      </c>
      <c r="H270" s="352">
        <f>'Rate Class Load Model'!C18</f>
        <v>2.7975837713844153E-3</v>
      </c>
      <c r="I270" s="352">
        <f>'Rate Class Load Model'!D18</f>
        <v>0</v>
      </c>
      <c r="J270" s="352">
        <f>'Rate Class Load Model'!E18</f>
        <v>2.9072980951794381E-3</v>
      </c>
      <c r="K270" s="352">
        <f>'Rate Class Load Model'!F18</f>
        <v>2.7777777777777779E-3</v>
      </c>
    </row>
    <row r="271" spans="3:14">
      <c r="C271" s="452">
        <v>5</v>
      </c>
      <c r="D271" s="538">
        <f t="shared" si="67"/>
        <v>2009</v>
      </c>
      <c r="E271" s="542"/>
      <c r="F271" s="337"/>
      <c r="G271" s="352">
        <f>'Rate Class Load Model'!B19</f>
        <v>2.4734033795011465E-3</v>
      </c>
      <c r="H271" s="352">
        <f>'Rate Class Load Model'!C19</f>
        <v>2.7911409040949501E-3</v>
      </c>
      <c r="I271" s="352">
        <f>'Rate Class Load Model'!D19</f>
        <v>0</v>
      </c>
      <c r="J271" s="352">
        <f>'Rate Class Load Model'!E19</f>
        <v>2.6790144531836425E-3</v>
      </c>
      <c r="K271" s="352">
        <f>'Rate Class Load Model'!F19</f>
        <v>2.7777777777777779E-3</v>
      </c>
    </row>
    <row r="272" spans="3:14">
      <c r="C272" s="452">
        <v>6</v>
      </c>
      <c r="D272" s="538">
        <f t="shared" si="67"/>
        <v>2010</v>
      </c>
      <c r="E272" s="542"/>
      <c r="F272" s="246"/>
      <c r="G272" s="352">
        <f>'Rate Class Load Model'!B20</f>
        <v>2.537450937065912E-3</v>
      </c>
      <c r="H272" s="352">
        <f>'Rate Class Load Model'!C20</f>
        <v>2.9159799519626419E-3</v>
      </c>
      <c r="I272" s="352">
        <f>'Rate Class Load Model'!D20</f>
        <v>0</v>
      </c>
      <c r="J272" s="352">
        <f>'Rate Class Load Model'!E20</f>
        <v>2.8076698556321828E-3</v>
      </c>
      <c r="K272" s="352">
        <f>'Rate Class Load Model'!F20</f>
        <v>2.7777777777777779E-3</v>
      </c>
    </row>
    <row r="273" spans="3:24">
      <c r="C273" s="452">
        <v>7</v>
      </c>
      <c r="D273" s="538">
        <f t="shared" si="67"/>
        <v>2011</v>
      </c>
      <c r="E273" s="542"/>
      <c r="F273" s="246"/>
      <c r="G273" s="352">
        <f>'Rate Class Load Model'!B21</f>
        <v>2.5387646593153217E-3</v>
      </c>
      <c r="H273" s="352">
        <f>'Rate Class Load Model'!C21</f>
        <v>2.7545364706411473E-3</v>
      </c>
      <c r="I273" s="352">
        <f>'Rate Class Load Model'!D21</f>
        <v>0</v>
      </c>
      <c r="J273" s="352">
        <f>'Rate Class Load Model'!E21</f>
        <v>2.8324225014287399E-3</v>
      </c>
      <c r="K273" s="352">
        <f>'Rate Class Load Model'!F21</f>
        <v>2.7777777777777775E-3</v>
      </c>
    </row>
    <row r="274" spans="3:24">
      <c r="C274" s="452">
        <v>8</v>
      </c>
      <c r="D274" s="538">
        <f t="shared" si="67"/>
        <v>2012</v>
      </c>
      <c r="E274" s="542"/>
      <c r="F274" s="246"/>
      <c r="G274" s="352">
        <f>'Rate Class Load Model'!B22</f>
        <v>2.5899025546808436E-3</v>
      </c>
      <c r="H274" s="352">
        <f>'Rate Class Load Model'!C22</f>
        <v>2.7427320515054829E-3</v>
      </c>
      <c r="I274" s="352">
        <f>'Rate Class Load Model'!D22</f>
        <v>0</v>
      </c>
      <c r="J274" s="352">
        <f>'Rate Class Load Model'!E22</f>
        <v>2.7894260103177001E-3</v>
      </c>
      <c r="K274" s="352">
        <f>'Rate Class Load Model'!F22</f>
        <v>2.6881720430107533E-3</v>
      </c>
    </row>
    <row r="275" spans="3:24">
      <c r="C275" s="452">
        <v>9</v>
      </c>
      <c r="D275" s="538">
        <f t="shared" si="67"/>
        <v>2013</v>
      </c>
      <c r="E275" s="542"/>
      <c r="F275" s="246"/>
      <c r="G275" s="352">
        <f>'Rate Class Load Model'!B23</f>
        <v>2.5358803535195577E-3</v>
      </c>
      <c r="H275" s="352">
        <f>'Rate Class Load Model'!C23</f>
        <v>2.7130420901227957E-3</v>
      </c>
      <c r="I275" s="352">
        <f>'Rate Class Load Model'!D23</f>
        <v>0</v>
      </c>
      <c r="J275" s="352">
        <f>'Rate Class Load Model'!E23</f>
        <v>2.827960223372279E-3</v>
      </c>
      <c r="K275" s="352">
        <f>'Rate Class Load Model'!F23</f>
        <v>2.6881720430107529E-3</v>
      </c>
    </row>
    <row r="276" spans="3:24">
      <c r="C276" s="452">
        <v>10</v>
      </c>
      <c r="D276" s="538">
        <f t="shared" si="67"/>
        <v>2014</v>
      </c>
      <c r="E276" s="542"/>
      <c r="F276" s="246"/>
      <c r="G276" s="352">
        <f>'Rate Class Load Model'!B24</f>
        <v>2.4669083536464805E-3</v>
      </c>
      <c r="H276" s="352">
        <f>'Rate Class Load Model'!C24</f>
        <v>2.6511464321179613E-3</v>
      </c>
      <c r="I276" s="352">
        <f>'Rate Class Load Model'!D24</f>
        <v>0</v>
      </c>
      <c r="J276" s="352">
        <f>'Rate Class Load Model'!E24</f>
        <v>2.8335544965405138E-3</v>
      </c>
      <c r="K276" s="352">
        <f>'Rate Class Load Model'!F24</f>
        <v>2.6815578560877239E-3</v>
      </c>
    </row>
    <row r="277" spans="3:24">
      <c r="C277" s="452">
        <v>11</v>
      </c>
      <c r="D277" s="538">
        <f t="shared" si="67"/>
        <v>2015</v>
      </c>
      <c r="E277" s="542"/>
      <c r="F277" s="246"/>
      <c r="G277" s="352">
        <f>'Rate Class Load Model'!B25</f>
        <v>2.5067226460564586E-3</v>
      </c>
      <c r="H277" s="352">
        <f>'Rate Class Load Model'!C25</f>
        <v>2.6986434858009751E-3</v>
      </c>
      <c r="I277" s="352">
        <f>'Rate Class Load Model'!D25</f>
        <v>0</v>
      </c>
      <c r="J277" s="352">
        <f>'Rate Class Load Model'!E25</f>
        <v>2.8366859575032015E-3</v>
      </c>
      <c r="K277" s="352">
        <f>'Rate Class Load Model'!F25</f>
        <v>2.7284529033574012E-3</v>
      </c>
    </row>
    <row r="278" spans="3:24">
      <c r="C278" s="452">
        <v>12</v>
      </c>
      <c r="D278" s="538" t="s">
        <v>366</v>
      </c>
      <c r="E278" s="542"/>
      <c r="F278" s="246"/>
      <c r="G278" s="352">
        <f>AVERAGE(G268:G277)</f>
        <v>2.4991444076412133E-3</v>
      </c>
      <c r="H278" s="352">
        <f t="shared" ref="H278:K278" si="68">AVERAGE(H268:H277)</f>
        <v>2.7574425999268523E-3</v>
      </c>
      <c r="I278" s="352">
        <f t="shared" si="68"/>
        <v>0</v>
      </c>
      <c r="J278" s="352">
        <f t="shared" si="68"/>
        <v>2.8454186684010057E-3</v>
      </c>
      <c r="K278" s="352">
        <f t="shared" si="68"/>
        <v>2.7453021512133299E-3</v>
      </c>
    </row>
    <row r="279" spans="3:24">
      <c r="C279" s="452">
        <v>13</v>
      </c>
      <c r="D279" s="538" t="s">
        <v>45</v>
      </c>
      <c r="E279" s="542"/>
      <c r="F279" s="325"/>
      <c r="G279" s="352">
        <f>'Rate Class Load Model'!B27</f>
        <v>2.4991444076412133E-3</v>
      </c>
      <c r="H279" s="352">
        <f>'Rate Class Load Model'!C27</f>
        <v>2.7574425999268523E-3</v>
      </c>
      <c r="I279" s="352">
        <f>'Rate Class Load Model'!D27</f>
        <v>0</v>
      </c>
      <c r="J279" s="352">
        <f>'Rate Class Load Model'!E27</f>
        <v>2.8454186684010057E-3</v>
      </c>
      <c r="K279" s="352">
        <f>'Rate Class Load Model'!F27</f>
        <v>2.7284529033574012E-3</v>
      </c>
    </row>
    <row r="281" spans="3:24" ht="13.5" thickBot="1">
      <c r="D281" s="554" t="s">
        <v>367</v>
      </c>
      <c r="E281" s="554"/>
      <c r="F281" s="554"/>
      <c r="G281" s="554"/>
      <c r="H281" s="554"/>
      <c r="I281" s="554"/>
      <c r="J281" s="554"/>
      <c r="K281" s="554"/>
      <c r="L281" s="554"/>
    </row>
    <row r="282" spans="3:24" ht="45.75" thickBot="1">
      <c r="C282" s="458" t="s">
        <v>423</v>
      </c>
      <c r="D282" s="582" t="s">
        <v>314</v>
      </c>
      <c r="E282" s="582"/>
      <c r="F282" s="416"/>
      <c r="G282" s="373" t="str">
        <f t="shared" ref="G282:L282" si="69">G251</f>
        <v>General Service
 &gt; 50 to 999 kW</v>
      </c>
      <c r="H282" s="373" t="str">
        <f t="shared" si="69"/>
        <v>General Service 
&gt; 1000 kW</v>
      </c>
      <c r="I282" s="373" t="str">
        <f t="shared" si="69"/>
        <v>Large User</v>
      </c>
      <c r="J282" s="373" t="str">
        <f t="shared" si="69"/>
        <v>Street Lighting</v>
      </c>
      <c r="K282" s="373" t="str">
        <f t="shared" si="69"/>
        <v>Sentinel Lighting</v>
      </c>
      <c r="L282" s="462" t="str">
        <f t="shared" si="69"/>
        <v>Total</v>
      </c>
    </row>
    <row r="283" spans="3:24">
      <c r="C283" s="411">
        <v>1</v>
      </c>
      <c r="D283" s="406" t="s">
        <v>333</v>
      </c>
      <c r="E283" s="404"/>
      <c r="F283" s="404"/>
      <c r="G283" s="404"/>
      <c r="H283" s="404"/>
      <c r="I283" s="439"/>
      <c r="J283" s="439"/>
      <c r="K283" s="439"/>
    </row>
    <row r="284" spans="3:24">
      <c r="C284" s="412">
        <v>2</v>
      </c>
      <c r="D284" s="538" t="str">
        <f>D247</f>
        <v>2016 Bridge</v>
      </c>
      <c r="E284" s="542"/>
      <c r="F284" s="246"/>
      <c r="G284" s="329">
        <f>'Rate Class Load Model'!B12</f>
        <v>660214.41113955656</v>
      </c>
      <c r="H284" s="329">
        <f>'Rate Class Load Model'!C12</f>
        <v>486067.78556135576</v>
      </c>
      <c r="I284" s="329">
        <f>'Rate Class Load Model'!D12</f>
        <v>0</v>
      </c>
      <c r="J284" s="329">
        <f>'Rate Class Load Model'!E12</f>
        <v>25281.042893165009</v>
      </c>
      <c r="K284" s="329">
        <f>'Rate Class Load Model'!F12</f>
        <v>294.77413946971797</v>
      </c>
      <c r="L284" s="329">
        <f>SUM(G284:K284)</f>
        <v>1171858.0137335472</v>
      </c>
    </row>
    <row r="285" spans="3:24">
      <c r="C285" s="412">
        <v>3</v>
      </c>
      <c r="D285" s="538" t="str">
        <f>D248</f>
        <v>2017 Test</v>
      </c>
      <c r="E285" s="542"/>
      <c r="F285" s="246"/>
      <c r="G285" s="329">
        <f>'Rate Class Load Model'!B13</f>
        <v>656994.77707427274</v>
      </c>
      <c r="H285" s="329">
        <f>'Rate Class Load Model'!C13</f>
        <v>466924.2403113636</v>
      </c>
      <c r="I285" s="329">
        <f>'Rate Class Load Model'!D13</f>
        <v>0</v>
      </c>
      <c r="J285" s="329">
        <f>'Rate Class Load Model'!E13</f>
        <v>23590.129477102848</v>
      </c>
      <c r="K285" s="329">
        <f>'Rate Class Load Model'!F13</f>
        <v>294.77413946971797</v>
      </c>
      <c r="L285" s="329">
        <f>SUM(G285:K285)</f>
        <v>1147803.921002209</v>
      </c>
    </row>
    <row r="286" spans="3:24" ht="13.5" thickBot="1">
      <c r="D286" s="311"/>
      <c r="E286" s="325"/>
      <c r="F286" s="325"/>
      <c r="G286" s="353"/>
      <c r="H286" s="353"/>
      <c r="I286" s="353"/>
      <c r="J286" s="353"/>
      <c r="P286" s="470" t="s">
        <v>380</v>
      </c>
      <c r="Q286" s="471"/>
      <c r="R286" s="471"/>
      <c r="S286" s="471"/>
      <c r="T286" s="471"/>
      <c r="U286" s="471"/>
      <c r="V286" s="471"/>
      <c r="W286" s="471"/>
      <c r="X286" s="472"/>
    </row>
    <row r="287" spans="3:24" ht="23.25" thickBot="1">
      <c r="O287" s="474" t="s">
        <v>425</v>
      </c>
      <c r="P287" s="373"/>
      <c r="Q287" s="373" t="s">
        <v>368</v>
      </c>
      <c r="R287" s="373" t="s">
        <v>369</v>
      </c>
      <c r="S287" s="373" t="s">
        <v>337</v>
      </c>
      <c r="T287" s="373" t="s">
        <v>370</v>
      </c>
      <c r="U287" s="373" t="s">
        <v>371</v>
      </c>
      <c r="V287" s="373" t="s">
        <v>372</v>
      </c>
      <c r="W287" s="373" t="s">
        <v>373</v>
      </c>
      <c r="X287" s="374" t="s">
        <v>374</v>
      </c>
    </row>
    <row r="288" spans="3:24">
      <c r="O288" s="411">
        <v>1</v>
      </c>
      <c r="P288" s="473" t="s">
        <v>375</v>
      </c>
      <c r="Q288" s="473"/>
      <c r="R288" s="473"/>
      <c r="S288" s="473"/>
      <c r="T288" s="473"/>
      <c r="U288" s="473"/>
      <c r="V288" s="473"/>
      <c r="W288" s="473"/>
      <c r="X288" s="461"/>
    </row>
    <row r="289" spans="15:25" ht="25.5">
      <c r="O289" s="412">
        <v>2</v>
      </c>
      <c r="P289" s="463" t="s">
        <v>376</v>
      </c>
      <c r="Q289" s="238">
        <f>Summary!G4</f>
        <v>957941351.48999953</v>
      </c>
      <c r="R289" s="238">
        <f>Summary!H4</f>
        <v>950013126.06999981</v>
      </c>
      <c r="T289" s="238">
        <f>Summary!I4</f>
        <v>963120842.92527819</v>
      </c>
      <c r="U289" s="238">
        <f>Summary!J4</f>
        <v>965070092.80775356</v>
      </c>
      <c r="V289" s="238">
        <f>Summary!K4</f>
        <v>938758818.01477861</v>
      </c>
      <c r="W289" s="238">
        <f>Summary!L4</f>
        <v>948703888.69690025</v>
      </c>
      <c r="X289" s="238">
        <f>Summary!M4</f>
        <v>954899277.71502888</v>
      </c>
    </row>
    <row r="290" spans="15:25">
      <c r="O290" s="412">
        <v>3</v>
      </c>
      <c r="P290" s="463" t="s">
        <v>273</v>
      </c>
      <c r="Q290" s="238"/>
      <c r="R290" s="238"/>
      <c r="S290" s="230"/>
      <c r="T290" s="238"/>
      <c r="U290" s="238"/>
      <c r="V290" s="238"/>
      <c r="W290" s="238">
        <f>Summary!L5</f>
        <v>22077527.228090368</v>
      </c>
      <c r="X290" s="238">
        <f>Summary!M5</f>
        <v>33320427.228090368</v>
      </c>
    </row>
    <row r="291" spans="15:25">
      <c r="O291" s="412">
        <v>4</v>
      </c>
      <c r="P291" s="463" t="s">
        <v>377</v>
      </c>
      <c r="Q291" s="238">
        <f>Summary!G6</f>
        <v>957941351.48999953</v>
      </c>
      <c r="R291" s="238">
        <f>Summary!H6</f>
        <v>950013126.06999981</v>
      </c>
      <c r="T291" s="238">
        <f>Summary!I6</f>
        <v>963120842.92527819</v>
      </c>
      <c r="U291" s="238">
        <f>Summary!J6</f>
        <v>965070092.80775356</v>
      </c>
      <c r="V291" s="238">
        <f>Summary!K6</f>
        <v>938758818.01477861</v>
      </c>
      <c r="W291" s="238">
        <f>W289-W290</f>
        <v>926626361.46880984</v>
      </c>
      <c r="X291" s="238">
        <f>X289-X290</f>
        <v>921578850.48693848</v>
      </c>
    </row>
    <row r="292" spans="15:25">
      <c r="O292" s="412">
        <v>5</v>
      </c>
      <c r="P292" s="464"/>
      <c r="Q292" s="241"/>
      <c r="R292" s="239"/>
      <c r="S292" s="242"/>
      <c r="T292" s="240"/>
      <c r="U292" s="240"/>
      <c r="V292" s="240"/>
      <c r="W292" s="240"/>
      <c r="X292" s="230"/>
    </row>
    <row r="293" spans="15:25">
      <c r="O293" s="412">
        <v>6</v>
      </c>
      <c r="P293" s="236" t="s">
        <v>378</v>
      </c>
      <c r="Q293" s="236"/>
      <c r="R293" s="236"/>
      <c r="S293" s="236"/>
      <c r="T293" s="236"/>
      <c r="U293" s="236"/>
      <c r="V293" s="236"/>
      <c r="W293" s="236"/>
      <c r="X293" s="237"/>
    </row>
    <row r="294" spans="15:25">
      <c r="O294" s="412">
        <v>7</v>
      </c>
      <c r="P294" s="465" t="s">
        <v>334</v>
      </c>
      <c r="Q294" s="243"/>
      <c r="R294" s="243"/>
      <c r="S294" s="244"/>
      <c r="T294" s="245"/>
      <c r="U294" s="245"/>
      <c r="V294" s="245"/>
      <c r="W294" s="245"/>
      <c r="X294" s="230"/>
    </row>
    <row r="295" spans="15:25">
      <c r="O295" s="412">
        <v>8</v>
      </c>
      <c r="P295" s="403" t="s">
        <v>37</v>
      </c>
      <c r="Q295" s="244">
        <f>Summary!G10</f>
        <v>44900.666666666664</v>
      </c>
      <c r="R295" s="244">
        <f>Summary!H10</f>
        <v>44736.75</v>
      </c>
      <c r="S295" s="244">
        <f>[7]Summary!O12</f>
        <v>44881.009746844953</v>
      </c>
      <c r="T295" s="244">
        <f>Summary!I10</f>
        <v>44942.416666666664</v>
      </c>
      <c r="U295" s="244">
        <f>Summary!J10</f>
        <v>45106.2705078125</v>
      </c>
      <c r="V295" s="244">
        <f>Summary!K10</f>
        <v>45272.592574993767</v>
      </c>
      <c r="W295" s="244">
        <f>Summary!L10</f>
        <v>45415.196555804439</v>
      </c>
      <c r="X295" s="244">
        <f>Summary!M10</f>
        <v>45527.007090561528</v>
      </c>
    </row>
    <row r="296" spans="15:25">
      <c r="O296" s="412">
        <v>9</v>
      </c>
      <c r="P296" s="402" t="s">
        <v>38</v>
      </c>
      <c r="Q296" s="244">
        <f>Summary!G11</f>
        <v>337212306.49999964</v>
      </c>
      <c r="R296" s="244">
        <f>Summary!H11</f>
        <v>331142424.8599996</v>
      </c>
      <c r="S296" s="244">
        <f>[7]Summary!O13</f>
        <v>339721062.06603348</v>
      </c>
      <c r="T296" s="244">
        <f>Summary!I11</f>
        <v>341035888.63527828</v>
      </c>
      <c r="U296" s="244">
        <f>Summary!J11</f>
        <v>340024795.88802838</v>
      </c>
      <c r="V296" s="244">
        <f>Summary!K11</f>
        <v>324673269.19699794</v>
      </c>
      <c r="W296" s="244">
        <f>Summary!L11</f>
        <v>336497281.40370446</v>
      </c>
      <c r="X296" s="244">
        <f>Summary!M11</f>
        <v>336114686.47881699</v>
      </c>
      <c r="Y296" s="309">
        <f>S296-X296</f>
        <v>3606375.5872164965</v>
      </c>
    </row>
    <row r="297" spans="15:25">
      <c r="O297" s="412">
        <v>10</v>
      </c>
      <c r="P297" s="464"/>
      <c r="Q297" s="241"/>
      <c r="R297" s="241"/>
      <c r="S297" s="244"/>
      <c r="T297" s="245"/>
      <c r="U297" s="245"/>
      <c r="V297" s="245"/>
      <c r="W297" s="245"/>
      <c r="X297" s="245"/>
    </row>
    <row r="298" spans="15:25">
      <c r="O298" s="412">
        <v>11</v>
      </c>
      <c r="P298" s="465" t="str">
        <f>Summary!A13</f>
        <v>General Service
 &lt; 50 kW</v>
      </c>
      <c r="Q298" s="243"/>
      <c r="R298" s="243"/>
      <c r="S298" s="244"/>
      <c r="T298" s="245"/>
      <c r="U298" s="245"/>
      <c r="V298" s="245"/>
      <c r="W298" s="245"/>
      <c r="X298" s="245"/>
    </row>
    <row r="299" spans="15:25">
      <c r="O299" s="412">
        <v>12</v>
      </c>
      <c r="P299" s="403" t="s">
        <v>37</v>
      </c>
      <c r="Q299" s="244">
        <f>Summary!G14</f>
        <v>4339.666666666667</v>
      </c>
      <c r="R299" s="244">
        <f>Summary!H14</f>
        <v>4496.916666666667</v>
      </c>
      <c r="S299" s="244">
        <f>[7]Summary!O16</f>
        <v>4491.6613249112725</v>
      </c>
      <c r="T299" s="244">
        <f>Summary!I14</f>
        <v>4527.75</v>
      </c>
      <c r="U299" s="244">
        <f>Summary!J14</f>
        <v>4577.895263671875</v>
      </c>
      <c r="V299" s="244">
        <f>Summary!K14</f>
        <v>4606.5062813957529</v>
      </c>
      <c r="W299" s="244">
        <f>Summary!L14</f>
        <v>4623.1350602549164</v>
      </c>
      <c r="X299" s="244">
        <f>Summary!M14</f>
        <v>4655.2595854572637</v>
      </c>
    </row>
    <row r="300" spans="15:25">
      <c r="O300" s="412">
        <v>13</v>
      </c>
      <c r="P300" s="402" t="s">
        <v>38</v>
      </c>
      <c r="Q300" s="244">
        <f>Summary!G15</f>
        <v>135688687.22999996</v>
      </c>
      <c r="R300" s="244">
        <f>Summary!H15</f>
        <v>133678840.49000008</v>
      </c>
      <c r="S300" s="244">
        <f>[7]Summary!O17</f>
        <v>131404393.92510152</v>
      </c>
      <c r="T300" s="244">
        <f>Summary!I15</f>
        <v>136331185.61000001</v>
      </c>
      <c r="U300" s="244">
        <f>Summary!J15</f>
        <v>139285835.96861196</v>
      </c>
      <c r="V300" s="244">
        <f>Summary!K15</f>
        <v>137179401.47999987</v>
      </c>
      <c r="W300" s="244">
        <f>Summary!L15</f>
        <v>138537070.73480821</v>
      </c>
      <c r="X300" s="244">
        <f>Summary!M15</f>
        <v>142697207.41995323</v>
      </c>
      <c r="Y300" s="309">
        <f>S300-X300</f>
        <v>-11292813.494851708</v>
      </c>
    </row>
    <row r="301" spans="15:25">
      <c r="O301" s="412">
        <v>14</v>
      </c>
      <c r="P301" s="464"/>
      <c r="Q301" s="241"/>
      <c r="R301" s="241"/>
      <c r="S301" s="244"/>
      <c r="T301" s="245"/>
      <c r="U301" s="245"/>
      <c r="V301" s="245"/>
      <c r="W301" s="245"/>
      <c r="X301" s="245"/>
    </row>
    <row r="302" spans="15:25">
      <c r="O302" s="412">
        <v>15</v>
      </c>
      <c r="P302" s="465" t="str">
        <f>Summary!A17</f>
        <v>General Service
 &gt; 50 to 999 kW</v>
      </c>
      <c r="Q302" s="243"/>
      <c r="R302" s="243"/>
      <c r="S302" s="244"/>
      <c r="T302" s="245"/>
      <c r="U302" s="245"/>
      <c r="V302" s="245"/>
      <c r="W302" s="245"/>
      <c r="X302" s="245"/>
    </row>
    <row r="303" spans="15:25">
      <c r="O303" s="412">
        <v>16</v>
      </c>
      <c r="P303" s="403" t="s">
        <v>37</v>
      </c>
      <c r="Q303" s="244">
        <f>Summary!G18</f>
        <v>505.75</v>
      </c>
      <c r="R303" s="244">
        <f>Summary!H18</f>
        <v>513.5</v>
      </c>
      <c r="S303" s="244">
        <f>[7]Summary!O20</f>
        <v>514.84096429896726</v>
      </c>
      <c r="T303" s="244">
        <f>Summary!I18</f>
        <v>511.58333333333331</v>
      </c>
      <c r="U303" s="244">
        <f>Summary!J18</f>
        <v>495.30155436197919</v>
      </c>
      <c r="V303" s="244">
        <f>Summary!K18</f>
        <v>471.62621294458705</v>
      </c>
      <c r="W303" s="244">
        <f>Summary!L18</f>
        <v>462.83423899421177</v>
      </c>
      <c r="X303" s="244">
        <f>Summary!M18</f>
        <v>459.96777205383216</v>
      </c>
    </row>
    <row r="304" spans="15:25">
      <c r="O304" s="412">
        <v>17</v>
      </c>
      <c r="P304" s="402" t="s">
        <v>38</v>
      </c>
      <c r="Q304" s="244">
        <f>Summary!G19</f>
        <v>288525140.48999989</v>
      </c>
      <c r="R304" s="244">
        <f>Summary!H19</f>
        <v>283475240.67000002</v>
      </c>
      <c r="S304" s="244">
        <f>[7]Summary!O21</f>
        <v>288398369.19726437</v>
      </c>
      <c r="T304" s="244">
        <f>Summary!I19</f>
        <v>285068374.38</v>
      </c>
      <c r="U304" s="244">
        <f>Summary!J19</f>
        <v>280037460.24000001</v>
      </c>
      <c r="V304" s="244">
        <f>Summary!K19</f>
        <v>266548347.92000005</v>
      </c>
      <c r="W304" s="244">
        <f>Summary!L19</f>
        <v>264176175.3026076</v>
      </c>
      <c r="X304" s="244">
        <f>Summary!M19</f>
        <v>262887880.77451241</v>
      </c>
      <c r="Y304" s="309">
        <f>S304-X304</f>
        <v>25510488.422751963</v>
      </c>
    </row>
    <row r="305" spans="15:25">
      <c r="O305" s="412">
        <v>18</v>
      </c>
      <c r="P305" s="402" t="s">
        <v>39</v>
      </c>
      <c r="Q305" s="244">
        <f>Summary!G20</f>
        <v>732497.42999999993</v>
      </c>
      <c r="R305" s="244">
        <f>Summary!H20</f>
        <v>734173.25</v>
      </c>
      <c r="S305" s="244">
        <f>[7]Summary!O22</f>
        <v>783588.88270761597</v>
      </c>
      <c r="T305" s="244">
        <f>Summary!I20</f>
        <v>722899.29</v>
      </c>
      <c r="U305" s="244">
        <f>Summary!J20</f>
        <v>690826.75000000012</v>
      </c>
      <c r="V305" s="244">
        <f>Summary!K20</f>
        <v>668162.78</v>
      </c>
      <c r="W305" s="244">
        <f>Summary!L20</f>
        <v>660214.41113955656</v>
      </c>
      <c r="X305" s="244">
        <f>Summary!M20</f>
        <v>656994.77707427274</v>
      </c>
    </row>
    <row r="306" spans="15:25">
      <c r="O306" s="412">
        <v>19</v>
      </c>
      <c r="P306" s="464"/>
      <c r="Q306" s="241"/>
      <c r="R306" s="241"/>
      <c r="S306" s="244"/>
      <c r="T306" s="244"/>
      <c r="U306" s="244"/>
      <c r="V306" s="244"/>
      <c r="W306" s="244"/>
      <c r="X306" s="244"/>
    </row>
    <row r="307" spans="15:25">
      <c r="O307" s="412">
        <v>20</v>
      </c>
      <c r="P307" s="465" t="str">
        <f>Summary!A22</f>
        <v>General Service 
&gt; 1000 kW</v>
      </c>
      <c r="Q307" s="243"/>
      <c r="R307" s="243"/>
      <c r="S307" s="244"/>
      <c r="T307" s="245"/>
      <c r="U307" s="245"/>
      <c r="V307" s="245"/>
      <c r="W307" s="245"/>
      <c r="X307" s="245"/>
    </row>
    <row r="308" spans="15:25">
      <c r="O308" s="412">
        <v>21</v>
      </c>
      <c r="P308" s="403" t="s">
        <v>37</v>
      </c>
      <c r="Q308" s="244">
        <f>Summary!G23</f>
        <v>18.916666666666668</v>
      </c>
      <c r="R308" s="244">
        <f>Summary!H23</f>
        <v>19.416666666666668</v>
      </c>
      <c r="S308" s="244">
        <f>[7]Summary!O25</f>
        <v>19.000000000000004</v>
      </c>
      <c r="T308" s="244">
        <f>Summary!I23</f>
        <v>21.083333333333332</v>
      </c>
      <c r="U308" s="244">
        <f>Summary!J23</f>
        <v>20.762959798177082</v>
      </c>
      <c r="V308" s="244">
        <f>Summary!K23</f>
        <v>21.903750717639923</v>
      </c>
      <c r="W308" s="244">
        <f>Summary!L23</f>
        <v>21.640601501640049</v>
      </c>
      <c r="X308" s="244">
        <f>Summary!M23</f>
        <v>21.640601501640049</v>
      </c>
    </row>
    <row r="309" spans="15:25">
      <c r="O309" s="412">
        <v>22</v>
      </c>
      <c r="P309" s="402" t="s">
        <v>38</v>
      </c>
      <c r="Q309" s="244">
        <f>Summary!G24</f>
        <v>183178133.00999999</v>
      </c>
      <c r="R309" s="244">
        <f>Summary!H24</f>
        <v>188531681.40000001</v>
      </c>
      <c r="S309" s="244">
        <f>[7]Summary!O26</f>
        <v>183532884.44497463</v>
      </c>
      <c r="T309" s="244">
        <f>Summary!I24</f>
        <v>187992826.44999999</v>
      </c>
      <c r="U309" s="244">
        <f>Summary!J24</f>
        <v>193164947.16999999</v>
      </c>
      <c r="V309" s="244">
        <f>Summary!K24</f>
        <v>198507738.57999998</v>
      </c>
      <c r="W309" s="244">
        <f>Summary!L24</f>
        <v>176274851.76817456</v>
      </c>
      <c r="X309" s="244">
        <f>Summary!M24</f>
        <v>169332351.76817456</v>
      </c>
      <c r="Y309" s="309">
        <f>S309-X309</f>
        <v>14200532.676800072</v>
      </c>
    </row>
    <row r="310" spans="15:25">
      <c r="O310" s="412">
        <v>23</v>
      </c>
      <c r="P310" s="402" t="s">
        <v>39</v>
      </c>
      <c r="Q310" s="244">
        <f>Summary!G25</f>
        <v>504570.848</v>
      </c>
      <c r="R310" s="244">
        <f>Summary!H25</f>
        <v>517091.88530000014</v>
      </c>
      <c r="S310" s="244">
        <f>[7]Summary!O27</f>
        <v>568916.77287365973</v>
      </c>
      <c r="T310" s="244">
        <f>Summary!I25</f>
        <v>510032.45079999993</v>
      </c>
      <c r="U310" s="244">
        <f>Summary!J25</f>
        <v>512108.56049999996</v>
      </c>
      <c r="V310" s="244">
        <f>Summary!K25</f>
        <v>535701.6155999999</v>
      </c>
      <c r="W310" s="244">
        <f>Summary!L25</f>
        <v>486067.78556135576</v>
      </c>
      <c r="X310" s="244">
        <f>Summary!M25</f>
        <v>466924.2403113636</v>
      </c>
    </row>
    <row r="311" spans="15:25">
      <c r="O311" s="412">
        <v>24</v>
      </c>
      <c r="P311" s="464"/>
      <c r="Q311" s="241"/>
      <c r="R311" s="241"/>
      <c r="S311" s="244"/>
      <c r="T311" s="244"/>
      <c r="U311" s="244"/>
      <c r="V311" s="244"/>
      <c r="W311" s="244"/>
      <c r="X311" s="244"/>
    </row>
    <row r="312" spans="15:25">
      <c r="O312" s="412">
        <v>25</v>
      </c>
      <c r="P312" s="465" t="str">
        <f>Summary!A27</f>
        <v>Large User</v>
      </c>
      <c r="Q312" s="243"/>
      <c r="R312" s="243"/>
      <c r="S312" s="244"/>
      <c r="T312" s="245"/>
      <c r="U312" s="245"/>
      <c r="V312" s="245"/>
      <c r="W312" s="245"/>
      <c r="X312" s="245"/>
    </row>
    <row r="313" spans="15:25">
      <c r="O313" s="412">
        <v>26</v>
      </c>
      <c r="P313" s="403" t="s">
        <v>37</v>
      </c>
      <c r="Q313" s="244">
        <f>Summary!G28</f>
        <v>0</v>
      </c>
      <c r="R313" s="244">
        <f>Summary!H28</f>
        <v>0</v>
      </c>
      <c r="S313" s="244"/>
      <c r="T313" s="244">
        <f>Summary!I28</f>
        <v>0</v>
      </c>
      <c r="U313" s="244">
        <f>Summary!J28</f>
        <v>0</v>
      </c>
      <c r="V313" s="244">
        <f>Summary!K28</f>
        <v>0</v>
      </c>
      <c r="W313" s="244">
        <f>Summary!L28</f>
        <v>0</v>
      </c>
      <c r="X313" s="244">
        <f>Summary!M28</f>
        <v>0</v>
      </c>
    </row>
    <row r="314" spans="15:25">
      <c r="O314" s="412">
        <v>27</v>
      </c>
      <c r="P314" s="402" t="s">
        <v>38</v>
      </c>
      <c r="Q314" s="244">
        <f>Summary!G29</f>
        <v>0</v>
      </c>
      <c r="R314" s="244">
        <f>Summary!H29</f>
        <v>0</v>
      </c>
      <c r="S314" s="244"/>
      <c r="T314" s="244">
        <f>Summary!I29</f>
        <v>0</v>
      </c>
      <c r="U314" s="244">
        <f>Summary!J29</f>
        <v>0</v>
      </c>
      <c r="V314" s="244">
        <f>Summary!K29</f>
        <v>0</v>
      </c>
      <c r="W314" s="244">
        <f>Summary!L29</f>
        <v>0</v>
      </c>
      <c r="X314" s="244">
        <f>Summary!M29</f>
        <v>0</v>
      </c>
      <c r="Y314" s="309">
        <f>S314-X314</f>
        <v>0</v>
      </c>
    </row>
    <row r="315" spans="15:25">
      <c r="O315" s="412">
        <v>28</v>
      </c>
      <c r="P315" s="402" t="s">
        <v>39</v>
      </c>
      <c r="Q315" s="244">
        <f>Summary!G30</f>
        <v>0</v>
      </c>
      <c r="R315" s="244">
        <f>Summary!H30</f>
        <v>0</v>
      </c>
      <c r="S315" s="244"/>
      <c r="T315" s="244">
        <f>Summary!I30</f>
        <v>0</v>
      </c>
      <c r="U315" s="244">
        <f>Summary!J30</f>
        <v>0</v>
      </c>
      <c r="V315" s="244">
        <f>Summary!K30</f>
        <v>0</v>
      </c>
      <c r="W315" s="244">
        <f>Summary!L30</f>
        <v>0</v>
      </c>
      <c r="X315" s="244">
        <f>Summary!M30</f>
        <v>0</v>
      </c>
    </row>
    <row r="316" spans="15:25">
      <c r="O316" s="412">
        <v>29</v>
      </c>
      <c r="P316" s="402"/>
      <c r="Q316" s="247"/>
      <c r="R316" s="247"/>
      <c r="S316" s="244"/>
      <c r="T316" s="244"/>
      <c r="U316" s="244"/>
      <c r="V316" s="244"/>
      <c r="W316" s="244"/>
      <c r="X316" s="244"/>
    </row>
    <row r="317" spans="15:25">
      <c r="O317" s="412">
        <v>30</v>
      </c>
      <c r="P317" s="465" t="str">
        <f>Summary!A32</f>
        <v>Street Lighting</v>
      </c>
      <c r="Q317" s="243"/>
      <c r="R317" s="243"/>
      <c r="S317" s="244"/>
      <c r="T317" s="245"/>
      <c r="U317" s="245"/>
      <c r="V317" s="245"/>
      <c r="W317" s="245"/>
      <c r="X317" s="245"/>
    </row>
    <row r="318" spans="15:25">
      <c r="O318" s="412">
        <v>31</v>
      </c>
      <c r="P318" s="403" t="s">
        <v>51</v>
      </c>
      <c r="Q318" s="244">
        <f>Summary!G33</f>
        <v>13090.833333333334</v>
      </c>
      <c r="R318" s="244">
        <f>Summary!H33</f>
        <v>13172.083333333334</v>
      </c>
      <c r="S318" s="244">
        <f>[7]Summary!O30</f>
        <v>13216.809308754411</v>
      </c>
      <c r="T318" s="244">
        <f>Summary!I33</f>
        <v>13095.333333333334</v>
      </c>
      <c r="U318" s="244">
        <f>Summary!J33</f>
        <v>13148.318033854166</v>
      </c>
      <c r="V318" s="244">
        <f>Summary!K33</f>
        <v>13197.213741430789</v>
      </c>
      <c r="W318" s="244">
        <f>Summary!L33</f>
        <v>13245.738644907577</v>
      </c>
      <c r="X318" s="244">
        <f>Summary!M33</f>
        <v>13274.451896791892</v>
      </c>
    </row>
    <row r="319" spans="15:25">
      <c r="O319" s="412">
        <v>32</v>
      </c>
      <c r="P319" s="402" t="s">
        <v>38</v>
      </c>
      <c r="Q319" s="244">
        <f>Summary!G34</f>
        <v>11244632.459999999</v>
      </c>
      <c r="R319" s="244">
        <f>Summary!H34</f>
        <v>11062691.710000001</v>
      </c>
      <c r="S319" s="244">
        <f>[7]Summary!O31</f>
        <v>11183615.245140083</v>
      </c>
      <c r="T319" s="244">
        <f>Summary!I34</f>
        <v>10555413.669999998</v>
      </c>
      <c r="U319" s="244">
        <f>Summary!J34</f>
        <v>10310975.15</v>
      </c>
      <c r="V319" s="244">
        <f>Summary!K34</f>
        <v>9533360.5500000007</v>
      </c>
      <c r="W319" s="244">
        <f>Summary!L34</f>
        <v>8884823.5846332554</v>
      </c>
      <c r="X319" s="244">
        <f>Summary!M34</f>
        <v>8290565.3705995455</v>
      </c>
      <c r="Y319" s="309">
        <f>S319-X319</f>
        <v>2893049.8745405376</v>
      </c>
    </row>
    <row r="320" spans="15:25">
      <c r="O320" s="412">
        <v>33</v>
      </c>
      <c r="P320" s="402" t="s">
        <v>39</v>
      </c>
      <c r="Q320" s="244">
        <f>Summary!G35</f>
        <v>31849.550000000003</v>
      </c>
      <c r="R320" s="244">
        <f>Summary!H35</f>
        <v>30858.559999999998</v>
      </c>
      <c r="S320" s="244">
        <f>[7]Summary!O32</f>
        <v>31502.017268989308</v>
      </c>
      <c r="T320" s="244">
        <f>Summary!I35</f>
        <v>29850.29</v>
      </c>
      <c r="U320" s="244">
        <f>Summary!J35</f>
        <v>29216.71</v>
      </c>
      <c r="V320" s="244">
        <f>Summary!K35</f>
        <v>27043.15</v>
      </c>
      <c r="W320" s="244">
        <f>Summary!L35</f>
        <v>25281.042893165009</v>
      </c>
      <c r="X320" s="244">
        <f>Summary!M35</f>
        <v>23590.129477102848</v>
      </c>
    </row>
    <row r="321" spans="15:25">
      <c r="O321" s="412">
        <v>34</v>
      </c>
      <c r="P321" s="402"/>
      <c r="Q321" s="247"/>
      <c r="R321" s="247"/>
      <c r="S321" s="244"/>
      <c r="T321" s="244"/>
      <c r="U321" s="244"/>
      <c r="V321" s="244"/>
      <c r="W321" s="244"/>
      <c r="X321" s="244"/>
    </row>
    <row r="322" spans="15:25">
      <c r="O322" s="412">
        <v>35</v>
      </c>
      <c r="P322" s="465" t="str">
        <f>Summary!A37</f>
        <v>Sentinel Lighting</v>
      </c>
      <c r="Q322" s="243"/>
      <c r="R322" s="243"/>
      <c r="S322" s="244"/>
      <c r="T322" s="245"/>
      <c r="U322" s="245"/>
      <c r="V322" s="245"/>
      <c r="W322" s="245"/>
      <c r="X322" s="245"/>
    </row>
    <row r="323" spans="15:25">
      <c r="O323" s="412">
        <v>36</v>
      </c>
      <c r="P323" s="403" t="s">
        <v>51</v>
      </c>
      <c r="Q323" s="244">
        <f>Summary!G38</f>
        <v>147.58333333333334</v>
      </c>
      <c r="R323" s="244">
        <f>Summary!H38</f>
        <v>167.16666666666666</v>
      </c>
      <c r="S323" s="244">
        <f>[7]Summary!O35</f>
        <v>168.67175619551304</v>
      </c>
      <c r="T323" s="244">
        <f>Summary!I38</f>
        <v>170.83333333333334</v>
      </c>
      <c r="U323" s="244">
        <f>Summary!J38</f>
        <v>172.08199055989584</v>
      </c>
      <c r="V323" s="244">
        <f>Summary!K38</f>
        <v>170.93070442477861</v>
      </c>
      <c r="W323" s="244">
        <f>Summary!L38</f>
        <v>163.76341081650995</v>
      </c>
      <c r="X323" s="244">
        <f>Summary!M38</f>
        <v>163.76341081650995</v>
      </c>
    </row>
    <row r="324" spans="15:25">
      <c r="O324" s="412">
        <v>37</v>
      </c>
      <c r="P324" s="402" t="s">
        <v>38</v>
      </c>
      <c r="Q324" s="244">
        <f>Summary!G39</f>
        <v>121136.40000000001</v>
      </c>
      <c r="R324" s="244">
        <f>Summary!H39</f>
        <v>141784.07999999999</v>
      </c>
      <c r="S324" s="244">
        <f>[7]Summary!O36</f>
        <v>122482.69142151311</v>
      </c>
      <c r="T324" s="244">
        <f>Summary!I39</f>
        <v>144894</v>
      </c>
      <c r="U324" s="244">
        <f>Summary!J39</f>
        <v>146313.06111328123</v>
      </c>
      <c r="V324" s="244">
        <f>Summary!K39</f>
        <v>112765.46778066158</v>
      </c>
      <c r="W324" s="244">
        <f>Summary!L39</f>
        <v>108037.10011156654</v>
      </c>
      <c r="X324" s="244">
        <f>Summary!M39</f>
        <v>108037.10011156654</v>
      </c>
      <c r="Y324" s="309">
        <f>S324-X324</f>
        <v>14445.591309946569</v>
      </c>
    </row>
    <row r="325" spans="15:25">
      <c r="O325" s="412">
        <v>38</v>
      </c>
      <c r="P325" s="402" t="s">
        <v>39</v>
      </c>
      <c r="Q325" s="244">
        <f>Summary!G40</f>
        <v>336.49</v>
      </c>
      <c r="R325" s="244">
        <f>Summary!H40</f>
        <v>381.14000000000004</v>
      </c>
      <c r="S325" s="244">
        <f>[7]Summary!O37</f>
        <v>340.22969839309201</v>
      </c>
      <c r="T325" s="244">
        <f>Summary!I40</f>
        <v>389.5</v>
      </c>
      <c r="U325" s="244">
        <f>Summary!J40</f>
        <v>392.34693847656257</v>
      </c>
      <c r="V325" s="244">
        <f>Summary!K40</f>
        <v>307.67526796460157</v>
      </c>
      <c r="W325" s="244">
        <f>Summary!L40</f>
        <v>294.77413946971797</v>
      </c>
      <c r="X325" s="244">
        <f>Summary!M40</f>
        <v>294.77413946971797</v>
      </c>
    </row>
    <row r="326" spans="15:25">
      <c r="O326" s="412">
        <v>39</v>
      </c>
      <c r="P326" s="402"/>
      <c r="Q326" s="244"/>
      <c r="R326" s="244"/>
      <c r="T326" s="244"/>
      <c r="U326" s="244"/>
      <c r="V326" s="244"/>
      <c r="W326" s="244"/>
      <c r="X326" s="244"/>
    </row>
    <row r="327" spans="15:25">
      <c r="O327" s="412">
        <v>40</v>
      </c>
      <c r="P327" s="465" t="str">
        <f>Summary!A42</f>
        <v>Unmetered Scattered Load</v>
      </c>
      <c r="Q327" s="243"/>
      <c r="R327" s="243"/>
      <c r="S327" s="244"/>
      <c r="T327" s="245"/>
      <c r="U327" s="245"/>
      <c r="V327" s="245"/>
      <c r="W327" s="245"/>
      <c r="X327" s="245"/>
    </row>
    <row r="328" spans="15:25">
      <c r="O328" s="412">
        <v>41</v>
      </c>
      <c r="P328" s="403" t="s">
        <v>51</v>
      </c>
      <c r="Q328" s="244">
        <f>Summary!G43</f>
        <v>470.08333333333331</v>
      </c>
      <c r="R328" s="244">
        <f>Summary!H43</f>
        <v>469.83333333333331</v>
      </c>
      <c r="S328" s="244">
        <f>[7]Summary!O40</f>
        <v>475.32528689516721</v>
      </c>
      <c r="T328" s="244">
        <f>Summary!I43</f>
        <v>465.5</v>
      </c>
      <c r="U328" s="244">
        <f>Summary!J43</f>
        <v>462.49702962239581</v>
      </c>
      <c r="V328" s="244">
        <f>Summary!K43</f>
        <v>451.08502161006135</v>
      </c>
      <c r="W328" s="244">
        <f>Summary!L43</f>
        <v>439.66158081582279</v>
      </c>
      <c r="X328" s="244">
        <f>Summary!M43</f>
        <v>439.66158081582279</v>
      </c>
    </row>
    <row r="329" spans="15:25">
      <c r="O329" s="412">
        <v>42</v>
      </c>
      <c r="P329" s="402" t="s">
        <v>38</v>
      </c>
      <c r="Q329" s="244">
        <f>Summary!G44</f>
        <v>1971315.4000000004</v>
      </c>
      <c r="R329" s="244">
        <f>Summary!H44</f>
        <v>1980462.86</v>
      </c>
      <c r="S329" s="244">
        <f>[7]Summary!O41</f>
        <v>2024906.7886311996</v>
      </c>
      <c r="T329" s="244">
        <f>Summary!I44</f>
        <v>1992260.1800000002</v>
      </c>
      <c r="U329" s="244">
        <f>Summary!J44</f>
        <v>2099765.3300000005</v>
      </c>
      <c r="V329" s="244">
        <f>Summary!K44</f>
        <v>2203934.8200000003</v>
      </c>
      <c r="W329" s="244">
        <f>Summary!L44</f>
        <v>2148121.5747701586</v>
      </c>
      <c r="X329" s="244">
        <f>Summary!M44</f>
        <v>2148121.5747701586</v>
      </c>
      <c r="Y329" s="309">
        <f>S329-X329</f>
        <v>-123214.786138959</v>
      </c>
    </row>
    <row r="330" spans="15:25">
      <c r="O330" s="412">
        <v>43</v>
      </c>
      <c r="P330" s="464"/>
      <c r="Q330" s="241"/>
      <c r="R330" s="241"/>
      <c r="S330" s="244"/>
      <c r="T330" s="244"/>
      <c r="U330" s="244"/>
      <c r="V330" s="244"/>
      <c r="W330" s="244"/>
      <c r="X330" s="230"/>
    </row>
    <row r="331" spans="15:25">
      <c r="O331" s="412">
        <v>44</v>
      </c>
      <c r="P331" s="466" t="s">
        <v>12</v>
      </c>
      <c r="Q331" s="248"/>
      <c r="R331" s="248"/>
      <c r="S331" s="244"/>
      <c r="T331" s="244"/>
      <c r="U331" s="244"/>
      <c r="V331" s="244"/>
      <c r="W331" s="244"/>
      <c r="X331" s="230"/>
    </row>
    <row r="332" spans="15:25">
      <c r="O332" s="412">
        <v>45</v>
      </c>
      <c r="P332" s="467" t="s">
        <v>43</v>
      </c>
      <c r="Q332" s="249">
        <f t="shared" ref="Q332:R333" si="70">SUM(Q295+Q299+Q303+Q308+Q313+Q318+Q323+Q328)</f>
        <v>63473.5</v>
      </c>
      <c r="R332" s="249">
        <f t="shared" si="70"/>
        <v>63575.666666666664</v>
      </c>
      <c r="S332" s="249">
        <f>SUM(S295+S299+S303+S308+S313+S318+S323+S328)</f>
        <v>63767.318387900283</v>
      </c>
      <c r="T332" s="249">
        <f t="shared" ref="T332:X332" si="71">SUM(T295+T299+T303+T308+T313+T318+T323+T328)</f>
        <v>63734.500000000007</v>
      </c>
      <c r="U332" s="249">
        <f t="shared" si="71"/>
        <v>63983.127339680992</v>
      </c>
      <c r="V332" s="249">
        <f t="shared" si="71"/>
        <v>64191.858287517374</v>
      </c>
      <c r="W332" s="249">
        <f t="shared" si="71"/>
        <v>64371.970093095115</v>
      </c>
      <c r="X332" s="249">
        <f t="shared" si="71"/>
        <v>64541.751937998488</v>
      </c>
    </row>
    <row r="333" spans="15:25">
      <c r="O333" s="412">
        <v>46</v>
      </c>
      <c r="P333" s="468" t="s">
        <v>38</v>
      </c>
      <c r="Q333" s="249">
        <f t="shared" si="70"/>
        <v>957941351.48999953</v>
      </c>
      <c r="R333" s="249">
        <f t="shared" si="70"/>
        <v>950013126.06999981</v>
      </c>
      <c r="S333" s="249">
        <f>SUM(S296+S300+S304+S309+S314+S319+S324+S329)</f>
        <v>956387714.35856676</v>
      </c>
      <c r="T333" s="249">
        <f t="shared" ref="T333:X333" si="72">SUM(T296+T300+T304+T309+T314+T319+T324+T329)</f>
        <v>963120842.92527819</v>
      </c>
      <c r="U333" s="249">
        <f t="shared" si="72"/>
        <v>965070092.80775356</v>
      </c>
      <c r="V333" s="249">
        <f t="shared" si="72"/>
        <v>938758818.01477861</v>
      </c>
      <c r="W333" s="249">
        <f t="shared" si="72"/>
        <v>926626361.46880984</v>
      </c>
      <c r="X333" s="249">
        <f t="shared" si="72"/>
        <v>921578850.48693848</v>
      </c>
      <c r="Y333" s="309">
        <f>S333-X333</f>
        <v>34808863.871628284</v>
      </c>
    </row>
    <row r="334" spans="15:25" ht="25.5">
      <c r="O334" s="412">
        <v>47</v>
      </c>
      <c r="P334" s="463" t="s">
        <v>379</v>
      </c>
      <c r="Q334" s="249">
        <f t="shared" ref="Q334:R334" si="73">SUM(Q305+Q310+Q315+Q320+Q325)</f>
        <v>1269254.318</v>
      </c>
      <c r="R334" s="249">
        <f t="shared" si="73"/>
        <v>1282504.8353000002</v>
      </c>
      <c r="S334" s="249">
        <f>SUM(S305+S310+S315+S320+S325)</f>
        <v>1384347.902548658</v>
      </c>
      <c r="T334" s="249">
        <f t="shared" ref="T334:X334" si="74">SUM(T305+T310+T315+T320+T325)</f>
        <v>1263171.5308000001</v>
      </c>
      <c r="U334" s="249">
        <f t="shared" si="74"/>
        <v>1232544.3674384768</v>
      </c>
      <c r="V334" s="249">
        <f t="shared" si="74"/>
        <v>1231215.2208679644</v>
      </c>
      <c r="W334" s="249">
        <f t="shared" si="74"/>
        <v>1171858.0137335472</v>
      </c>
      <c r="X334" s="249">
        <f t="shared" si="74"/>
        <v>1147803.921002209</v>
      </c>
    </row>
    <row r="336" spans="15:25">
      <c r="Q336" s="309"/>
      <c r="R336" s="309"/>
      <c r="S336" s="309"/>
      <c r="T336" s="309"/>
      <c r="U336" s="309"/>
      <c r="V336" s="309"/>
      <c r="W336" s="309"/>
    </row>
    <row r="337" spans="17:56" ht="13.5" thickBot="1">
      <c r="Q337" s="309"/>
      <c r="R337" s="309"/>
      <c r="S337" s="309"/>
      <c r="T337" s="309"/>
      <c r="U337" s="309"/>
      <c r="V337" s="309"/>
      <c r="W337" s="309"/>
      <c r="AY337" s="309"/>
      <c r="AZ337" s="579" t="s">
        <v>393</v>
      </c>
      <c r="BA337" s="580"/>
      <c r="BB337" s="580"/>
      <c r="BC337" s="580"/>
      <c r="BD337" s="581"/>
    </row>
    <row r="338" spans="17:56" ht="13.5" thickBot="1">
      <c r="Q338" s="309"/>
      <c r="AY338" s="479" t="s">
        <v>423</v>
      </c>
      <c r="AZ338" s="480" t="s">
        <v>412</v>
      </c>
      <c r="BA338" s="376" t="s">
        <v>381</v>
      </c>
      <c r="BB338" s="377" t="s">
        <v>382</v>
      </c>
      <c r="BC338" s="377" t="s">
        <v>383</v>
      </c>
      <c r="BD338" s="420" t="s">
        <v>384</v>
      </c>
    </row>
    <row r="339" spans="17:56">
      <c r="AY339" s="453">
        <v>1</v>
      </c>
      <c r="AZ339" s="476" t="str">
        <f>G239</f>
        <v xml:space="preserve">Residential </v>
      </c>
      <c r="BA339" s="378">
        <v>10049583</v>
      </c>
      <c r="BB339" s="378">
        <v>12936350</v>
      </c>
      <c r="BC339" s="392">
        <f>BB339-BA339</f>
        <v>2886767</v>
      </c>
      <c r="BD339" s="431">
        <f>IFERROR(BC339/BA339,0)</f>
        <v>0.28725241634404136</v>
      </c>
    </row>
    <row r="340" spans="17:56">
      <c r="AY340" s="452">
        <v>2</v>
      </c>
      <c r="AZ340" s="477" t="str">
        <f>H239</f>
        <v>General Service
 &lt; 50 kW</v>
      </c>
      <c r="BA340" s="379">
        <v>2796072</v>
      </c>
      <c r="BB340" s="379">
        <v>3326127</v>
      </c>
      <c r="BC340" s="392">
        <f t="shared" ref="BC340:BC345" si="75">BB340-BA340</f>
        <v>530055</v>
      </c>
      <c r="BD340" s="431">
        <f t="shared" ref="BD340:BD347" si="76">IFERROR(BC340/BA340,0)</f>
        <v>0.18957129859316926</v>
      </c>
    </row>
    <row r="341" spans="17:56">
      <c r="AY341" s="452">
        <v>3</v>
      </c>
      <c r="AZ341" s="477" t="str">
        <f>I239</f>
        <v>General Service
 &gt; 50 to 999 kW</v>
      </c>
      <c r="BA341" s="379">
        <v>2462351</v>
      </c>
      <c r="BB341" s="379">
        <v>2391885</v>
      </c>
      <c r="BC341" s="504">
        <f t="shared" si="75"/>
        <v>-70466</v>
      </c>
      <c r="BD341" s="431">
        <f t="shared" si="76"/>
        <v>-2.8617366086313448E-2</v>
      </c>
    </row>
    <row r="342" spans="17:56">
      <c r="AY342" s="452">
        <v>4</v>
      </c>
      <c r="AZ342" s="477" t="str">
        <f>J239</f>
        <v>General Service 
&gt; 1000 kW</v>
      </c>
      <c r="BA342" s="379">
        <v>1322661</v>
      </c>
      <c r="BB342" s="379">
        <v>1420705</v>
      </c>
      <c r="BC342" s="392">
        <f t="shared" si="75"/>
        <v>98044</v>
      </c>
      <c r="BD342" s="431">
        <f t="shared" si="76"/>
        <v>7.4126325642020138E-2</v>
      </c>
    </row>
    <row r="343" spans="17:56">
      <c r="AY343" s="452">
        <v>5</v>
      </c>
      <c r="AZ343" s="477" t="str">
        <f>K239</f>
        <v>Large User</v>
      </c>
      <c r="BA343" s="379">
        <v>0</v>
      </c>
      <c r="BB343" s="379">
        <v>0</v>
      </c>
      <c r="BC343" s="392">
        <f t="shared" si="75"/>
        <v>0</v>
      </c>
      <c r="BD343" s="431">
        <f t="shared" si="76"/>
        <v>0</v>
      </c>
    </row>
    <row r="344" spans="17:56">
      <c r="AY344" s="452">
        <v>6</v>
      </c>
      <c r="AZ344" s="477" t="str">
        <f>L239</f>
        <v>Street Lighting</v>
      </c>
      <c r="BA344" s="379">
        <v>719257</v>
      </c>
      <c r="BB344" s="379">
        <v>694798</v>
      </c>
      <c r="BC344" s="504">
        <f t="shared" si="75"/>
        <v>-24459</v>
      </c>
      <c r="BD344" s="431">
        <f t="shared" si="76"/>
        <v>-3.4005925559292438E-2</v>
      </c>
    </row>
    <row r="345" spans="17:56">
      <c r="AY345" s="452">
        <v>7</v>
      </c>
      <c r="AZ345" s="477" t="str">
        <f>M239</f>
        <v>Sentinel Lighting</v>
      </c>
      <c r="BA345" s="379">
        <v>14923</v>
      </c>
      <c r="BB345" s="379">
        <v>13457</v>
      </c>
      <c r="BC345" s="504">
        <f t="shared" si="75"/>
        <v>-1466</v>
      </c>
      <c r="BD345" s="431">
        <f t="shared" si="76"/>
        <v>-9.8237619781545271E-2</v>
      </c>
    </row>
    <row r="346" spans="17:56">
      <c r="AY346" s="452">
        <v>8</v>
      </c>
      <c r="AZ346" s="477" t="str">
        <f>N239</f>
        <v>Unmetered Scattered Load</v>
      </c>
      <c r="BA346" s="379">
        <v>126649</v>
      </c>
      <c r="BB346" s="379">
        <v>96852</v>
      </c>
      <c r="BC346" s="504">
        <f>BB346-BA346</f>
        <v>-29797</v>
      </c>
      <c r="BD346" s="431">
        <f t="shared" si="76"/>
        <v>-0.23527228797700733</v>
      </c>
    </row>
    <row r="347" spans="17:56" ht="13.5" thickBot="1">
      <c r="Y347" s="285"/>
      <c r="Z347" s="286"/>
      <c r="AA347" s="286"/>
      <c r="AB347" s="286"/>
      <c r="AC347" s="421"/>
      <c r="AY347" s="452">
        <v>9</v>
      </c>
      <c r="AZ347" s="478" t="s">
        <v>12</v>
      </c>
      <c r="BA347" s="384">
        <f>SUM(BA339:BA346)</f>
        <v>17491496</v>
      </c>
      <c r="BB347" s="384">
        <f>SUM(BB339:BB346)</f>
        <v>20880174</v>
      </c>
      <c r="BC347" s="384">
        <f>SUM(BC339:BC346)</f>
        <v>3388678</v>
      </c>
      <c r="BD347" s="432">
        <f t="shared" si="76"/>
        <v>0.19373288596927329</v>
      </c>
    </row>
    <row r="348" spans="17:56" ht="13.5" thickBot="1">
      <c r="Z348" s="394"/>
      <c r="AA348" s="395" t="s">
        <v>414</v>
      </c>
      <c r="AB348" s="396">
        <f>BA347-BB347+BC347</f>
        <v>0</v>
      </c>
      <c r="AD348" s="554" t="s">
        <v>396</v>
      </c>
      <c r="AE348" s="554"/>
      <c r="AF348" s="554"/>
      <c r="AG348" s="554"/>
      <c r="AH348" s="554"/>
      <c r="AI348" s="554"/>
      <c r="AJ348" s="554"/>
      <c r="AK348" s="554"/>
      <c r="AL348" s="554"/>
      <c r="AM348" s="554"/>
      <c r="AN348" s="554"/>
      <c r="AO348" s="554"/>
    </row>
    <row r="349" spans="17:56" ht="50.25" customHeight="1" thickBot="1">
      <c r="Y349" s="497" t="s">
        <v>427</v>
      </c>
      <c r="Z349" s="495">
        <v>17491496</v>
      </c>
      <c r="AA349" s="495">
        <v>20880175.789999999</v>
      </c>
      <c r="AB349" s="72" t="s">
        <v>415</v>
      </c>
      <c r="AC349" s="487" t="s">
        <v>423</v>
      </c>
      <c r="AD349" s="488" t="s">
        <v>394</v>
      </c>
      <c r="AE349" s="584" t="s">
        <v>385</v>
      </c>
      <c r="AF349" s="584"/>
      <c r="AG349" s="410" t="s">
        <v>386</v>
      </c>
      <c r="AH349" s="583" t="s">
        <v>387</v>
      </c>
      <c r="AI349" s="583"/>
      <c r="AJ349" s="584" t="s">
        <v>388</v>
      </c>
      <c r="AK349" s="584"/>
      <c r="AL349" s="584" t="s">
        <v>389</v>
      </c>
      <c r="AM349" s="584"/>
      <c r="AN349" s="584" t="s">
        <v>390</v>
      </c>
      <c r="AO349" s="585"/>
    </row>
    <row r="350" spans="17:56" ht="16.5" thickTop="1" thickBot="1">
      <c r="Y350" s="72" t="s">
        <v>426</v>
      </c>
      <c r="Z350" s="496">
        <f>BA347-Z349</f>
        <v>0</v>
      </c>
      <c r="AA350" s="496">
        <f>BB347-AA349</f>
        <v>-1.7899999991059303</v>
      </c>
      <c r="AC350" s="489">
        <v>1</v>
      </c>
      <c r="AD350" s="586" t="s">
        <v>342</v>
      </c>
      <c r="AE350" s="586"/>
      <c r="AF350" s="586"/>
      <c r="AG350" s="586"/>
      <c r="AH350" s="586"/>
      <c r="AI350" s="385" t="s">
        <v>110</v>
      </c>
      <c r="AJ350" s="386">
        <f>K106</f>
        <v>0.99673147231619852</v>
      </c>
      <c r="AK350" s="386">
        <f>$K$107</f>
        <v>1.0184052862834632</v>
      </c>
      <c r="AL350" s="588"/>
      <c r="AM350" s="588"/>
      <c r="AN350" s="588"/>
      <c r="AO350" s="589"/>
    </row>
    <row r="351" spans="17:56" ht="13.5" thickTop="1">
      <c r="AC351" s="490">
        <v>2</v>
      </c>
      <c r="AD351" s="586"/>
      <c r="AE351" s="586"/>
      <c r="AF351" s="586"/>
      <c r="AG351" s="586"/>
      <c r="AH351" s="586"/>
      <c r="AI351" s="280" t="s">
        <v>164</v>
      </c>
      <c r="AJ351" s="279">
        <f>K123</f>
        <v>0.99584923052043939</v>
      </c>
      <c r="AK351" s="279">
        <f>$K$124</f>
        <v>1.0130656438727432</v>
      </c>
      <c r="AL351" s="590"/>
      <c r="AM351" s="590"/>
      <c r="AN351" s="590"/>
      <c r="AO351" s="591"/>
    </row>
    <row r="352" spans="17:56" ht="14.25" customHeight="1">
      <c r="AC352" s="490">
        <v>3</v>
      </c>
      <c r="AD352" s="587"/>
      <c r="AE352" s="587"/>
      <c r="AF352" s="587"/>
      <c r="AG352" s="587"/>
      <c r="AH352" s="587"/>
      <c r="AI352" s="280" t="s">
        <v>395</v>
      </c>
      <c r="AJ352" s="279">
        <f>K140</f>
        <v>0.995855292135023</v>
      </c>
      <c r="AK352" s="279">
        <f>$K$141</f>
        <v>1.012046414712052</v>
      </c>
      <c r="AL352" s="590"/>
      <c r="AM352" s="590"/>
      <c r="AN352" s="590"/>
      <c r="AO352" s="591"/>
    </row>
    <row r="353" spans="25:43" ht="25.5">
      <c r="AC353" s="490">
        <v>4</v>
      </c>
      <c r="AD353" s="482"/>
      <c r="AE353" s="270" t="str">
        <f>BA338</f>
        <v>2011 Actual</v>
      </c>
      <c r="AF353" s="270" t="str">
        <f>BB338</f>
        <v>2012 Actual</v>
      </c>
      <c r="AG353" s="280"/>
      <c r="AH353" s="270" t="str">
        <f>AE353</f>
        <v>2011 Actual</v>
      </c>
      <c r="AI353" s="270" t="str">
        <f>AF353</f>
        <v>2012 Actual</v>
      </c>
      <c r="AJ353" s="270" t="str">
        <f t="shared" ref="AJ353:AO353" si="77">AH353</f>
        <v>2011 Actual</v>
      </c>
      <c r="AK353" s="270" t="str">
        <f t="shared" si="77"/>
        <v>2012 Actual</v>
      </c>
      <c r="AL353" s="270" t="str">
        <f t="shared" si="77"/>
        <v>2011 Actual</v>
      </c>
      <c r="AM353" s="270" t="str">
        <f t="shared" si="77"/>
        <v>2012 Actual</v>
      </c>
      <c r="AN353" s="270" t="str">
        <f t="shared" si="77"/>
        <v>2011 Actual</v>
      </c>
      <c r="AO353" s="387" t="str">
        <f t="shared" si="77"/>
        <v>2012 Actual</v>
      </c>
    </row>
    <row r="354" spans="25:43">
      <c r="AC354" s="490">
        <v>5</v>
      </c>
      <c r="AD354" s="483" t="str">
        <f t="shared" ref="AD354:AD361" si="78">AZ339</f>
        <v xml:space="preserve">Residential </v>
      </c>
      <c r="AE354" s="249">
        <f>Q295</f>
        <v>44900.666666666664</v>
      </c>
      <c r="AF354" s="249">
        <f>$R$295</f>
        <v>44736.75</v>
      </c>
      <c r="AG354" s="278" t="s">
        <v>120</v>
      </c>
      <c r="AH354" s="278">
        <f>Q296</f>
        <v>337212306.49999964</v>
      </c>
      <c r="AI354" s="278">
        <f>$R$296</f>
        <v>331142424.8599996</v>
      </c>
      <c r="AJ354" s="278">
        <f>AH354*AJ350</f>
        <v>336110118.74088585</v>
      </c>
      <c r="AK354" s="278">
        <f>AI354*AK350</f>
        <v>337237195.99014807</v>
      </c>
      <c r="AL354" s="278">
        <f>AH354/AE354</f>
        <v>7510.1848487772932</v>
      </c>
      <c r="AM354" s="278">
        <f>AI354/AF354</f>
        <v>7402.0223833872506</v>
      </c>
      <c r="AN354" s="278">
        <f>AJ354/AE354</f>
        <v>7485.6376016885988</v>
      </c>
      <c r="AO354" s="388">
        <f>AK354/AF354</f>
        <v>7538.2587244300958</v>
      </c>
    </row>
    <row r="355" spans="25:43">
      <c r="AC355" s="490">
        <v>6</v>
      </c>
      <c r="AD355" s="483" t="str">
        <f t="shared" si="78"/>
        <v>General Service
 &lt; 50 kW</v>
      </c>
      <c r="AE355" s="249">
        <f>Q299</f>
        <v>4339.666666666667</v>
      </c>
      <c r="AF355" s="249">
        <f>$R$299</f>
        <v>4496.916666666667</v>
      </c>
      <c r="AG355" s="278" t="s">
        <v>120</v>
      </c>
      <c r="AH355" s="281">
        <f>Q300</f>
        <v>135688687.22999996</v>
      </c>
      <c r="AI355" s="281">
        <f>$R$300</f>
        <v>133678840.49000008</v>
      </c>
      <c r="AJ355" s="278">
        <f t="shared" ref="AJ355:AJ356" si="79">AH355*AJ351</f>
        <v>135125474.76832402</v>
      </c>
      <c r="AK355" s="278">
        <f t="shared" ref="AK355:AK356" si="80">AI355*AK351</f>
        <v>135425440.61316368</v>
      </c>
      <c r="AL355" s="278">
        <f t="shared" ref="AL355:AL361" si="81">AH355/AE355</f>
        <v>31267.075942084633</v>
      </c>
      <c r="AM355" s="278">
        <f t="shared" ref="AM355:AM361" si="82">AI355/AF355</f>
        <v>29726.777345218037</v>
      </c>
      <c r="AN355" s="278">
        <f t="shared" ref="AN355:AN356" si="83">AJ355/AE355</f>
        <v>31137.293517549122</v>
      </c>
      <c r="AO355" s="388">
        <f t="shared" ref="AO355:AO356" si="84">AK355/AF355</f>
        <v>30115.176831494988</v>
      </c>
    </row>
    <row r="356" spans="25:43">
      <c r="Z356"/>
      <c r="AA356"/>
      <c r="AC356" s="490">
        <v>7</v>
      </c>
      <c r="AD356" s="483" t="str">
        <f t="shared" si="78"/>
        <v>General Service
 &gt; 50 to 999 kW</v>
      </c>
      <c r="AE356" s="249">
        <f>Q303</f>
        <v>505.75</v>
      </c>
      <c r="AF356" s="249">
        <f>$R$303</f>
        <v>513.5</v>
      </c>
      <c r="AG356" s="278" t="s">
        <v>391</v>
      </c>
      <c r="AH356" s="281">
        <f>Q305</f>
        <v>732497.42999999993</v>
      </c>
      <c r="AI356" s="281">
        <f>$R$305</f>
        <v>734173.25</v>
      </c>
      <c r="AJ356" s="278">
        <f t="shared" si="79"/>
        <v>729461.44214080344</v>
      </c>
      <c r="AK356" s="278">
        <f t="shared" si="80"/>
        <v>743017.40543999511</v>
      </c>
      <c r="AL356" s="278">
        <f t="shared" si="81"/>
        <v>1448.338961937716</v>
      </c>
      <c r="AM356" s="278">
        <f t="shared" si="82"/>
        <v>1429.7434274586174</v>
      </c>
      <c r="AN356" s="278">
        <f t="shared" si="83"/>
        <v>1442.3360200510201</v>
      </c>
      <c r="AO356" s="388">
        <f t="shared" si="84"/>
        <v>1446.9667097176145</v>
      </c>
    </row>
    <row r="357" spans="25:43">
      <c r="Z357"/>
      <c r="AA357"/>
      <c r="AC357" s="490">
        <v>8</v>
      </c>
      <c r="AD357" s="483" t="str">
        <f t="shared" si="78"/>
        <v>General Service 
&gt; 1000 kW</v>
      </c>
      <c r="AE357" s="249">
        <f>Q308</f>
        <v>18.916666666666668</v>
      </c>
      <c r="AF357" s="249">
        <f>$R$308</f>
        <v>19.416666666666668</v>
      </c>
      <c r="AG357" s="278" t="s">
        <v>391</v>
      </c>
      <c r="AH357" s="281">
        <f>Q310</f>
        <v>504570.848</v>
      </c>
      <c r="AI357" s="281">
        <f>$R$310</f>
        <v>517091.88530000014</v>
      </c>
      <c r="AJ357" s="278"/>
      <c r="AK357" s="278"/>
      <c r="AL357" s="278">
        <f t="shared" si="81"/>
        <v>26673.34879295154</v>
      </c>
      <c r="AM357" s="278">
        <f t="shared" si="82"/>
        <v>26631.341732188848</v>
      </c>
      <c r="AN357" s="278"/>
      <c r="AO357" s="388"/>
    </row>
    <row r="358" spans="25:43">
      <c r="Z358"/>
      <c r="AA358"/>
      <c r="AC358" s="490">
        <v>9</v>
      </c>
      <c r="AD358" s="483" t="str">
        <f t="shared" si="78"/>
        <v>Large User</v>
      </c>
      <c r="AE358" s="249">
        <f>Q313</f>
        <v>0</v>
      </c>
      <c r="AF358" s="249">
        <f>$R$313</f>
        <v>0</v>
      </c>
      <c r="AG358" s="278" t="s">
        <v>391</v>
      </c>
      <c r="AH358" s="281">
        <f>Q315</f>
        <v>0</v>
      </c>
      <c r="AI358" s="281">
        <f>$R$315</f>
        <v>0</v>
      </c>
      <c r="AJ358" s="278"/>
      <c r="AK358" s="278"/>
      <c r="AL358" s="278" t="e">
        <f t="shared" si="81"/>
        <v>#DIV/0!</v>
      </c>
      <c r="AM358" s="278" t="e">
        <f t="shared" si="82"/>
        <v>#DIV/0!</v>
      </c>
      <c r="AN358" s="278"/>
      <c r="AO358" s="388"/>
    </row>
    <row r="359" spans="25:43">
      <c r="Z359"/>
      <c r="AA359"/>
      <c r="AC359" s="490">
        <v>10</v>
      </c>
      <c r="AD359" s="483" t="str">
        <f t="shared" si="78"/>
        <v>Street Lighting</v>
      </c>
      <c r="AE359" s="249">
        <f>Q318</f>
        <v>13090.833333333334</v>
      </c>
      <c r="AF359" s="249">
        <f>$R$318</f>
        <v>13172.083333333334</v>
      </c>
      <c r="AG359" s="278" t="s">
        <v>391</v>
      </c>
      <c r="AH359" s="281">
        <f>Q320</f>
        <v>31849.550000000003</v>
      </c>
      <c r="AI359" s="281">
        <f>$R$320</f>
        <v>30858.559999999998</v>
      </c>
      <c r="AJ359" s="278"/>
      <c r="AK359" s="278"/>
      <c r="AL359" s="278">
        <f t="shared" si="81"/>
        <v>2.4329658157743967</v>
      </c>
      <c r="AM359" s="278">
        <f t="shared" si="82"/>
        <v>2.3427243222724825</v>
      </c>
      <c r="AN359" s="278"/>
      <c r="AO359" s="388"/>
    </row>
    <row r="360" spans="25:43">
      <c r="Z360"/>
      <c r="AA360"/>
      <c r="AC360" s="490">
        <v>11</v>
      </c>
      <c r="AD360" s="483" t="str">
        <f t="shared" si="78"/>
        <v>Sentinel Lighting</v>
      </c>
      <c r="AE360" s="249">
        <f>Q323</f>
        <v>147.58333333333334</v>
      </c>
      <c r="AF360" s="249">
        <f>$R$323</f>
        <v>167.16666666666666</v>
      </c>
      <c r="AG360" s="278" t="s">
        <v>391</v>
      </c>
      <c r="AH360" s="281">
        <f>Q325</f>
        <v>336.49</v>
      </c>
      <c r="AI360" s="281">
        <f>$R$325</f>
        <v>381.14000000000004</v>
      </c>
      <c r="AJ360" s="278"/>
      <c r="AK360" s="278"/>
      <c r="AL360" s="278">
        <f t="shared" si="81"/>
        <v>2.2799999999999998</v>
      </c>
      <c r="AM360" s="278">
        <f t="shared" si="82"/>
        <v>2.2800000000000002</v>
      </c>
      <c r="AN360" s="278"/>
      <c r="AO360" s="388"/>
    </row>
    <row r="361" spans="25:43">
      <c r="Z361"/>
      <c r="AA361"/>
      <c r="AC361" s="490">
        <v>12</v>
      </c>
      <c r="AD361" s="483" t="str">
        <f t="shared" si="78"/>
        <v>Unmetered Scattered Load</v>
      </c>
      <c r="AE361" s="249">
        <f>Q328</f>
        <v>470.08333333333331</v>
      </c>
      <c r="AF361" s="249">
        <f>$R$328</f>
        <v>469.83333333333331</v>
      </c>
      <c r="AG361" s="278" t="s">
        <v>120</v>
      </c>
      <c r="AH361" s="281">
        <f>Q329</f>
        <v>1971315.4000000004</v>
      </c>
      <c r="AI361" s="281">
        <f>$R$329</f>
        <v>1980462.86</v>
      </c>
      <c r="AJ361" s="278"/>
      <c r="AK361" s="278"/>
      <c r="AL361" s="278">
        <f t="shared" si="81"/>
        <v>4193.5445488388596</v>
      </c>
      <c r="AM361" s="278">
        <f t="shared" si="82"/>
        <v>4215.2455338772616</v>
      </c>
      <c r="AN361" s="278"/>
      <c r="AO361" s="388"/>
    </row>
    <row r="362" spans="25:43">
      <c r="Z362"/>
      <c r="AA362"/>
      <c r="AC362" s="490">
        <v>13</v>
      </c>
      <c r="AD362" s="483" t="s">
        <v>5</v>
      </c>
      <c r="AE362" s="249">
        <f>SUM(AE354:AE361)</f>
        <v>63473.5</v>
      </c>
      <c r="AF362" s="249">
        <f>SUM(AF354:AF361)</f>
        <v>63575.666666666664</v>
      </c>
      <c r="AG362" s="278"/>
      <c r="AH362" s="281"/>
      <c r="AI362" s="281"/>
      <c r="AJ362" s="281"/>
      <c r="AK362" s="281"/>
      <c r="AL362" s="281"/>
      <c r="AM362" s="281"/>
      <c r="AN362" s="281"/>
      <c r="AO362" s="389"/>
    </row>
    <row r="363" spans="25:43">
      <c r="Z363"/>
      <c r="AA363"/>
      <c r="AC363" s="490">
        <v>14</v>
      </c>
      <c r="AD363" s="367"/>
      <c r="AE363" s="590" t="s">
        <v>392</v>
      </c>
      <c r="AF363" s="590"/>
      <c r="AG363" s="230"/>
      <c r="AH363" s="590" t="s">
        <v>392</v>
      </c>
      <c r="AI363" s="590"/>
      <c r="AJ363" s="596" t="s">
        <v>392</v>
      </c>
      <c r="AK363" s="596"/>
      <c r="AL363" s="596" t="s">
        <v>392</v>
      </c>
      <c r="AM363" s="596"/>
      <c r="AN363" s="596" t="s">
        <v>392</v>
      </c>
      <c r="AO363" s="597"/>
    </row>
    <row r="364" spans="25:43">
      <c r="Z364"/>
      <c r="AA364"/>
      <c r="AC364" s="490">
        <v>15</v>
      </c>
      <c r="AD364" s="484" t="str">
        <f>AD354</f>
        <v xml:space="preserve">Residential </v>
      </c>
      <c r="AE364" s="598">
        <f t="shared" ref="AE364" si="85">AF354-AE354</f>
        <v>-163.91666666666424</v>
      </c>
      <c r="AF364" s="598"/>
      <c r="AG364" s="278" t="str">
        <f>AG354</f>
        <v>kWh</v>
      </c>
      <c r="AH364" s="598">
        <f>AI354-AH354</f>
        <v>-6069881.6400000453</v>
      </c>
      <c r="AI364" s="598"/>
      <c r="AJ364" s="598">
        <f>AK354-AJ354</f>
        <v>1127077.2492622137</v>
      </c>
      <c r="AK364" s="598"/>
      <c r="AL364" s="598">
        <f>AM354-AL354</f>
        <v>-108.1624653900426</v>
      </c>
      <c r="AM364" s="598"/>
      <c r="AN364" s="598">
        <f>AO354-AN354</f>
        <v>52.621122741496947</v>
      </c>
      <c r="AO364" s="599"/>
      <c r="AQ364" s="393">
        <f>AJ364/AJ354</f>
        <v>3.3532975843881111E-3</v>
      </c>
    </row>
    <row r="365" spans="25:43">
      <c r="Z365"/>
      <c r="AA365"/>
      <c r="AC365" s="490">
        <v>16</v>
      </c>
      <c r="AD365" s="484" t="str">
        <f t="shared" ref="AD365:AD371" si="86">AD355</f>
        <v>General Service
 &lt; 50 kW</v>
      </c>
      <c r="AE365" s="598">
        <f t="shared" ref="AE365:AE366" si="87">AF355-AE355</f>
        <v>157.25</v>
      </c>
      <c r="AF365" s="598"/>
      <c r="AG365" s="278" t="str">
        <f t="shared" ref="AG365:AG371" si="88">AG355</f>
        <v>kWh</v>
      </c>
      <c r="AH365" s="598">
        <f t="shared" ref="AH365:AH369" si="89">AI355-AH355</f>
        <v>-2009846.7399998754</v>
      </c>
      <c r="AI365" s="598"/>
      <c r="AJ365" s="598">
        <f t="shared" ref="AJ365:AJ366" si="90">AK355-AJ355</f>
        <v>299965.84483966231</v>
      </c>
      <c r="AK365" s="598"/>
      <c r="AL365" s="598">
        <f t="shared" ref="AL365:AL370" si="91">AM355-AL355</f>
        <v>-1540.2985968665962</v>
      </c>
      <c r="AM365" s="598"/>
      <c r="AN365" s="598">
        <f>AO355-AN355</f>
        <v>-1022.1166860541343</v>
      </c>
      <c r="AO365" s="599"/>
      <c r="AQ365" s="393">
        <f>AJ365/AJ355</f>
        <v>2.2199059455958337E-3</v>
      </c>
    </row>
    <row r="366" spans="25:43">
      <c r="Z366"/>
      <c r="AA366"/>
      <c r="AC366" s="490">
        <v>17</v>
      </c>
      <c r="AD366" s="484" t="str">
        <f t="shared" si="86"/>
        <v>General Service
 &gt; 50 to 999 kW</v>
      </c>
      <c r="AE366" s="598">
        <f t="shared" si="87"/>
        <v>7.75</v>
      </c>
      <c r="AF366" s="598"/>
      <c r="AG366" s="278" t="str">
        <f t="shared" si="88"/>
        <v>kW</v>
      </c>
      <c r="AH366" s="598">
        <f t="shared" si="89"/>
        <v>1675.8200000000652</v>
      </c>
      <c r="AI366" s="598"/>
      <c r="AJ366" s="598">
        <f t="shared" si="90"/>
        <v>13555.963299191673</v>
      </c>
      <c r="AK366" s="598"/>
      <c r="AL366" s="598">
        <f t="shared" si="91"/>
        <v>-18.59553447909866</v>
      </c>
      <c r="AM366" s="598"/>
      <c r="AN366" s="598">
        <f>AO356-AN356</f>
        <v>4.630689666594435</v>
      </c>
      <c r="AO366" s="599"/>
    </row>
    <row r="367" spans="25:43">
      <c r="Y367" s="277"/>
      <c r="Z367"/>
      <c r="AA367"/>
      <c r="AC367" s="490">
        <v>18</v>
      </c>
      <c r="AD367" s="484" t="str">
        <f t="shared" si="86"/>
        <v>General Service 
&gt; 1000 kW</v>
      </c>
      <c r="AE367" s="598">
        <f t="shared" ref="AE367:AE371" si="92">AF357-AE357</f>
        <v>0.5</v>
      </c>
      <c r="AF367" s="598"/>
      <c r="AG367" s="278" t="str">
        <f t="shared" si="88"/>
        <v>kW</v>
      </c>
      <c r="AH367" s="598">
        <f t="shared" si="89"/>
        <v>12521.037300000142</v>
      </c>
      <c r="AI367" s="598"/>
      <c r="AJ367" s="598"/>
      <c r="AK367" s="598"/>
      <c r="AL367" s="598">
        <f t="shared" si="91"/>
        <v>-42.007060762691253</v>
      </c>
      <c r="AM367" s="598"/>
      <c r="AN367" s="598"/>
      <c r="AO367" s="599"/>
    </row>
    <row r="368" spans="25:43">
      <c r="Y368" s="277"/>
      <c r="Z368" s="277"/>
      <c r="AA368" s="277"/>
      <c r="AB368" s="277"/>
      <c r="AC368" s="490">
        <v>19</v>
      </c>
      <c r="AD368" s="484" t="str">
        <f t="shared" si="86"/>
        <v>Large User</v>
      </c>
      <c r="AE368" s="598">
        <f t="shared" si="92"/>
        <v>0</v>
      </c>
      <c r="AF368" s="598"/>
      <c r="AG368" s="278" t="str">
        <f t="shared" si="88"/>
        <v>kW</v>
      </c>
      <c r="AH368" s="598">
        <f t="shared" si="89"/>
        <v>0</v>
      </c>
      <c r="AI368" s="598"/>
      <c r="AJ368" s="598"/>
      <c r="AK368" s="598"/>
      <c r="AL368" s="598" t="e">
        <f t="shared" si="91"/>
        <v>#DIV/0!</v>
      </c>
      <c r="AM368" s="598"/>
      <c r="AN368" s="598"/>
      <c r="AO368" s="599"/>
    </row>
    <row r="369" spans="25:56">
      <c r="Y369" s="277"/>
      <c r="Z369" s="277"/>
      <c r="AA369" s="277"/>
      <c r="AB369" s="277"/>
      <c r="AC369" s="490">
        <v>20</v>
      </c>
      <c r="AD369" s="484" t="str">
        <f t="shared" si="86"/>
        <v>Street Lighting</v>
      </c>
      <c r="AE369" s="598">
        <f t="shared" si="92"/>
        <v>81.25</v>
      </c>
      <c r="AF369" s="598"/>
      <c r="AG369" s="278" t="str">
        <f t="shared" si="88"/>
        <v>kW</v>
      </c>
      <c r="AH369" s="598">
        <f t="shared" si="89"/>
        <v>-990.99000000000524</v>
      </c>
      <c r="AI369" s="598"/>
      <c r="AJ369" s="598"/>
      <c r="AK369" s="598"/>
      <c r="AL369" s="598">
        <f t="shared" si="91"/>
        <v>-9.0241493501914238E-2</v>
      </c>
      <c r="AM369" s="598"/>
      <c r="AN369" s="598"/>
      <c r="AO369" s="599"/>
    </row>
    <row r="370" spans="25:56">
      <c r="Y370" s="277"/>
      <c r="Z370" s="277"/>
      <c r="AA370" s="277"/>
      <c r="AB370" s="277"/>
      <c r="AC370" s="490">
        <v>21</v>
      </c>
      <c r="AD370" s="484" t="str">
        <f t="shared" si="86"/>
        <v>Sentinel Lighting</v>
      </c>
      <c r="AE370" s="598">
        <f t="shared" si="92"/>
        <v>19.583333333333314</v>
      </c>
      <c r="AF370" s="598"/>
      <c r="AG370" s="278" t="str">
        <f t="shared" si="88"/>
        <v>kW</v>
      </c>
      <c r="AH370" s="598">
        <f>AI360-AH360</f>
        <v>44.650000000000034</v>
      </c>
      <c r="AI370" s="598"/>
      <c r="AJ370" s="598"/>
      <c r="AK370" s="598"/>
      <c r="AL370" s="598">
        <f t="shared" si="91"/>
        <v>0</v>
      </c>
      <c r="AM370" s="598"/>
      <c r="AN370" s="598"/>
      <c r="AO370" s="599"/>
    </row>
    <row r="371" spans="25:56" ht="13.5" thickBot="1">
      <c r="AC371" s="490">
        <v>22</v>
      </c>
      <c r="AD371" s="485" t="str">
        <f t="shared" si="86"/>
        <v>Unmetered Scattered Load</v>
      </c>
      <c r="AE371" s="600">
        <f t="shared" si="92"/>
        <v>-0.25</v>
      </c>
      <c r="AF371" s="600"/>
      <c r="AG371" s="390" t="str">
        <f t="shared" si="88"/>
        <v>kWh</v>
      </c>
      <c r="AH371" s="600">
        <f>AI361-AH361</f>
        <v>9147.4599999997299</v>
      </c>
      <c r="AI371" s="600"/>
      <c r="AJ371" s="600"/>
      <c r="AK371" s="600"/>
      <c r="AL371" s="600">
        <f>AM361-AL361</f>
        <v>21.700985038401996</v>
      </c>
      <c r="AM371" s="600"/>
      <c r="AN371" s="600"/>
      <c r="AO371" s="601"/>
    </row>
    <row r="372" spans="25:56">
      <c r="AD372" s="282"/>
      <c r="AE372" s="283"/>
      <c r="AF372" s="283"/>
      <c r="AG372" s="284"/>
      <c r="AH372" s="283"/>
      <c r="AI372" s="283"/>
      <c r="AJ372" s="283"/>
      <c r="AK372" s="283"/>
      <c r="AL372" s="283"/>
      <c r="AM372" s="283"/>
      <c r="AN372" s="283"/>
      <c r="AO372" s="283"/>
    </row>
    <row r="375" spans="25:56" ht="13.5" thickBot="1">
      <c r="AZ375" s="579" t="s">
        <v>398</v>
      </c>
      <c r="BA375" s="580"/>
      <c r="BB375" s="580"/>
      <c r="BC375" s="580"/>
      <c r="BD375" s="581"/>
    </row>
    <row r="376" spans="25:56" ht="13.5" thickBot="1">
      <c r="AY376" s="474" t="s">
        <v>423</v>
      </c>
      <c r="AZ376" s="480" t="s">
        <v>412</v>
      </c>
      <c r="BA376" s="376" t="s">
        <v>382</v>
      </c>
      <c r="BB376" s="377" t="s">
        <v>397</v>
      </c>
      <c r="BC376" s="377" t="s">
        <v>383</v>
      </c>
      <c r="BD376" s="420" t="s">
        <v>384</v>
      </c>
    </row>
    <row r="377" spans="25:56">
      <c r="AY377" s="453">
        <v>1</v>
      </c>
      <c r="AZ377" s="476" t="str">
        <f t="shared" ref="AZ377:AZ384" si="93">AZ339</f>
        <v xml:space="preserve">Residential </v>
      </c>
      <c r="BA377" s="378">
        <f t="shared" ref="BA377:BA384" si="94">+BB339</f>
        <v>12936350</v>
      </c>
      <c r="BB377" s="378">
        <f>'[8]Exhibit 3 Support (2)'!$N$12*-1</f>
        <v>9976817.1699999999</v>
      </c>
      <c r="BC377" s="504">
        <f>BB377-BA377</f>
        <v>-2959532.83</v>
      </c>
      <c r="BD377" s="431">
        <f t="shared" ref="BD377:BD385" si="95">IFERROR(BC377/BA377,0)</f>
        <v>-0.22877649646152123</v>
      </c>
    </row>
    <row r="378" spans="25:56">
      <c r="AY378" s="452">
        <v>2</v>
      </c>
      <c r="AZ378" s="477" t="str">
        <f t="shared" si="93"/>
        <v>General Service
 &lt; 50 kW</v>
      </c>
      <c r="BA378" s="378">
        <f>+BB340</f>
        <v>3326127</v>
      </c>
      <c r="BB378" s="397">
        <f>'[9]Exhibit 3 Support (2)'!$N$30*-1-BB384</f>
        <v>3452031.5799999996</v>
      </c>
      <c r="BC378" s="392">
        <f t="shared" ref="BC378:BC383" si="96">BB378-BA378</f>
        <v>125904.57999999961</v>
      </c>
      <c r="BD378" s="431">
        <f t="shared" si="95"/>
        <v>3.785320885221749E-2</v>
      </c>
    </row>
    <row r="379" spans="25:56">
      <c r="AY379" s="452">
        <v>3</v>
      </c>
      <c r="AZ379" s="477" t="str">
        <f t="shared" si="93"/>
        <v>General Service
 &gt; 50 to 999 kW</v>
      </c>
      <c r="BA379" s="378">
        <f>+BB341</f>
        <v>2391885</v>
      </c>
      <c r="BB379" s="379">
        <f>'[9]Exhibit 3 Support (2)'!$N$35*-1</f>
        <v>2756484.6999999997</v>
      </c>
      <c r="BC379" s="392">
        <f t="shared" si="96"/>
        <v>364599.69999999972</v>
      </c>
      <c r="BD379" s="431">
        <f t="shared" si="95"/>
        <v>0.15243195220505992</v>
      </c>
    </row>
    <row r="380" spans="25:56">
      <c r="AY380" s="452">
        <v>4</v>
      </c>
      <c r="AZ380" s="477" t="str">
        <f t="shared" si="93"/>
        <v>General Service 
&gt; 1000 kW</v>
      </c>
      <c r="BA380" s="378">
        <f t="shared" si="94"/>
        <v>1420705</v>
      </c>
      <c r="BB380" s="379">
        <f>'[9]Exhibit 3 Support (2)'!$N$40*-1</f>
        <v>1485927.19</v>
      </c>
      <c r="BC380" s="392">
        <f t="shared" si="96"/>
        <v>65222.189999999944</v>
      </c>
      <c r="BD380" s="431">
        <f t="shared" si="95"/>
        <v>4.5908327203747393E-2</v>
      </c>
    </row>
    <row r="381" spans="25:56">
      <c r="AY381" s="452">
        <v>5</v>
      </c>
      <c r="AZ381" s="477" t="str">
        <f t="shared" si="93"/>
        <v>Large User</v>
      </c>
      <c r="BA381" s="378">
        <f t="shared" si="94"/>
        <v>0</v>
      </c>
      <c r="BB381" s="379">
        <v>0</v>
      </c>
      <c r="BC381" s="392">
        <f t="shared" si="96"/>
        <v>0</v>
      </c>
      <c r="BD381" s="431">
        <f t="shared" si="95"/>
        <v>0</v>
      </c>
    </row>
    <row r="382" spans="25:56">
      <c r="AY382" s="452">
        <v>6</v>
      </c>
      <c r="AZ382" s="477" t="str">
        <f t="shared" si="93"/>
        <v>Street Lighting</v>
      </c>
      <c r="BA382" s="378">
        <f t="shared" si="94"/>
        <v>694798</v>
      </c>
      <c r="BB382" s="379">
        <f>'[9]Exhibit 3 Support (2)'!$N$20*-1</f>
        <v>488549.24000000005</v>
      </c>
      <c r="BC382" s="504">
        <f t="shared" si="96"/>
        <v>-206248.75999999995</v>
      </c>
      <c r="BD382" s="431">
        <f t="shared" si="95"/>
        <v>-0.296847083612791</v>
      </c>
    </row>
    <row r="383" spans="25:56">
      <c r="AY383" s="452">
        <v>7</v>
      </c>
      <c r="AZ383" s="477" t="str">
        <f t="shared" si="93"/>
        <v>Sentinel Lighting</v>
      </c>
      <c r="BA383" s="378">
        <f t="shared" si="94"/>
        <v>13457</v>
      </c>
      <c r="BB383" s="379">
        <f>'[9]Exhibit 3 Support (2)'!$N$25*-1</f>
        <v>14806.31</v>
      </c>
      <c r="BC383" s="392">
        <f t="shared" si="96"/>
        <v>1349.3099999999995</v>
      </c>
      <c r="BD383" s="431">
        <f t="shared" si="95"/>
        <v>0.1002682618711451</v>
      </c>
    </row>
    <row r="384" spans="25:56">
      <c r="Y384" s="285"/>
      <c r="Z384" s="286"/>
      <c r="AA384" s="286"/>
      <c r="AB384" s="286"/>
      <c r="AC384" s="421"/>
      <c r="AY384" s="452">
        <v>8</v>
      </c>
      <c r="AZ384" s="477" t="str">
        <f t="shared" si="93"/>
        <v>Unmetered Scattered Load</v>
      </c>
      <c r="BA384" s="378">
        <f t="shared" si="94"/>
        <v>96852</v>
      </c>
      <c r="BB384" s="379">
        <v>54016.99</v>
      </c>
      <c r="BC384" s="504">
        <f>BB384-BA384</f>
        <v>-42835.01</v>
      </c>
      <c r="BD384" s="431">
        <f t="shared" si="95"/>
        <v>-0.44227284929583283</v>
      </c>
    </row>
    <row r="385" spans="25:56" ht="13.5" thickBot="1">
      <c r="AA385" s="395" t="s">
        <v>414</v>
      </c>
      <c r="AB385" s="396">
        <f>BA385-BB385+BC385</f>
        <v>3.7252902984619141E-9</v>
      </c>
      <c r="AD385" s="554" t="s">
        <v>399</v>
      </c>
      <c r="AE385" s="554"/>
      <c r="AF385" s="554"/>
      <c r="AG385" s="554"/>
      <c r="AH385" s="554"/>
      <c r="AI385" s="554"/>
      <c r="AJ385" s="554"/>
      <c r="AK385" s="554"/>
      <c r="AL385" s="554"/>
      <c r="AM385" s="554"/>
      <c r="AN385" s="554"/>
      <c r="AO385" s="554"/>
      <c r="AY385" s="452">
        <v>9</v>
      </c>
      <c r="AZ385" s="478" t="s">
        <v>12</v>
      </c>
      <c r="BA385" s="384">
        <f>SUM(BA377:BA384)</f>
        <v>20880174</v>
      </c>
      <c r="BB385" s="384">
        <f>SUM(BB377:BB384)</f>
        <v>18228633.179999996</v>
      </c>
      <c r="BC385" s="507">
        <f>SUM(BC377:BC384)</f>
        <v>-2651540.8200000003</v>
      </c>
      <c r="BD385" s="432">
        <f t="shared" si="95"/>
        <v>-0.12698844463652459</v>
      </c>
    </row>
    <row r="386" spans="25:56" ht="33" customHeight="1" thickBot="1">
      <c r="Y386" s="497" t="s">
        <v>427</v>
      </c>
      <c r="Z386" s="495">
        <v>20880175.789999999</v>
      </c>
      <c r="AA386" s="495">
        <v>18228633.359999999</v>
      </c>
      <c r="AC386" s="487" t="s">
        <v>423</v>
      </c>
      <c r="AD386" s="488" t="s">
        <v>394</v>
      </c>
      <c r="AE386" s="584" t="s">
        <v>385</v>
      </c>
      <c r="AF386" s="584"/>
      <c r="AG386" s="410" t="s">
        <v>386</v>
      </c>
      <c r="AH386" s="583" t="s">
        <v>387</v>
      </c>
      <c r="AI386" s="583"/>
      <c r="AJ386" s="584" t="s">
        <v>388</v>
      </c>
      <c r="AK386" s="584"/>
      <c r="AL386" s="584" t="s">
        <v>389</v>
      </c>
      <c r="AM386" s="584"/>
      <c r="AN386" s="584" t="s">
        <v>390</v>
      </c>
      <c r="AO386" s="585"/>
    </row>
    <row r="387" spans="25:56" ht="16.5" thickTop="1" thickBot="1">
      <c r="Y387" s="72" t="s">
        <v>426</v>
      </c>
      <c r="Z387" s="496">
        <f>BA385-Z386</f>
        <v>-1.7899999991059303</v>
      </c>
      <c r="AA387" s="496">
        <f>BB385-AA386</f>
        <v>-0.18000000342726707</v>
      </c>
      <c r="AC387" s="489">
        <v>1</v>
      </c>
      <c r="AD387" s="586" t="s">
        <v>342</v>
      </c>
      <c r="AE387" s="586"/>
      <c r="AF387" s="586"/>
      <c r="AG387" s="586"/>
      <c r="AH387" s="586"/>
      <c r="AI387" s="385" t="s">
        <v>110</v>
      </c>
      <c r="AJ387" s="386">
        <f>AK350</f>
        <v>1.0184052862834632</v>
      </c>
      <c r="AK387" s="386">
        <f>$K$108</f>
        <v>0.98287531309480569</v>
      </c>
      <c r="AL387" s="588"/>
      <c r="AM387" s="588"/>
      <c r="AN387" s="588"/>
      <c r="AO387" s="589"/>
    </row>
    <row r="388" spans="25:56" ht="13.5" thickTop="1">
      <c r="AC388" s="490">
        <v>2</v>
      </c>
      <c r="AD388" s="586"/>
      <c r="AE388" s="586"/>
      <c r="AF388" s="586"/>
      <c r="AG388" s="586"/>
      <c r="AH388" s="586"/>
      <c r="AI388" s="280" t="s">
        <v>164</v>
      </c>
      <c r="AJ388" s="279">
        <f t="shared" ref="AJ388:AJ389" si="97">AK351</f>
        <v>1.0130656438727432</v>
      </c>
      <c r="AK388" s="279">
        <f>$K$125</f>
        <v>0.98649811448216651</v>
      </c>
      <c r="AL388" s="590"/>
      <c r="AM388" s="590"/>
      <c r="AN388" s="590"/>
      <c r="AO388" s="591"/>
    </row>
    <row r="389" spans="25:56">
      <c r="AC389" s="490">
        <v>3</v>
      </c>
      <c r="AD389" s="587"/>
      <c r="AE389" s="587"/>
      <c r="AF389" s="587"/>
      <c r="AG389" s="587"/>
      <c r="AH389" s="587"/>
      <c r="AI389" s="280" t="s">
        <v>395</v>
      </c>
      <c r="AJ389" s="279">
        <f t="shared" si="97"/>
        <v>1.012046414712052</v>
      </c>
      <c r="AK389" s="279">
        <f>$K$142</f>
        <v>0.98716392521423157</v>
      </c>
      <c r="AL389" s="590"/>
      <c r="AM389" s="590"/>
      <c r="AN389" s="590"/>
      <c r="AO389" s="591"/>
    </row>
    <row r="390" spans="25:56" ht="25.5">
      <c r="AC390" s="490">
        <v>4</v>
      </c>
      <c r="AD390" s="482"/>
      <c r="AE390" s="270" t="str">
        <f>BA376</f>
        <v>2012 Actual</v>
      </c>
      <c r="AF390" s="270" t="str">
        <f>BB376</f>
        <v>2013 Actual</v>
      </c>
      <c r="AG390" s="280"/>
      <c r="AH390" s="270" t="str">
        <f>AE390</f>
        <v>2012 Actual</v>
      </c>
      <c r="AI390" s="270" t="str">
        <f>AF390</f>
        <v>2013 Actual</v>
      </c>
      <c r="AJ390" s="270" t="str">
        <f t="shared" ref="AJ390" si="98">AH390</f>
        <v>2012 Actual</v>
      </c>
      <c r="AK390" s="270" t="str">
        <f t="shared" ref="AK390" si="99">AI390</f>
        <v>2013 Actual</v>
      </c>
      <c r="AL390" s="270" t="str">
        <f t="shared" ref="AL390" si="100">AJ390</f>
        <v>2012 Actual</v>
      </c>
      <c r="AM390" s="270" t="str">
        <f t="shared" ref="AM390" si="101">AK390</f>
        <v>2013 Actual</v>
      </c>
      <c r="AN390" s="270" t="str">
        <f t="shared" ref="AN390" si="102">AL390</f>
        <v>2012 Actual</v>
      </c>
      <c r="AO390" s="387" t="str">
        <f t="shared" ref="AO390" si="103">AM390</f>
        <v>2013 Actual</v>
      </c>
    </row>
    <row r="391" spans="25:56">
      <c r="AC391" s="490">
        <v>5</v>
      </c>
      <c r="AD391" s="483" t="str">
        <f t="shared" ref="AD391:AD398" si="104">AZ377</f>
        <v xml:space="preserve">Residential </v>
      </c>
      <c r="AE391" s="249">
        <f>AF354</f>
        <v>44736.75</v>
      </c>
      <c r="AF391" s="249">
        <f>$T$295</f>
        <v>44942.416666666664</v>
      </c>
      <c r="AG391" s="278" t="s">
        <v>120</v>
      </c>
      <c r="AH391" s="278">
        <f>AI354</f>
        <v>331142424.8599996</v>
      </c>
      <c r="AI391" s="278">
        <f>$T$296</f>
        <v>341035888.63527828</v>
      </c>
      <c r="AJ391" s="278">
        <f>AH391*AJ387</f>
        <v>337237195.99014807</v>
      </c>
      <c r="AK391" s="278">
        <f>AI391/AK387</f>
        <v>346977774.38467705</v>
      </c>
      <c r="AL391" s="278">
        <f>AH391/AE391</f>
        <v>7402.0223833872506</v>
      </c>
      <c r="AM391" s="278">
        <f>AI391/AF391</f>
        <v>7588.2854979674721</v>
      </c>
      <c r="AN391" s="278">
        <f>AJ391/AE391</f>
        <v>7538.2587244300958</v>
      </c>
      <c r="AO391" s="388">
        <f>AK391/AF391</f>
        <v>7720.4965847336589</v>
      </c>
    </row>
    <row r="392" spans="25:56">
      <c r="Y392"/>
      <c r="Z392"/>
      <c r="AA392"/>
      <c r="AC392" s="490">
        <v>6</v>
      </c>
      <c r="AD392" s="483" t="str">
        <f t="shared" si="104"/>
        <v>General Service
 &lt; 50 kW</v>
      </c>
      <c r="AE392" s="249">
        <f t="shared" ref="AE392:AE398" si="105">AF355</f>
        <v>4496.916666666667</v>
      </c>
      <c r="AF392" s="249">
        <f>$T$299</f>
        <v>4527.75</v>
      </c>
      <c r="AG392" s="278" t="s">
        <v>120</v>
      </c>
      <c r="AH392" s="281">
        <f t="shared" ref="AH392:AH398" si="106">AI355</f>
        <v>133678840.49000008</v>
      </c>
      <c r="AI392" s="281">
        <f>$T$300</f>
        <v>136331185.61000001</v>
      </c>
      <c r="AJ392" s="278">
        <f t="shared" ref="AJ392:AJ393" si="107">AH392*AJ388</f>
        <v>135425440.61316368</v>
      </c>
      <c r="AK392" s="278">
        <f t="shared" ref="AK392:AK393" si="108">AI392/AK388</f>
        <v>138197107.12935635</v>
      </c>
      <c r="AL392" s="278">
        <f t="shared" ref="AL392:AL398" si="109">AH392/AE392</f>
        <v>29726.777345218037</v>
      </c>
      <c r="AM392" s="278">
        <f t="shared" ref="AM392:AM398" si="110">AI392/AF392</f>
        <v>30110.139828833308</v>
      </c>
      <c r="AN392" s="278">
        <f t="shared" ref="AN392:AN393" si="111">AJ392/AE392</f>
        <v>30115.176831494988</v>
      </c>
      <c r="AO392" s="388">
        <f t="shared" ref="AO392:AO393" si="112">AK392/AF392</f>
        <v>30522.24772334081</v>
      </c>
    </row>
    <row r="393" spans="25:56">
      <c r="Y393"/>
      <c r="Z393"/>
      <c r="AA393"/>
      <c r="AC393" s="490">
        <v>7</v>
      </c>
      <c r="AD393" s="483" t="str">
        <f t="shared" si="104"/>
        <v>General Service
 &gt; 50 to 999 kW</v>
      </c>
      <c r="AE393" s="249">
        <f t="shared" si="105"/>
        <v>513.5</v>
      </c>
      <c r="AF393" s="249">
        <f>$T$303</f>
        <v>511.58333333333331</v>
      </c>
      <c r="AG393" s="278" t="s">
        <v>391</v>
      </c>
      <c r="AH393" s="281">
        <f t="shared" si="106"/>
        <v>734173.25</v>
      </c>
      <c r="AI393" s="281">
        <f>$T$305</f>
        <v>722899.29</v>
      </c>
      <c r="AJ393" s="278">
        <f t="shared" si="107"/>
        <v>743017.40543999511</v>
      </c>
      <c r="AK393" s="278">
        <f t="shared" si="108"/>
        <v>732299.13648142933</v>
      </c>
      <c r="AL393" s="278">
        <f t="shared" si="109"/>
        <v>1429.7434274586174</v>
      </c>
      <c r="AM393" s="278">
        <f t="shared" si="110"/>
        <v>1413.0626290926862</v>
      </c>
      <c r="AN393" s="278">
        <f t="shared" si="111"/>
        <v>1446.9667097176145</v>
      </c>
      <c r="AO393" s="388">
        <f t="shared" si="112"/>
        <v>1431.4366570739783</v>
      </c>
    </row>
    <row r="394" spans="25:56">
      <c r="Y394"/>
      <c r="Z394"/>
      <c r="AA394"/>
      <c r="AC394" s="490">
        <v>8</v>
      </c>
      <c r="AD394" s="483" t="str">
        <f t="shared" si="104"/>
        <v>General Service 
&gt; 1000 kW</v>
      </c>
      <c r="AE394" s="249">
        <f t="shared" si="105"/>
        <v>19.416666666666668</v>
      </c>
      <c r="AF394" s="249">
        <f>$T$308</f>
        <v>21.083333333333332</v>
      </c>
      <c r="AG394" s="278" t="s">
        <v>391</v>
      </c>
      <c r="AH394" s="281">
        <f t="shared" si="106"/>
        <v>517091.88530000014</v>
      </c>
      <c r="AI394" s="281">
        <f>$T$310</f>
        <v>510032.45079999993</v>
      </c>
      <c r="AJ394" s="278"/>
      <c r="AK394" s="278"/>
      <c r="AL394" s="278">
        <f t="shared" si="109"/>
        <v>26631.341732188848</v>
      </c>
      <c r="AM394" s="278">
        <f t="shared" si="110"/>
        <v>24191.262488537548</v>
      </c>
      <c r="AN394" s="278"/>
      <c r="AO394" s="388"/>
    </row>
    <row r="395" spans="25:56">
      <c r="Y395"/>
      <c r="Z395"/>
      <c r="AA395"/>
      <c r="AC395" s="490">
        <v>9</v>
      </c>
      <c r="AD395" s="483" t="str">
        <f t="shared" si="104"/>
        <v>Large User</v>
      </c>
      <c r="AE395" s="249">
        <f t="shared" si="105"/>
        <v>0</v>
      </c>
      <c r="AF395" s="249">
        <f>$T$313</f>
        <v>0</v>
      </c>
      <c r="AG395" s="278" t="s">
        <v>391</v>
      </c>
      <c r="AH395" s="281">
        <f t="shared" si="106"/>
        <v>0</v>
      </c>
      <c r="AI395" s="281">
        <f>$T$315</f>
        <v>0</v>
      </c>
      <c r="AJ395" s="278"/>
      <c r="AK395" s="278"/>
      <c r="AL395" s="278" t="e">
        <f t="shared" si="109"/>
        <v>#DIV/0!</v>
      </c>
      <c r="AM395" s="278" t="e">
        <f t="shared" si="110"/>
        <v>#DIV/0!</v>
      </c>
      <c r="AN395" s="278"/>
      <c r="AO395" s="388"/>
    </row>
    <row r="396" spans="25:56">
      <c r="Y396"/>
      <c r="Z396"/>
      <c r="AA396"/>
      <c r="AC396" s="490">
        <v>10</v>
      </c>
      <c r="AD396" s="483" t="str">
        <f t="shared" si="104"/>
        <v>Street Lighting</v>
      </c>
      <c r="AE396" s="249">
        <f t="shared" si="105"/>
        <v>13172.083333333334</v>
      </c>
      <c r="AF396" s="249">
        <f>$T$318</f>
        <v>13095.333333333334</v>
      </c>
      <c r="AG396" s="278" t="s">
        <v>391</v>
      </c>
      <c r="AH396" s="281">
        <f t="shared" si="106"/>
        <v>30858.559999999998</v>
      </c>
      <c r="AI396" s="281">
        <f>$T$320</f>
        <v>29850.29</v>
      </c>
      <c r="AJ396" s="278"/>
      <c r="AK396" s="278"/>
      <c r="AL396" s="278">
        <f t="shared" si="109"/>
        <v>2.3427243222724825</v>
      </c>
      <c r="AM396" s="278">
        <f t="shared" si="110"/>
        <v>2.2794601130173597</v>
      </c>
      <c r="AN396" s="278"/>
      <c r="AO396" s="388"/>
    </row>
    <row r="397" spans="25:56" ht="13.5" thickBot="1">
      <c r="Y397"/>
      <c r="Z397"/>
      <c r="AA397"/>
      <c r="AC397" s="490">
        <v>11</v>
      </c>
      <c r="AD397" s="483" t="str">
        <f t="shared" si="104"/>
        <v>Sentinel Lighting</v>
      </c>
      <c r="AE397" s="249">
        <f t="shared" si="105"/>
        <v>167.16666666666666</v>
      </c>
      <c r="AF397" s="249">
        <f>$T$323</f>
        <v>170.83333333333334</v>
      </c>
      <c r="AG397" s="278" t="s">
        <v>391</v>
      </c>
      <c r="AH397" s="281">
        <f t="shared" si="106"/>
        <v>381.14000000000004</v>
      </c>
      <c r="AI397" s="281">
        <f>$T$325</f>
        <v>389.5</v>
      </c>
      <c r="AJ397" s="278"/>
      <c r="AK397" s="278"/>
      <c r="AL397" s="278">
        <f t="shared" si="109"/>
        <v>2.2800000000000002</v>
      </c>
      <c r="AM397" s="278">
        <f t="shared" si="110"/>
        <v>2.2799999999999998</v>
      </c>
      <c r="AN397" s="278"/>
      <c r="AO397" s="388"/>
      <c r="AZ397" s="602" t="s">
        <v>400</v>
      </c>
      <c r="BA397" s="603"/>
      <c r="BB397" s="603"/>
      <c r="BC397" s="603"/>
      <c r="BD397" s="571"/>
    </row>
    <row r="398" spans="25:56" ht="23.25" thickBot="1">
      <c r="Y398"/>
      <c r="Z398"/>
      <c r="AA398"/>
      <c r="AC398" s="490">
        <v>12</v>
      </c>
      <c r="AD398" s="483" t="str">
        <f t="shared" si="104"/>
        <v>Unmetered Scattered Load</v>
      </c>
      <c r="AE398" s="249">
        <f t="shared" si="105"/>
        <v>469.83333333333331</v>
      </c>
      <c r="AF398" s="249">
        <f>$T$328</f>
        <v>465.5</v>
      </c>
      <c r="AG398" s="278" t="s">
        <v>120</v>
      </c>
      <c r="AH398" s="281">
        <f t="shared" si="106"/>
        <v>1980462.86</v>
      </c>
      <c r="AI398" s="281">
        <f>$T$329</f>
        <v>1992260.1800000002</v>
      </c>
      <c r="AJ398" s="278"/>
      <c r="AK398" s="278"/>
      <c r="AL398" s="278">
        <f t="shared" si="109"/>
        <v>4215.2455338772616</v>
      </c>
      <c r="AM398" s="278">
        <f t="shared" si="110"/>
        <v>4279.8285284640178</v>
      </c>
      <c r="AN398" s="278"/>
      <c r="AO398" s="388"/>
      <c r="AY398" s="457" t="s">
        <v>423</v>
      </c>
      <c r="AZ398" s="475" t="s">
        <v>412</v>
      </c>
      <c r="BA398" s="376" t="s">
        <v>337</v>
      </c>
      <c r="BB398" s="377" t="s">
        <v>397</v>
      </c>
      <c r="BC398" s="506" t="s">
        <v>383</v>
      </c>
      <c r="BD398" s="420" t="s">
        <v>384</v>
      </c>
    </row>
    <row r="399" spans="25:56">
      <c r="Y399"/>
      <c r="Z399"/>
      <c r="AA399"/>
      <c r="AC399" s="490">
        <v>13</v>
      </c>
      <c r="AD399" s="483" t="s">
        <v>5</v>
      </c>
      <c r="AE399" s="249">
        <f>SUM(AE391:AE398)</f>
        <v>63575.666666666664</v>
      </c>
      <c r="AF399" s="249">
        <f>SUM(AF391:AF398)</f>
        <v>63734.500000000007</v>
      </c>
      <c r="AG399" s="278"/>
      <c r="AH399" s="281"/>
      <c r="AI399" s="281"/>
      <c r="AJ399" s="281"/>
      <c r="AK399" s="281"/>
      <c r="AL399" s="281"/>
      <c r="AM399" s="281"/>
      <c r="AN399" s="281"/>
      <c r="AO399" s="389"/>
      <c r="AY399" s="412">
        <v>1</v>
      </c>
      <c r="AZ399" s="476" t="str">
        <f t="shared" ref="AZ399:AZ406" si="113">AZ377</f>
        <v xml:space="preserve">Residential </v>
      </c>
      <c r="BA399" s="378">
        <v>10942756</v>
      </c>
      <c r="BB399" s="378">
        <f t="shared" ref="BB399:BB406" si="114">+BB377</f>
        <v>9976817.1699999999</v>
      </c>
      <c r="BC399" s="504">
        <f>BB399-BA399</f>
        <v>-965938.83000000007</v>
      </c>
      <c r="BD399" s="431">
        <f t="shared" ref="BD399:BD407" si="115">IFERROR(BC399/BA399,0)</f>
        <v>-8.8271988336393506E-2</v>
      </c>
    </row>
    <row r="400" spans="25:56">
      <c r="Y400"/>
      <c r="Z400"/>
      <c r="AA400"/>
      <c r="AC400" s="490">
        <v>14</v>
      </c>
      <c r="AD400" s="367"/>
      <c r="AE400" s="590" t="s">
        <v>392</v>
      </c>
      <c r="AF400" s="590"/>
      <c r="AG400" s="230"/>
      <c r="AH400" s="590" t="s">
        <v>392</v>
      </c>
      <c r="AI400" s="590"/>
      <c r="AJ400" s="596" t="s">
        <v>392</v>
      </c>
      <c r="AK400" s="596"/>
      <c r="AL400" s="596" t="s">
        <v>392</v>
      </c>
      <c r="AM400" s="596"/>
      <c r="AN400" s="596" t="s">
        <v>392</v>
      </c>
      <c r="AO400" s="597"/>
      <c r="AY400" s="412">
        <v>2</v>
      </c>
      <c r="AZ400" s="477" t="str">
        <f t="shared" si="113"/>
        <v>General Service
 &lt; 50 kW</v>
      </c>
      <c r="BA400" s="379">
        <v>3159862</v>
      </c>
      <c r="BB400" s="378">
        <f t="shared" si="114"/>
        <v>3452031.5799999996</v>
      </c>
      <c r="BC400" s="392">
        <f t="shared" ref="BC400:BC405" si="116">BB400-BA400</f>
        <v>292169.57999999961</v>
      </c>
      <c r="BD400" s="431">
        <f t="shared" si="115"/>
        <v>9.2462765779011746E-2</v>
      </c>
    </row>
    <row r="401" spans="25:56">
      <c r="Y401"/>
      <c r="Z401"/>
      <c r="AA401"/>
      <c r="AC401" s="490">
        <v>15</v>
      </c>
      <c r="AD401" s="484" t="str">
        <f>AD391</f>
        <v xml:space="preserve">Residential </v>
      </c>
      <c r="AE401" s="598">
        <f t="shared" ref="AE401:AE408" si="117">AF391-AE391</f>
        <v>205.66666666666424</v>
      </c>
      <c r="AF401" s="598"/>
      <c r="AG401" s="278" t="str">
        <f>AG391</f>
        <v>kWh</v>
      </c>
      <c r="AH401" s="598">
        <f>AI391-AH391</f>
        <v>9893463.7752786875</v>
      </c>
      <c r="AI401" s="598"/>
      <c r="AJ401" s="598">
        <f>AK391-AJ391</f>
        <v>9740578.394528985</v>
      </c>
      <c r="AK401" s="598"/>
      <c r="AL401" s="598">
        <f>AM391-AL391</f>
        <v>186.26311458022155</v>
      </c>
      <c r="AM401" s="598"/>
      <c r="AN401" s="598">
        <f>AO391-AN391</f>
        <v>182.23786030356314</v>
      </c>
      <c r="AO401" s="599"/>
      <c r="AQ401" s="393">
        <f>AJ401/AJ391</f>
        <v>2.8883463954591602E-2</v>
      </c>
      <c r="AY401" s="412">
        <v>3</v>
      </c>
      <c r="AZ401" s="477" t="str">
        <f t="shared" si="113"/>
        <v>General Service
 &gt; 50 to 999 kW</v>
      </c>
      <c r="BA401" s="379">
        <v>3083973</v>
      </c>
      <c r="BB401" s="378">
        <f t="shared" si="114"/>
        <v>2756484.6999999997</v>
      </c>
      <c r="BC401" s="504">
        <f t="shared" si="116"/>
        <v>-327488.30000000028</v>
      </c>
      <c r="BD401" s="431">
        <f t="shared" si="115"/>
        <v>-0.10619039142041785</v>
      </c>
    </row>
    <row r="402" spans="25:56">
      <c r="Y402"/>
      <c r="Z402"/>
      <c r="AA402"/>
      <c r="AC402" s="490">
        <v>16</v>
      </c>
      <c r="AD402" s="484" t="str">
        <f t="shared" ref="AD402:AD408" si="118">AD392</f>
        <v>General Service
 &lt; 50 kW</v>
      </c>
      <c r="AE402" s="598">
        <f t="shared" si="117"/>
        <v>30.83333333333303</v>
      </c>
      <c r="AF402" s="598"/>
      <c r="AG402" s="278" t="str">
        <f t="shared" ref="AG402:AG408" si="119">AG392</f>
        <v>kWh</v>
      </c>
      <c r="AH402" s="598">
        <f t="shared" ref="AH402:AH406" si="120">AI392-AH392</f>
        <v>2652345.1199999303</v>
      </c>
      <c r="AI402" s="598"/>
      <c r="AJ402" s="598">
        <f t="shared" ref="AJ402:AJ403" si="121">AK392-AJ392</f>
        <v>2771666.5161926746</v>
      </c>
      <c r="AK402" s="598"/>
      <c r="AL402" s="598">
        <f t="shared" ref="AL402:AL407" si="122">AM392-AL392</f>
        <v>383.36248361527032</v>
      </c>
      <c r="AM402" s="598"/>
      <c r="AN402" s="598">
        <f>AO392-AN392</f>
        <v>407.07089184582219</v>
      </c>
      <c r="AO402" s="599"/>
      <c r="AQ402" s="393">
        <f>AJ402/AJ392</f>
        <v>2.0466365135261462E-2</v>
      </c>
      <c r="AY402" s="412">
        <v>4</v>
      </c>
      <c r="AZ402" s="477" t="str">
        <f t="shared" si="113"/>
        <v>General Service 
&gt; 1000 kW</v>
      </c>
      <c r="BA402" s="379">
        <v>1563699</v>
      </c>
      <c r="BB402" s="378">
        <f t="shared" si="114"/>
        <v>1485927.19</v>
      </c>
      <c r="BC402" s="504">
        <f t="shared" si="116"/>
        <v>-77771.810000000056</v>
      </c>
      <c r="BD402" s="431">
        <f t="shared" si="115"/>
        <v>-4.9735793141774766E-2</v>
      </c>
    </row>
    <row r="403" spans="25:56">
      <c r="Y403"/>
      <c r="Z403"/>
      <c r="AA403"/>
      <c r="AC403" s="490">
        <v>17</v>
      </c>
      <c r="AD403" s="484" t="str">
        <f t="shared" si="118"/>
        <v>General Service
 &gt; 50 to 999 kW</v>
      </c>
      <c r="AE403" s="598">
        <f t="shared" si="117"/>
        <v>-1.9166666666666856</v>
      </c>
      <c r="AF403" s="598"/>
      <c r="AG403" s="278" t="str">
        <f t="shared" si="119"/>
        <v>kW</v>
      </c>
      <c r="AH403" s="598">
        <f t="shared" si="120"/>
        <v>-11273.959999999963</v>
      </c>
      <c r="AI403" s="598"/>
      <c r="AJ403" s="598">
        <f t="shared" si="121"/>
        <v>-10718.268958565779</v>
      </c>
      <c r="AK403" s="598"/>
      <c r="AL403" s="598">
        <f t="shared" si="122"/>
        <v>-16.680798365931196</v>
      </c>
      <c r="AM403" s="598"/>
      <c r="AN403" s="598">
        <f>AO393-AN393</f>
        <v>-15.530052643636282</v>
      </c>
      <c r="AO403" s="599"/>
      <c r="AY403" s="412">
        <v>5</v>
      </c>
      <c r="AZ403" s="477" t="str">
        <f t="shared" si="113"/>
        <v>Large User</v>
      </c>
      <c r="BA403" s="379">
        <v>0</v>
      </c>
      <c r="BB403" s="378">
        <f t="shared" si="114"/>
        <v>0</v>
      </c>
      <c r="BC403" s="392">
        <f t="shared" si="116"/>
        <v>0</v>
      </c>
      <c r="BD403" s="431">
        <f t="shared" si="115"/>
        <v>0</v>
      </c>
    </row>
    <row r="404" spans="25:56">
      <c r="Y404"/>
      <c r="Z404"/>
      <c r="AA404"/>
      <c r="AC404" s="490">
        <v>18</v>
      </c>
      <c r="AD404" s="484" t="str">
        <f t="shared" si="118"/>
        <v>General Service 
&gt; 1000 kW</v>
      </c>
      <c r="AE404" s="598">
        <f t="shared" si="117"/>
        <v>1.6666666666666643</v>
      </c>
      <c r="AF404" s="598"/>
      <c r="AG404" s="278" t="str">
        <f t="shared" si="119"/>
        <v>kW</v>
      </c>
      <c r="AH404" s="598">
        <f t="shared" si="120"/>
        <v>-7059.4345000002068</v>
      </c>
      <c r="AI404" s="598"/>
      <c r="AJ404" s="598"/>
      <c r="AK404" s="598"/>
      <c r="AL404" s="598">
        <f t="shared" si="122"/>
        <v>-2440.0792436513002</v>
      </c>
      <c r="AM404" s="598"/>
      <c r="AN404" s="598"/>
      <c r="AO404" s="599"/>
      <c r="AY404" s="412">
        <v>6</v>
      </c>
      <c r="AZ404" s="477" t="str">
        <f t="shared" si="113"/>
        <v>Street Lighting</v>
      </c>
      <c r="BA404" s="379">
        <v>386561</v>
      </c>
      <c r="BB404" s="378">
        <f t="shared" si="114"/>
        <v>488549.24000000005</v>
      </c>
      <c r="BC404" s="392">
        <f t="shared" si="116"/>
        <v>101988.24000000005</v>
      </c>
      <c r="BD404" s="431">
        <f t="shared" si="115"/>
        <v>0.26383478933467175</v>
      </c>
    </row>
    <row r="405" spans="25:56">
      <c r="Y405" s="277"/>
      <c r="Z405" s="277"/>
      <c r="AA405" s="277"/>
      <c r="AB405" s="277"/>
      <c r="AC405" s="490">
        <v>19</v>
      </c>
      <c r="AD405" s="484" t="str">
        <f t="shared" si="118"/>
        <v>Large User</v>
      </c>
      <c r="AE405" s="598">
        <f t="shared" si="117"/>
        <v>0</v>
      </c>
      <c r="AF405" s="598"/>
      <c r="AG405" s="278" t="str">
        <f t="shared" si="119"/>
        <v>kW</v>
      </c>
      <c r="AH405" s="598">
        <f t="shared" si="120"/>
        <v>0</v>
      </c>
      <c r="AI405" s="598"/>
      <c r="AJ405" s="598"/>
      <c r="AK405" s="598"/>
      <c r="AL405" s="598" t="e">
        <f t="shared" si="122"/>
        <v>#DIV/0!</v>
      </c>
      <c r="AM405" s="598"/>
      <c r="AN405" s="598"/>
      <c r="AO405" s="599"/>
      <c r="AY405" s="412">
        <v>7</v>
      </c>
      <c r="AZ405" s="477" t="str">
        <f t="shared" si="113"/>
        <v>Sentinel Lighting</v>
      </c>
      <c r="BA405" s="379">
        <v>15288</v>
      </c>
      <c r="BB405" s="378">
        <f t="shared" si="114"/>
        <v>14806.31</v>
      </c>
      <c r="BC405" s="504">
        <f t="shared" si="116"/>
        <v>-481.69000000000051</v>
      </c>
      <c r="BD405" s="431">
        <f t="shared" si="115"/>
        <v>-3.1507718472004217E-2</v>
      </c>
    </row>
    <row r="406" spans="25:56">
      <c r="Y406" s="277"/>
      <c r="Z406" s="277"/>
      <c r="AA406" s="277"/>
      <c r="AB406" s="277"/>
      <c r="AC406" s="490">
        <v>20</v>
      </c>
      <c r="AD406" s="484" t="str">
        <f t="shared" si="118"/>
        <v>Street Lighting</v>
      </c>
      <c r="AE406" s="598">
        <f t="shared" si="117"/>
        <v>-76.75</v>
      </c>
      <c r="AF406" s="598"/>
      <c r="AG406" s="278" t="str">
        <f t="shared" si="119"/>
        <v>kW</v>
      </c>
      <c r="AH406" s="598">
        <f t="shared" si="120"/>
        <v>-1008.2699999999968</v>
      </c>
      <c r="AI406" s="598"/>
      <c r="AJ406" s="598"/>
      <c r="AK406" s="598"/>
      <c r="AL406" s="598">
        <f t="shared" si="122"/>
        <v>-6.3264209255122772E-2</v>
      </c>
      <c r="AM406" s="598"/>
      <c r="AN406" s="598"/>
      <c r="AO406" s="599"/>
      <c r="AY406" s="412">
        <v>8</v>
      </c>
      <c r="AZ406" s="477" t="str">
        <f t="shared" si="113"/>
        <v>Unmetered Scattered Load</v>
      </c>
      <c r="BA406" s="379">
        <v>58473</v>
      </c>
      <c r="BB406" s="378">
        <f t="shared" si="114"/>
        <v>54016.99</v>
      </c>
      <c r="BC406" s="504">
        <f>BB406-BA406</f>
        <v>-4456.010000000002</v>
      </c>
      <c r="BD406" s="431">
        <f t="shared" si="115"/>
        <v>-7.6206283241838146E-2</v>
      </c>
    </row>
    <row r="407" spans="25:56" ht="13.5" thickBot="1">
      <c r="Y407" s="277"/>
      <c r="Z407" s="277"/>
      <c r="AA407" s="277"/>
      <c r="AB407" s="277"/>
      <c r="AC407" s="490">
        <v>21</v>
      </c>
      <c r="AD407" s="484" t="str">
        <f t="shared" si="118"/>
        <v>Sentinel Lighting</v>
      </c>
      <c r="AE407" s="598">
        <f t="shared" si="117"/>
        <v>3.6666666666666856</v>
      </c>
      <c r="AF407" s="598"/>
      <c r="AG407" s="278" t="str">
        <f t="shared" si="119"/>
        <v>kW</v>
      </c>
      <c r="AH407" s="598">
        <f>AI397-AH397</f>
        <v>8.3599999999999568</v>
      </c>
      <c r="AI407" s="598"/>
      <c r="AJ407" s="598"/>
      <c r="AK407" s="598"/>
      <c r="AL407" s="598">
        <f t="shared" si="122"/>
        <v>0</v>
      </c>
      <c r="AM407" s="598"/>
      <c r="AN407" s="598"/>
      <c r="AO407" s="599"/>
      <c r="AY407" s="412">
        <v>9</v>
      </c>
      <c r="AZ407" s="478" t="s">
        <v>12</v>
      </c>
      <c r="BA407" s="384">
        <f>SUM(BA399:BA406)</f>
        <v>19210612</v>
      </c>
      <c r="BB407" s="384">
        <f>SUM(BB399:BB406)</f>
        <v>18228633.179999996</v>
      </c>
      <c r="BC407" s="507">
        <f>SUM(BC399:BC406)</f>
        <v>-981978.82000000076</v>
      </c>
      <c r="BD407" s="432">
        <f t="shared" si="115"/>
        <v>-5.1116477705135097E-2</v>
      </c>
    </row>
    <row r="408" spans="25:56" ht="13.5" thickBot="1">
      <c r="AC408" s="490">
        <v>22</v>
      </c>
      <c r="AD408" s="485" t="str">
        <f t="shared" si="118"/>
        <v>Unmetered Scattered Load</v>
      </c>
      <c r="AE408" s="600">
        <f t="shared" si="117"/>
        <v>-4.3333333333333144</v>
      </c>
      <c r="AF408" s="600"/>
      <c r="AG408" s="390" t="str">
        <f t="shared" si="119"/>
        <v>kWh</v>
      </c>
      <c r="AH408" s="600">
        <f>AI398-AH398</f>
        <v>11797.320000000065</v>
      </c>
      <c r="AI408" s="600"/>
      <c r="AJ408" s="600"/>
      <c r="AK408" s="600"/>
      <c r="AL408" s="600">
        <f>AM398-AL398</f>
        <v>64.582994586756286</v>
      </c>
      <c r="AM408" s="600"/>
      <c r="AN408" s="600"/>
      <c r="AO408" s="601"/>
    </row>
    <row r="421" spans="24:56">
      <c r="Y421" s="285"/>
      <c r="Z421" s="286"/>
      <c r="AA421" s="286"/>
      <c r="AB421" s="286"/>
      <c r="AC421" s="421"/>
    </row>
    <row r="422" spans="24:56" ht="13.5" thickBot="1">
      <c r="AA422" s="395" t="s">
        <v>414</v>
      </c>
      <c r="AB422" s="396">
        <f>BA407-BB407+BC407</f>
        <v>3.2596290111541748E-9</v>
      </c>
      <c r="AD422" s="540" t="s">
        <v>401</v>
      </c>
      <c r="AE422" s="540"/>
      <c r="AF422" s="540"/>
      <c r="AG422" s="540"/>
      <c r="AH422" s="540"/>
      <c r="AI422" s="540"/>
      <c r="AJ422" s="540"/>
      <c r="AK422" s="540"/>
      <c r="AL422" s="540"/>
      <c r="AM422" s="540"/>
      <c r="AN422" s="540"/>
      <c r="AO422" s="540"/>
    </row>
    <row r="423" spans="24:56" ht="36.75" customHeight="1" thickBot="1">
      <c r="Y423" s="497" t="s">
        <v>427</v>
      </c>
      <c r="Z423" s="500">
        <f>+'[10]O1 Revenue to cost|RR'!$C$23</f>
        <v>19210612.922063187</v>
      </c>
      <c r="AA423" s="495">
        <v>18228633</v>
      </c>
      <c r="AC423" s="486" t="s">
        <v>423</v>
      </c>
      <c r="AD423" s="481" t="s">
        <v>394</v>
      </c>
      <c r="AE423" s="584" t="s">
        <v>385</v>
      </c>
      <c r="AF423" s="584"/>
      <c r="AG423" s="391" t="s">
        <v>386</v>
      </c>
      <c r="AH423" s="583" t="s">
        <v>387</v>
      </c>
      <c r="AI423" s="583"/>
      <c r="AJ423" s="584" t="s">
        <v>388</v>
      </c>
      <c r="AK423" s="584"/>
      <c r="AL423" s="584" t="s">
        <v>389</v>
      </c>
      <c r="AM423" s="584"/>
      <c r="AN423" s="584" t="s">
        <v>390</v>
      </c>
      <c r="AO423" s="585"/>
    </row>
    <row r="424" spans="24:56" ht="16.5" thickTop="1" thickBot="1">
      <c r="Y424" s="72" t="s">
        <v>426</v>
      </c>
      <c r="Z424" s="496">
        <f>BA407-Z423</f>
        <v>-0.9220631867647171</v>
      </c>
      <c r="AA424" s="496">
        <f>BB407-AA423</f>
        <v>0.17999999597668648</v>
      </c>
      <c r="AC424" s="491">
        <v>1</v>
      </c>
      <c r="AD424" s="586" t="s">
        <v>342</v>
      </c>
      <c r="AE424" s="586"/>
      <c r="AF424" s="586"/>
      <c r="AG424" s="586"/>
      <c r="AH424" s="586"/>
      <c r="AI424" s="385" t="s">
        <v>110</v>
      </c>
      <c r="AJ424" s="386">
        <v>1</v>
      </c>
      <c r="AK424" s="386">
        <f>$K$108</f>
        <v>0.98287531309480569</v>
      </c>
      <c r="AL424" s="588"/>
      <c r="AM424" s="588"/>
      <c r="AN424" s="588"/>
      <c r="AO424" s="589"/>
    </row>
    <row r="425" spans="24:56" ht="13.5" thickTop="1">
      <c r="AC425" s="491">
        <v>2</v>
      </c>
      <c r="AD425" s="586"/>
      <c r="AE425" s="586"/>
      <c r="AF425" s="586"/>
      <c r="AG425" s="586"/>
      <c r="AH425" s="586"/>
      <c r="AI425" s="280" t="s">
        <v>164</v>
      </c>
      <c r="AJ425" s="279">
        <v>1</v>
      </c>
      <c r="AK425" s="279">
        <f>$K$125</f>
        <v>0.98649811448216651</v>
      </c>
      <c r="AL425" s="590"/>
      <c r="AM425" s="590"/>
      <c r="AN425" s="590"/>
      <c r="AO425" s="591"/>
    </row>
    <row r="426" spans="24:56">
      <c r="AC426" s="491">
        <v>3</v>
      </c>
      <c r="AD426" s="587"/>
      <c r="AE426" s="587"/>
      <c r="AF426" s="587"/>
      <c r="AG426" s="587"/>
      <c r="AH426" s="587"/>
      <c r="AI426" s="280" t="s">
        <v>395</v>
      </c>
      <c r="AJ426" s="279">
        <v>1</v>
      </c>
      <c r="AK426" s="279">
        <f>$K$142</f>
        <v>0.98716392521423157</v>
      </c>
      <c r="AL426" s="590"/>
      <c r="AM426" s="590"/>
      <c r="AN426" s="590"/>
      <c r="AO426" s="591"/>
    </row>
    <row r="427" spans="24:56" ht="38.25">
      <c r="X427"/>
      <c r="Y427"/>
      <c r="Z427"/>
      <c r="AA427"/>
      <c r="AB427"/>
      <c r="AC427" s="491">
        <v>4</v>
      </c>
      <c r="AD427" s="482"/>
      <c r="AE427" s="270" t="str">
        <f>BA398</f>
        <v>2013 Board Approved</v>
      </c>
      <c r="AF427" s="270" t="str">
        <f>BB398</f>
        <v>2013 Actual</v>
      </c>
      <c r="AG427" s="280"/>
      <c r="AH427" s="270" t="str">
        <f>AE427</f>
        <v>2013 Board Approved</v>
      </c>
      <c r="AI427" s="270" t="str">
        <f>AF427</f>
        <v>2013 Actual</v>
      </c>
      <c r="AJ427" s="270" t="str">
        <f t="shared" ref="AJ427" si="123">AH427</f>
        <v>2013 Board Approved</v>
      </c>
      <c r="AK427" s="270" t="str">
        <f t="shared" ref="AK427" si="124">AI427</f>
        <v>2013 Actual</v>
      </c>
      <c r="AL427" s="270" t="str">
        <f t="shared" ref="AL427" si="125">AJ427</f>
        <v>2013 Board Approved</v>
      </c>
      <c r="AM427" s="270" t="str">
        <f t="shared" ref="AM427" si="126">AK427</f>
        <v>2013 Actual</v>
      </c>
      <c r="AN427" s="270" t="str">
        <f t="shared" ref="AN427" si="127">AL427</f>
        <v>2013 Board Approved</v>
      </c>
      <c r="AO427" s="387" t="str">
        <f t="shared" ref="AO427" si="128">AM427</f>
        <v>2013 Actual</v>
      </c>
    </row>
    <row r="428" spans="24:56">
      <c r="X428"/>
      <c r="Y428"/>
      <c r="Z428"/>
      <c r="AA428"/>
      <c r="AB428"/>
      <c r="AC428" s="491">
        <v>5</v>
      </c>
      <c r="AD428" s="483" t="str">
        <f t="shared" ref="AD428:AD435" si="129">AZ399</f>
        <v xml:space="preserve">Residential </v>
      </c>
      <c r="AE428" s="249">
        <f>$S$295</f>
        <v>44881.009746844953</v>
      </c>
      <c r="AF428" s="249">
        <f>$T$295</f>
        <v>44942.416666666664</v>
      </c>
      <c r="AG428" s="278" t="s">
        <v>120</v>
      </c>
      <c r="AH428" s="278">
        <f>$S$296</f>
        <v>339721062.06603348</v>
      </c>
      <c r="AI428" s="278">
        <f>$T$296</f>
        <v>341035888.63527828</v>
      </c>
      <c r="AJ428" s="278">
        <f>AH428*AJ424</f>
        <v>339721062.06603348</v>
      </c>
      <c r="AK428" s="278">
        <f>AI428/AK424</f>
        <v>346977774.38467705</v>
      </c>
      <c r="AL428" s="278">
        <f>AH428/AE428</f>
        <v>7569.3720792437207</v>
      </c>
      <c r="AM428" s="278">
        <f>AI428/AF428</f>
        <v>7588.2854979674721</v>
      </c>
      <c r="AN428" s="278">
        <f>AJ428/AE428</f>
        <v>7569.3720792437207</v>
      </c>
      <c r="AO428" s="388">
        <f>AK428/AF428</f>
        <v>7720.4965847336589</v>
      </c>
    </row>
    <row r="429" spans="24:56">
      <c r="X429"/>
      <c r="Y429"/>
      <c r="Z429"/>
      <c r="AA429"/>
      <c r="AB429"/>
      <c r="AC429" s="491">
        <v>6</v>
      </c>
      <c r="AD429" s="483" t="str">
        <f t="shared" si="129"/>
        <v>General Service
 &lt; 50 kW</v>
      </c>
      <c r="AE429" s="249">
        <f>$S$299</f>
        <v>4491.6613249112725</v>
      </c>
      <c r="AF429" s="249">
        <f>$T$299</f>
        <v>4527.75</v>
      </c>
      <c r="AG429" s="278" t="s">
        <v>120</v>
      </c>
      <c r="AH429" s="281">
        <f>$S$300</f>
        <v>131404393.92510152</v>
      </c>
      <c r="AI429" s="281">
        <f>$T$300</f>
        <v>136331185.61000001</v>
      </c>
      <c r="AJ429" s="278">
        <f t="shared" ref="AJ429:AJ430" si="130">AH429*AJ425</f>
        <v>131404393.92510152</v>
      </c>
      <c r="AK429" s="278">
        <f t="shared" ref="AK429:AK430" si="131">AI429/AK425</f>
        <v>138197107.12935635</v>
      </c>
      <c r="AL429" s="278">
        <f t="shared" ref="AL429:AL435" si="132">AH429/AE429</f>
        <v>29255.187428383699</v>
      </c>
      <c r="AM429" s="278">
        <f t="shared" ref="AM429:AM435" si="133">AI429/AF429</f>
        <v>30110.139828833308</v>
      </c>
      <c r="AN429" s="278">
        <f t="shared" ref="AN429:AN430" si="134">AJ429/AE429</f>
        <v>29255.187428383699</v>
      </c>
      <c r="AO429" s="388">
        <f t="shared" ref="AO429:AO430" si="135">AK429/AF429</f>
        <v>30522.24772334081</v>
      </c>
    </row>
    <row r="430" spans="24:56">
      <c r="X430"/>
      <c r="Y430"/>
      <c r="Z430"/>
      <c r="AA430"/>
      <c r="AB430"/>
      <c r="AC430" s="491">
        <v>7</v>
      </c>
      <c r="AD430" s="483" t="str">
        <f t="shared" si="129"/>
        <v>General Service
 &gt; 50 to 999 kW</v>
      </c>
      <c r="AE430" s="249">
        <f>$S$303</f>
        <v>514.84096429896726</v>
      </c>
      <c r="AF430" s="249">
        <f>$T$303</f>
        <v>511.58333333333331</v>
      </c>
      <c r="AG430" s="278" t="s">
        <v>391</v>
      </c>
      <c r="AH430" s="281">
        <f>$S$305</f>
        <v>783588.88270761597</v>
      </c>
      <c r="AI430" s="281">
        <f>$T$305</f>
        <v>722899.29</v>
      </c>
      <c r="AJ430" s="278">
        <f t="shared" si="130"/>
        <v>783588.88270761597</v>
      </c>
      <c r="AK430" s="278">
        <f t="shared" si="131"/>
        <v>732299.13648142933</v>
      </c>
      <c r="AL430" s="278">
        <f t="shared" si="132"/>
        <v>1522.0018161814087</v>
      </c>
      <c r="AM430" s="278">
        <f t="shared" si="133"/>
        <v>1413.0626290926862</v>
      </c>
      <c r="AN430" s="278">
        <f t="shared" si="134"/>
        <v>1522.0018161814087</v>
      </c>
      <c r="AO430" s="388">
        <f t="shared" si="135"/>
        <v>1431.4366570739783</v>
      </c>
    </row>
    <row r="431" spans="24:56">
      <c r="X431"/>
      <c r="Y431"/>
      <c r="Z431"/>
      <c r="AA431"/>
      <c r="AB431"/>
      <c r="AC431" s="491">
        <v>8</v>
      </c>
      <c r="AD431" s="483" t="str">
        <f t="shared" si="129"/>
        <v>General Service 
&gt; 1000 kW</v>
      </c>
      <c r="AE431" s="249">
        <f>$S$308</f>
        <v>19.000000000000004</v>
      </c>
      <c r="AF431" s="249">
        <f>$T$308</f>
        <v>21.083333333333332</v>
      </c>
      <c r="AG431" s="278" t="s">
        <v>391</v>
      </c>
      <c r="AH431" s="281">
        <f>$S$310</f>
        <v>568916.77287365973</v>
      </c>
      <c r="AI431" s="281">
        <f>$T$310</f>
        <v>510032.45079999993</v>
      </c>
      <c r="AJ431" s="278"/>
      <c r="AK431" s="278"/>
      <c r="AL431" s="278">
        <f t="shared" si="132"/>
        <v>29942.988045982085</v>
      </c>
      <c r="AM431" s="278">
        <f t="shared" si="133"/>
        <v>24191.262488537548</v>
      </c>
      <c r="AN431" s="278"/>
      <c r="AO431" s="388"/>
      <c r="AY431" s="508"/>
      <c r="AZ431" s="503"/>
      <c r="BA431" s="503"/>
      <c r="BB431" s="503"/>
      <c r="BC431" s="503"/>
      <c r="BD431" s="277"/>
    </row>
    <row r="432" spans="24:56" ht="13.5" thickBot="1">
      <c r="X432"/>
      <c r="Y432"/>
      <c r="Z432"/>
      <c r="AA432"/>
      <c r="AB432"/>
      <c r="AC432" s="491">
        <v>9</v>
      </c>
      <c r="AD432" s="483" t="str">
        <f t="shared" si="129"/>
        <v>Large User</v>
      </c>
      <c r="AE432" s="249">
        <f>$S$313</f>
        <v>0</v>
      </c>
      <c r="AF432" s="249">
        <f>$T$313</f>
        <v>0</v>
      </c>
      <c r="AG432" s="278" t="s">
        <v>391</v>
      </c>
      <c r="AH432" s="281">
        <f>$S$315</f>
        <v>0</v>
      </c>
      <c r="AI432" s="281">
        <f>$T$315</f>
        <v>0</v>
      </c>
      <c r="AJ432" s="278"/>
      <c r="AK432" s="278"/>
      <c r="AL432" s="278"/>
      <c r="AM432" s="278" t="e">
        <f t="shared" si="133"/>
        <v>#DIV/0!</v>
      </c>
      <c r="AN432" s="278"/>
      <c r="AO432" s="388"/>
      <c r="AY432" s="407" t="s">
        <v>402</v>
      </c>
      <c r="AZ432" s="408"/>
      <c r="BA432" s="408"/>
      <c r="BB432" s="408"/>
      <c r="BC432" s="409"/>
    </row>
    <row r="433" spans="24:56" ht="13.5" thickBot="1">
      <c r="X433"/>
      <c r="Y433"/>
      <c r="Z433"/>
      <c r="AA433"/>
      <c r="AB433"/>
      <c r="AC433" s="491">
        <v>10</v>
      </c>
      <c r="AD433" s="483" t="str">
        <f t="shared" si="129"/>
        <v>Street Lighting</v>
      </c>
      <c r="AE433" s="249">
        <f>$S$318</f>
        <v>13216.809308754411</v>
      </c>
      <c r="AF433" s="249">
        <f>$T$318</f>
        <v>13095.333333333334</v>
      </c>
      <c r="AG433" s="278" t="s">
        <v>391</v>
      </c>
      <c r="AH433" s="281">
        <f>$S$320</f>
        <v>31502.017268989308</v>
      </c>
      <c r="AI433" s="281">
        <f>$T$320</f>
        <v>29850.29</v>
      </c>
      <c r="AJ433" s="278"/>
      <c r="AK433" s="278"/>
      <c r="AL433" s="278">
        <f t="shared" si="132"/>
        <v>2.3834812573200503</v>
      </c>
      <c r="AM433" s="278">
        <f t="shared" si="133"/>
        <v>2.2794601130173597</v>
      </c>
      <c r="AN433" s="278"/>
      <c r="AO433" s="388"/>
      <c r="AY433" s="457" t="s">
        <v>423</v>
      </c>
      <c r="AZ433" s="375" t="s">
        <v>412</v>
      </c>
      <c r="BA433" s="376" t="s">
        <v>397</v>
      </c>
      <c r="BB433" s="377" t="s">
        <v>403</v>
      </c>
      <c r="BC433" s="377" t="s">
        <v>383</v>
      </c>
      <c r="BD433" s="420" t="s">
        <v>384</v>
      </c>
    </row>
    <row r="434" spans="24:56">
      <c r="X434"/>
      <c r="Y434"/>
      <c r="Z434"/>
      <c r="AA434"/>
      <c r="AB434"/>
      <c r="AC434" s="491">
        <v>11</v>
      </c>
      <c r="AD434" s="483" t="str">
        <f t="shared" si="129"/>
        <v>Sentinel Lighting</v>
      </c>
      <c r="AE434" s="249">
        <f>$S$323</f>
        <v>168.67175619551304</v>
      </c>
      <c r="AF434" s="249">
        <f>$T$323</f>
        <v>170.83333333333334</v>
      </c>
      <c r="AG434" s="278" t="s">
        <v>391</v>
      </c>
      <c r="AH434" s="281">
        <f>$S$325</f>
        <v>340.22969839309201</v>
      </c>
      <c r="AI434" s="281">
        <f>$T$325</f>
        <v>389.5</v>
      </c>
      <c r="AJ434" s="278"/>
      <c r="AK434" s="278"/>
      <c r="AL434" s="278">
        <f t="shared" si="132"/>
        <v>2.0171112583823487</v>
      </c>
      <c r="AM434" s="278">
        <f t="shared" si="133"/>
        <v>2.2799999999999998</v>
      </c>
      <c r="AN434" s="278"/>
      <c r="AO434" s="388"/>
      <c r="AY434" s="501">
        <v>1</v>
      </c>
      <c r="AZ434" s="381" t="str">
        <f t="shared" ref="AZ434:AZ441" si="136">AZ399</f>
        <v xml:space="preserve">Residential </v>
      </c>
      <c r="BA434" s="378">
        <f>+BB399</f>
        <v>9976817.1699999999</v>
      </c>
      <c r="BB434" s="378">
        <f>'[9]Exhibit 3 Support (2)'!$M$12*-1</f>
        <v>10735425.589999998</v>
      </c>
      <c r="BC434" s="392">
        <f t="shared" ref="BC434:BC441" si="137">BB434-BA434</f>
        <v>758608.41999999806</v>
      </c>
      <c r="BD434" s="431">
        <f t="shared" ref="BD434:BD442" si="138">IFERROR(BC434/BA434,0)</f>
        <v>7.603711755700121E-2</v>
      </c>
    </row>
    <row r="435" spans="24:56">
      <c r="X435"/>
      <c r="Y435"/>
      <c r="Z435"/>
      <c r="AA435"/>
      <c r="AB435"/>
      <c r="AC435" s="491">
        <v>12</v>
      </c>
      <c r="AD435" s="483" t="str">
        <f t="shared" si="129"/>
        <v>Unmetered Scattered Load</v>
      </c>
      <c r="AE435" s="249">
        <f>$S$328</f>
        <v>475.32528689516721</v>
      </c>
      <c r="AF435" s="249">
        <f>$T$328</f>
        <v>465.5</v>
      </c>
      <c r="AG435" s="278" t="s">
        <v>120</v>
      </c>
      <c r="AH435" s="281">
        <f t="shared" ref="AH435" si="139">AI398</f>
        <v>1992260.1800000002</v>
      </c>
      <c r="AI435" s="281">
        <f>$T$329</f>
        <v>1992260.1800000002</v>
      </c>
      <c r="AJ435" s="278"/>
      <c r="AK435" s="278"/>
      <c r="AL435" s="278">
        <f t="shared" si="132"/>
        <v>4191.3616525926427</v>
      </c>
      <c r="AM435" s="278">
        <f t="shared" si="133"/>
        <v>4279.8285284640178</v>
      </c>
      <c r="AN435" s="278"/>
      <c r="AO435" s="388"/>
      <c r="AY435" s="501">
        <v>2</v>
      </c>
      <c r="AZ435" s="382" t="str">
        <f t="shared" si="136"/>
        <v>General Service
 &lt; 50 kW</v>
      </c>
      <c r="BA435" s="378">
        <f>+BB400</f>
        <v>3452031.5799999996</v>
      </c>
      <c r="BB435" s="378">
        <f>'[9]Exhibit 3 Support (2)'!$M$30*-1-BB441</f>
        <v>3397790.59</v>
      </c>
      <c r="BC435" s="504">
        <f t="shared" si="137"/>
        <v>-54240.989999999758</v>
      </c>
      <c r="BD435" s="431">
        <f t="shared" si="138"/>
        <v>-1.571277340400222E-2</v>
      </c>
    </row>
    <row r="436" spans="24:56">
      <c r="X436"/>
      <c r="Y436"/>
      <c r="Z436"/>
      <c r="AA436"/>
      <c r="AB436"/>
      <c r="AC436" s="491">
        <v>13</v>
      </c>
      <c r="AD436" s="483" t="s">
        <v>5</v>
      </c>
      <c r="AE436" s="249">
        <f>SUM(AE428:AE435)</f>
        <v>63767.318387900283</v>
      </c>
      <c r="AF436" s="249">
        <f>SUM(AF428:AF435)</f>
        <v>63734.500000000007</v>
      </c>
      <c r="AG436" s="278"/>
      <c r="AH436" s="281"/>
      <c r="AI436" s="281"/>
      <c r="AJ436" s="281"/>
      <c r="AK436" s="281"/>
      <c r="AL436" s="281"/>
      <c r="AM436" s="281"/>
      <c r="AN436" s="281"/>
      <c r="AO436" s="389"/>
      <c r="AY436" s="501">
        <v>3</v>
      </c>
      <c r="AZ436" s="382" t="str">
        <f t="shared" si="136"/>
        <v>General Service
 &gt; 50 to 999 kW</v>
      </c>
      <c r="BA436" s="378">
        <f>-'[8]Exhibit 3 Support (2)'!$N$35</f>
        <v>2756484.6999999997</v>
      </c>
      <c r="BB436" s="379">
        <f>'[9]Exhibit 3 Support (2)'!$M$35*-1</f>
        <v>2903420.02</v>
      </c>
      <c r="BC436" s="392">
        <f>BB436-AY431</f>
        <v>2903420.02</v>
      </c>
      <c r="BD436" s="431">
        <f>IFERROR(BC436/AY431,0)</f>
        <v>0</v>
      </c>
    </row>
    <row r="437" spans="24:56">
      <c r="X437"/>
      <c r="Y437"/>
      <c r="Z437"/>
      <c r="AA437"/>
      <c r="AB437"/>
      <c r="AC437" s="491">
        <v>14</v>
      </c>
      <c r="AD437" s="367"/>
      <c r="AE437" s="590" t="s">
        <v>392</v>
      </c>
      <c r="AF437" s="590"/>
      <c r="AG437" s="230"/>
      <c r="AH437" s="590" t="s">
        <v>392</v>
      </c>
      <c r="AI437" s="590"/>
      <c r="AJ437" s="596" t="s">
        <v>392</v>
      </c>
      <c r="AK437" s="596"/>
      <c r="AL437" s="596" t="s">
        <v>392</v>
      </c>
      <c r="AM437" s="596"/>
      <c r="AN437" s="596" t="s">
        <v>392</v>
      </c>
      <c r="AO437" s="597"/>
      <c r="AY437" s="501">
        <v>4</v>
      </c>
      <c r="AZ437" s="382" t="str">
        <f t="shared" si="136"/>
        <v>General Service 
&gt; 1000 kW</v>
      </c>
      <c r="BA437" s="378">
        <f>+BB402</f>
        <v>1485927.19</v>
      </c>
      <c r="BB437" s="379">
        <f>'[9]Exhibit 3 Support (2)'!$M$40*-1</f>
        <v>1548554.02</v>
      </c>
      <c r="BC437" s="392">
        <f t="shared" si="137"/>
        <v>62626.830000000075</v>
      </c>
      <c r="BD437" s="431">
        <f t="shared" si="138"/>
        <v>4.2146634385228574E-2</v>
      </c>
    </row>
    <row r="438" spans="24:56">
      <c r="X438"/>
      <c r="Y438"/>
      <c r="Z438"/>
      <c r="AA438"/>
      <c r="AB438"/>
      <c r="AC438" s="491">
        <v>15</v>
      </c>
      <c r="AD438" s="484" t="str">
        <f>AD428</f>
        <v xml:space="preserve">Residential </v>
      </c>
      <c r="AE438" s="598">
        <f t="shared" ref="AE438:AE445" si="140">AF428-AE428</f>
        <v>61.406919821711199</v>
      </c>
      <c r="AF438" s="598"/>
      <c r="AG438" s="278" t="str">
        <f>AG428</f>
        <v>kWh</v>
      </c>
      <c r="AH438" s="598">
        <f>AI428-AH428</f>
        <v>1314826.569244802</v>
      </c>
      <c r="AI438" s="598"/>
      <c r="AJ438" s="598">
        <f>AK428-AJ428</f>
        <v>7256712.3186435699</v>
      </c>
      <c r="AK438" s="598"/>
      <c r="AL438" s="598">
        <f>AM428-AL428</f>
        <v>18.91341872375142</v>
      </c>
      <c r="AM438" s="598"/>
      <c r="AN438" s="598">
        <f>AO428-AN428</f>
        <v>151.1245054899382</v>
      </c>
      <c r="AO438" s="599"/>
      <c r="AQ438" s="393">
        <f>AJ438/AJ428</f>
        <v>2.1360796043999892E-2</v>
      </c>
      <c r="AY438" s="501">
        <v>5</v>
      </c>
      <c r="AZ438" s="382" t="str">
        <f t="shared" si="136"/>
        <v>Large User</v>
      </c>
      <c r="BA438" s="378">
        <f>+BB403</f>
        <v>0</v>
      </c>
      <c r="BB438" s="379">
        <v>0</v>
      </c>
      <c r="BC438" s="392">
        <f t="shared" si="137"/>
        <v>0</v>
      </c>
      <c r="BD438" s="431">
        <f t="shared" si="138"/>
        <v>0</v>
      </c>
    </row>
    <row r="439" spans="24:56">
      <c r="X439"/>
      <c r="Y439"/>
      <c r="Z439"/>
      <c r="AA439"/>
      <c r="AB439"/>
      <c r="AC439" s="491">
        <v>16</v>
      </c>
      <c r="AD439" s="484" t="str">
        <f t="shared" ref="AD439:AD445" si="141">AD429</f>
        <v>General Service
 &lt; 50 kW</v>
      </c>
      <c r="AE439" s="598">
        <f t="shared" si="140"/>
        <v>36.088675088727541</v>
      </c>
      <c r="AF439" s="598"/>
      <c r="AG439" s="278" t="str">
        <f t="shared" ref="AG439:AG445" si="142">AG429</f>
        <v>kWh</v>
      </c>
      <c r="AH439" s="598">
        <f t="shared" ref="AH439:AH443" si="143">AI429-AH429</f>
        <v>4926791.6848984957</v>
      </c>
      <c r="AI439" s="598"/>
      <c r="AJ439" s="598">
        <f t="shared" ref="AJ439:AJ440" si="144">AK429-AJ429</f>
        <v>6792713.2042548358</v>
      </c>
      <c r="AK439" s="598"/>
      <c r="AL439" s="598">
        <f t="shared" ref="AL439:AL444" si="145">AM429-AL429</f>
        <v>854.95240044960883</v>
      </c>
      <c r="AM439" s="598"/>
      <c r="AN439" s="598">
        <f>AO429-AN429</f>
        <v>1267.0602949571112</v>
      </c>
      <c r="AO439" s="599"/>
      <c r="AQ439" s="393">
        <f>AJ439/AJ429</f>
        <v>5.1693196866206603E-2</v>
      </c>
      <c r="AY439" s="501">
        <v>6</v>
      </c>
      <c r="AZ439" s="382" t="str">
        <f t="shared" si="136"/>
        <v>Street Lighting</v>
      </c>
      <c r="BA439" s="378">
        <f>+BB404</f>
        <v>488549.24000000005</v>
      </c>
      <c r="BB439" s="379">
        <f>'[9]Exhibit 3 Support (2)'!$M$20*-1</f>
        <v>375337.86</v>
      </c>
      <c r="BC439" s="504">
        <f t="shared" si="137"/>
        <v>-113211.38000000006</v>
      </c>
      <c r="BD439" s="431">
        <f t="shared" si="138"/>
        <v>-0.23172972288320426</v>
      </c>
    </row>
    <row r="440" spans="24:56">
      <c r="X440"/>
      <c r="Y440"/>
      <c r="Z440"/>
      <c r="AA440"/>
      <c r="AB440"/>
      <c r="AC440" s="491">
        <v>17</v>
      </c>
      <c r="AD440" s="484" t="str">
        <f t="shared" si="141"/>
        <v>General Service
 &gt; 50 to 999 kW</v>
      </c>
      <c r="AE440" s="598">
        <f t="shared" si="140"/>
        <v>-3.2576309656339504</v>
      </c>
      <c r="AF440" s="598"/>
      <c r="AG440" s="278" t="str">
        <f t="shared" si="142"/>
        <v>kW</v>
      </c>
      <c r="AH440" s="598">
        <f t="shared" si="143"/>
        <v>-60689.592707615928</v>
      </c>
      <c r="AI440" s="598"/>
      <c r="AJ440" s="598">
        <f t="shared" si="144"/>
        <v>-51289.746226186631</v>
      </c>
      <c r="AK440" s="598"/>
      <c r="AL440" s="598">
        <f t="shared" si="145"/>
        <v>-108.93918708872252</v>
      </c>
      <c r="AM440" s="598"/>
      <c r="AN440" s="598">
        <f>AO430-AN430</f>
        <v>-90.565159107430418</v>
      </c>
      <c r="AO440" s="599"/>
      <c r="AY440" s="501">
        <v>7</v>
      </c>
      <c r="AZ440" s="382" t="str">
        <f t="shared" si="136"/>
        <v>Sentinel Lighting</v>
      </c>
      <c r="BA440" s="378">
        <f>+BB405</f>
        <v>14806.31</v>
      </c>
      <c r="BB440" s="379">
        <f>'[9]Exhibit 3 Support (2)'!$M$25*-1</f>
        <v>14794.84</v>
      </c>
      <c r="BC440" s="504">
        <f t="shared" si="137"/>
        <v>-11.469999999999345</v>
      </c>
      <c r="BD440" s="431">
        <f t="shared" si="138"/>
        <v>-7.7466971851861436E-4</v>
      </c>
    </row>
    <row r="441" spans="24:56">
      <c r="X441"/>
      <c r="Y441"/>
      <c r="Z441"/>
      <c r="AA441"/>
      <c r="AB441"/>
      <c r="AC441" s="491">
        <v>18</v>
      </c>
      <c r="AD441" s="484" t="str">
        <f t="shared" si="141"/>
        <v>General Service 
&gt; 1000 kW</v>
      </c>
      <c r="AE441" s="598">
        <f t="shared" si="140"/>
        <v>2.0833333333333286</v>
      </c>
      <c r="AF441" s="598"/>
      <c r="AG441" s="278" t="str">
        <f t="shared" si="142"/>
        <v>kW</v>
      </c>
      <c r="AH441" s="598">
        <f t="shared" si="143"/>
        <v>-58884.322073659801</v>
      </c>
      <c r="AI441" s="598"/>
      <c r="AJ441" s="598"/>
      <c r="AK441" s="598"/>
      <c r="AL441" s="598">
        <f t="shared" si="145"/>
        <v>-5751.7255574445371</v>
      </c>
      <c r="AM441" s="598"/>
      <c r="AN441" s="598"/>
      <c r="AO441" s="599"/>
      <c r="AY441" s="501">
        <v>8</v>
      </c>
      <c r="AZ441" s="382" t="str">
        <f t="shared" si="136"/>
        <v>Unmetered Scattered Load</v>
      </c>
      <c r="BA441" s="378">
        <f>+BB406</f>
        <v>54016.99</v>
      </c>
      <c r="BB441" s="379">
        <v>57521.35</v>
      </c>
      <c r="BC441" s="392">
        <f t="shared" si="137"/>
        <v>3504.3600000000006</v>
      </c>
      <c r="BD441" s="431">
        <f t="shared" si="138"/>
        <v>6.4875143913054031E-2</v>
      </c>
    </row>
    <row r="442" spans="24:56" ht="13.5" thickBot="1">
      <c r="Y442" s="277"/>
      <c r="Z442" s="277"/>
      <c r="AA442" s="277"/>
      <c r="AB442" s="277"/>
      <c r="AC442" s="491">
        <v>19</v>
      </c>
      <c r="AD442" s="484" t="str">
        <f t="shared" si="141"/>
        <v>Large User</v>
      </c>
      <c r="AE442" s="598">
        <f t="shared" si="140"/>
        <v>0</v>
      </c>
      <c r="AF442" s="598"/>
      <c r="AG442" s="278" t="str">
        <f t="shared" si="142"/>
        <v>kW</v>
      </c>
      <c r="AH442" s="598">
        <f t="shared" si="143"/>
        <v>0</v>
      </c>
      <c r="AI442" s="598"/>
      <c r="AJ442" s="598"/>
      <c r="AK442" s="598"/>
      <c r="AL442" s="598" t="e">
        <f t="shared" si="145"/>
        <v>#DIV/0!</v>
      </c>
      <c r="AM442" s="598"/>
      <c r="AN442" s="598"/>
      <c r="AO442" s="599"/>
      <c r="AY442" s="501">
        <v>9</v>
      </c>
      <c r="AZ442" s="383" t="s">
        <v>12</v>
      </c>
      <c r="BA442" s="384">
        <f>SUM(BA434:BA441)</f>
        <v>18228633.179999996</v>
      </c>
      <c r="BB442" s="384">
        <f>SUM(BB434:BB441)</f>
        <v>19032844.27</v>
      </c>
      <c r="BC442" s="384">
        <f>SUM(BC434:BC441)</f>
        <v>3560695.7899999982</v>
      </c>
      <c r="BD442" s="432">
        <f t="shared" si="138"/>
        <v>0.19533531421909928</v>
      </c>
    </row>
    <row r="443" spans="24:56">
      <c r="Y443" s="277"/>
      <c r="Z443" s="277"/>
      <c r="AA443" s="277"/>
      <c r="AB443" s="277"/>
      <c r="AC443" s="491">
        <v>20</v>
      </c>
      <c r="AD443" s="484" t="str">
        <f t="shared" si="141"/>
        <v>Street Lighting</v>
      </c>
      <c r="AE443" s="598">
        <f t="shared" si="140"/>
        <v>-121.47597542107724</v>
      </c>
      <c r="AF443" s="598"/>
      <c r="AG443" s="278" t="str">
        <f t="shared" si="142"/>
        <v>kW</v>
      </c>
      <c r="AH443" s="598">
        <f t="shared" si="143"/>
        <v>-1651.727268989307</v>
      </c>
      <c r="AI443" s="598"/>
      <c r="AJ443" s="598"/>
      <c r="AK443" s="598"/>
      <c r="AL443" s="598">
        <f t="shared" si="145"/>
        <v>-0.1040211443026906</v>
      </c>
      <c r="AM443" s="598"/>
      <c r="AN443" s="598"/>
      <c r="AO443" s="599"/>
    </row>
    <row r="444" spans="24:56">
      <c r="Y444" s="277"/>
      <c r="Z444" s="277"/>
      <c r="AA444" s="277"/>
      <c r="AB444" s="277"/>
      <c r="AC444" s="491">
        <v>21</v>
      </c>
      <c r="AD444" s="484" t="str">
        <f t="shared" si="141"/>
        <v>Sentinel Lighting</v>
      </c>
      <c r="AE444" s="598">
        <f t="shared" si="140"/>
        <v>2.1615771378203021</v>
      </c>
      <c r="AF444" s="598"/>
      <c r="AG444" s="278" t="str">
        <f t="shared" si="142"/>
        <v>kW</v>
      </c>
      <c r="AH444" s="598">
        <f>AI434-AH434</f>
        <v>49.270301606907992</v>
      </c>
      <c r="AI444" s="598"/>
      <c r="AJ444" s="598"/>
      <c r="AK444" s="598"/>
      <c r="AL444" s="598">
        <f t="shared" si="145"/>
        <v>0.26288874161765108</v>
      </c>
      <c r="AM444" s="598"/>
      <c r="AN444" s="598"/>
      <c r="AO444" s="599"/>
    </row>
    <row r="445" spans="24:56" ht="13.5" thickBot="1">
      <c r="AC445" s="491">
        <v>22</v>
      </c>
      <c r="AD445" s="485" t="str">
        <f t="shared" si="141"/>
        <v>Unmetered Scattered Load</v>
      </c>
      <c r="AE445" s="600">
        <f t="shared" si="140"/>
        <v>-9.8252868951672099</v>
      </c>
      <c r="AF445" s="600"/>
      <c r="AG445" s="390" t="str">
        <f t="shared" si="142"/>
        <v>kWh</v>
      </c>
      <c r="AH445" s="600">
        <f>AI435-AH435</f>
        <v>0</v>
      </c>
      <c r="AI445" s="600"/>
      <c r="AJ445" s="600"/>
      <c r="AK445" s="600"/>
      <c r="AL445" s="600">
        <f>AM435-AL435</f>
        <v>88.466875871375123</v>
      </c>
      <c r="AM445" s="600"/>
      <c r="AN445" s="600"/>
      <c r="AO445" s="601"/>
    </row>
    <row r="447" spans="24:56" ht="13.5" thickBot="1">
      <c r="AD447" s="579" t="s">
        <v>422</v>
      </c>
      <c r="AE447" s="580"/>
      <c r="AF447" s="580"/>
      <c r="AG447" s="580"/>
      <c r="AH447" s="581"/>
    </row>
    <row r="448" spans="24:56" ht="34.5" thickBot="1">
      <c r="AC448" s="487" t="s">
        <v>423</v>
      </c>
      <c r="AD448" s="475" t="s">
        <v>412</v>
      </c>
      <c r="AE448" s="376" t="s">
        <v>267</v>
      </c>
      <c r="AF448" s="377" t="s">
        <v>419</v>
      </c>
      <c r="AG448" s="377" t="s">
        <v>420</v>
      </c>
      <c r="AH448" s="433" t="s">
        <v>416</v>
      </c>
      <c r="AI448" s="433" t="s">
        <v>417</v>
      </c>
      <c r="AJ448" s="433" t="s">
        <v>418</v>
      </c>
      <c r="AK448" s="433" t="s">
        <v>421</v>
      </c>
      <c r="AL448" s="433" t="s">
        <v>403</v>
      </c>
      <c r="AM448" s="433" t="s">
        <v>383</v>
      </c>
      <c r="AN448" s="420" t="s">
        <v>384</v>
      </c>
    </row>
    <row r="449" spans="23:41">
      <c r="AC449" s="492">
        <v>1</v>
      </c>
      <c r="AD449" s="476" t="s">
        <v>74</v>
      </c>
      <c r="AE449" s="378">
        <f>BA434</f>
        <v>9976817.1699999999</v>
      </c>
      <c r="AF449" s="392">
        <v>475093</v>
      </c>
      <c r="AG449" s="392">
        <v>96433</v>
      </c>
      <c r="AH449" s="504">
        <v>-339951</v>
      </c>
      <c r="AI449" s="392">
        <v>860048</v>
      </c>
      <c r="AJ449" s="504">
        <v>-398743</v>
      </c>
      <c r="AK449" s="392">
        <f>SUM(AE449:AJ449)</f>
        <v>10669697.17</v>
      </c>
      <c r="AL449" s="392">
        <f t="shared" ref="AL449:AL456" si="146">BB434</f>
        <v>10735425.589999998</v>
      </c>
      <c r="AM449" s="434">
        <f>AL449-AK449</f>
        <v>65728.419999998063</v>
      </c>
      <c r="AN449" s="431">
        <f t="shared" ref="AN449:AN457" si="147">IFERROR(AG449/AE449,0)</f>
        <v>9.6657078461827722E-3</v>
      </c>
    </row>
    <row r="450" spans="23:41">
      <c r="AC450" s="491">
        <v>2</v>
      </c>
      <c r="AD450" s="477" t="s">
        <v>141</v>
      </c>
      <c r="AE450" s="378">
        <f>BA435</f>
        <v>3452031.5799999996</v>
      </c>
      <c r="AF450" s="392">
        <v>163343</v>
      </c>
      <c r="AG450" s="392">
        <v>32818</v>
      </c>
      <c r="AH450" s="392">
        <v>90906</v>
      </c>
      <c r="AI450" s="504">
        <v>-231751</v>
      </c>
      <c r="AJ450" s="504">
        <v>-146908</v>
      </c>
      <c r="AK450" s="392">
        <f t="shared" ref="AK450:AK456" si="148">SUM(AE450:AJ450)</f>
        <v>3360439.5799999996</v>
      </c>
      <c r="AL450" s="392">
        <f t="shared" si="146"/>
        <v>3397790.59</v>
      </c>
      <c r="AM450" s="434">
        <f t="shared" ref="AM450:AM456" si="149">AL450-AK450</f>
        <v>37351.010000000242</v>
      </c>
      <c r="AN450" s="431">
        <f t="shared" si="147"/>
        <v>9.5068655194631806E-3</v>
      </c>
    </row>
    <row r="451" spans="23:41">
      <c r="AC451" s="491">
        <v>3</v>
      </c>
      <c r="AD451" s="477" t="s">
        <v>142</v>
      </c>
      <c r="AE451" s="378">
        <f>$BA$436</f>
        <v>2756484.6999999997</v>
      </c>
      <c r="AF451" s="392">
        <v>198307</v>
      </c>
      <c r="AG451" s="392">
        <v>26646</v>
      </c>
      <c r="AH451" s="392"/>
      <c r="AI451" s="392"/>
      <c r="AJ451" s="392"/>
      <c r="AK451" s="392">
        <f t="shared" si="148"/>
        <v>2981437.6999999997</v>
      </c>
      <c r="AL451" s="392">
        <f t="shared" si="146"/>
        <v>2903420.02</v>
      </c>
      <c r="AM451" s="434">
        <f t="shared" si="149"/>
        <v>-78017.679999999702</v>
      </c>
      <c r="AN451" s="431">
        <f t="shared" si="147"/>
        <v>9.6666598584784456E-3</v>
      </c>
    </row>
    <row r="452" spans="23:41">
      <c r="AC452" s="491">
        <v>4</v>
      </c>
      <c r="AD452" s="477" t="s">
        <v>413</v>
      </c>
      <c r="AE452" s="378">
        <f>BA437</f>
        <v>1485927.19</v>
      </c>
      <c r="AF452" s="504">
        <v>-4447</v>
      </c>
      <c r="AG452" s="392">
        <v>14364</v>
      </c>
      <c r="AH452" s="392"/>
      <c r="AI452" s="392"/>
      <c r="AJ452" s="392"/>
      <c r="AK452" s="392">
        <f t="shared" si="148"/>
        <v>1495844.19</v>
      </c>
      <c r="AL452" s="392">
        <f t="shared" si="146"/>
        <v>1548554.02</v>
      </c>
      <c r="AM452" s="434">
        <f t="shared" si="149"/>
        <v>52709.830000000075</v>
      </c>
      <c r="AN452" s="431">
        <f t="shared" si="147"/>
        <v>9.6666916768647325E-3</v>
      </c>
    </row>
    <row r="453" spans="23:41">
      <c r="AC453" s="491">
        <v>5</v>
      </c>
      <c r="AD453" s="477" t="s">
        <v>276</v>
      </c>
      <c r="AE453" s="378">
        <f>BA438</f>
        <v>0</v>
      </c>
      <c r="AF453" s="392">
        <v>0</v>
      </c>
      <c r="AG453" s="392">
        <f t="shared" ref="AG453" si="150">AF453-AE453</f>
        <v>0</v>
      </c>
      <c r="AH453" s="392"/>
      <c r="AI453" s="392"/>
      <c r="AJ453" s="392"/>
      <c r="AK453" s="392">
        <f t="shared" si="148"/>
        <v>0</v>
      </c>
      <c r="AL453" s="392">
        <f t="shared" si="146"/>
        <v>0</v>
      </c>
      <c r="AM453" s="434">
        <f t="shared" si="149"/>
        <v>0</v>
      </c>
      <c r="AN453" s="431">
        <f t="shared" si="147"/>
        <v>0</v>
      </c>
    </row>
    <row r="454" spans="23:41">
      <c r="AC454" s="491">
        <v>6</v>
      </c>
      <c r="AD454" s="477" t="s">
        <v>304</v>
      </c>
      <c r="AE454" s="378">
        <f>BA439</f>
        <v>488549.24000000005</v>
      </c>
      <c r="AF454" s="504">
        <v>-122489</v>
      </c>
      <c r="AG454" s="392">
        <v>4723</v>
      </c>
      <c r="AH454" s="392"/>
      <c r="AI454" s="392"/>
      <c r="AJ454" s="392"/>
      <c r="AK454" s="392">
        <f t="shared" si="148"/>
        <v>370783.24000000005</v>
      </c>
      <c r="AL454" s="392">
        <f t="shared" si="146"/>
        <v>375337.86</v>
      </c>
      <c r="AM454" s="434">
        <f t="shared" si="149"/>
        <v>4554.6199999999371</v>
      </c>
      <c r="AN454" s="431">
        <f t="shared" si="147"/>
        <v>9.6673981111914109E-3</v>
      </c>
    </row>
    <row r="455" spans="23:41">
      <c r="AC455" s="491">
        <v>7</v>
      </c>
      <c r="AD455" s="477" t="s">
        <v>305</v>
      </c>
      <c r="AE455" s="378">
        <f>BA440</f>
        <v>14806.31</v>
      </c>
      <c r="AF455" s="392">
        <v>196</v>
      </c>
      <c r="AG455" s="392">
        <v>143</v>
      </c>
      <c r="AH455" s="392"/>
      <c r="AI455" s="392"/>
      <c r="AJ455" s="392"/>
      <c r="AK455" s="392">
        <f t="shared" si="148"/>
        <v>15145.31</v>
      </c>
      <c r="AL455" s="392">
        <f t="shared" si="146"/>
        <v>14794.84</v>
      </c>
      <c r="AM455" s="504">
        <f t="shared" si="149"/>
        <v>-350.46999999999935</v>
      </c>
      <c r="AN455" s="431">
        <f t="shared" si="147"/>
        <v>9.6580444418629622E-3</v>
      </c>
    </row>
    <row r="456" spans="23:41">
      <c r="AC456" s="491">
        <v>8</v>
      </c>
      <c r="AD456" s="477" t="s">
        <v>354</v>
      </c>
      <c r="AE456" s="378">
        <f>BA441</f>
        <v>54016.99</v>
      </c>
      <c r="AF456" s="504">
        <v>-6224</v>
      </c>
      <c r="AG456" s="392">
        <v>551</v>
      </c>
      <c r="AH456" s="392"/>
      <c r="AI456" s="392"/>
      <c r="AJ456" s="392"/>
      <c r="AK456" s="392">
        <f t="shared" si="148"/>
        <v>48343.99</v>
      </c>
      <c r="AL456" s="392">
        <f t="shared" si="146"/>
        <v>57521.35</v>
      </c>
      <c r="AM456" s="434">
        <f t="shared" si="149"/>
        <v>9177.36</v>
      </c>
      <c r="AN456" s="431">
        <f t="shared" si="147"/>
        <v>1.0200494325951891E-2</v>
      </c>
    </row>
    <row r="457" spans="23:41" ht="15.75" thickBot="1">
      <c r="AC457" s="491">
        <v>9</v>
      </c>
      <c r="AD457" s="478" t="s">
        <v>12</v>
      </c>
      <c r="AE457" s="384">
        <f>SUM(AE449:AE456)</f>
        <v>18228633.179999996</v>
      </c>
      <c r="AF457" s="384">
        <f>SUM(AF449:AF456)</f>
        <v>703779</v>
      </c>
      <c r="AG457" s="384">
        <f>SUM(AG449:AG456)</f>
        <v>175678</v>
      </c>
      <c r="AH457" s="507">
        <f t="shared" ref="AH457:AK457" si="151">SUM(AH449:AH456)</f>
        <v>-249045</v>
      </c>
      <c r="AI457" s="509">
        <f t="shared" si="151"/>
        <v>628297</v>
      </c>
      <c r="AJ457" s="505">
        <f t="shared" si="151"/>
        <v>-545651</v>
      </c>
      <c r="AK457" s="384">
        <f t="shared" si="151"/>
        <v>18941691.179999996</v>
      </c>
      <c r="AL457" s="384">
        <f t="shared" ref="AL457" si="152">SUM(AL449:AL456)</f>
        <v>19032844.27</v>
      </c>
      <c r="AM457" s="384">
        <f t="shared" ref="AM457" si="153">SUM(AM449:AM456)</f>
        <v>91153.089999998614</v>
      </c>
      <c r="AN457" s="432">
        <f t="shared" si="147"/>
        <v>9.6374751889104632E-3</v>
      </c>
    </row>
    <row r="458" spans="23:41">
      <c r="Y458" s="285"/>
      <c r="Z458" s="286"/>
      <c r="AA458" s="286"/>
      <c r="AB458" s="286"/>
      <c r="AC458" s="421"/>
    </row>
    <row r="459" spans="23:41" ht="13.5" thickBot="1">
      <c r="AA459" s="395" t="s">
        <v>414</v>
      </c>
      <c r="AB459" s="396">
        <f>BA442-BB442+BC442</f>
        <v>2756484.6999999946</v>
      </c>
      <c r="AD459" s="554" t="s">
        <v>404</v>
      </c>
      <c r="AE459" s="554"/>
      <c r="AF459" s="554"/>
      <c r="AG459" s="554"/>
      <c r="AH459" s="554"/>
      <c r="AI459" s="554"/>
      <c r="AJ459" s="554"/>
      <c r="AK459" s="554"/>
      <c r="AL459" s="554"/>
      <c r="AM459" s="554"/>
      <c r="AN459" s="554"/>
      <c r="AO459" s="554"/>
    </row>
    <row r="460" spans="23:41" ht="33.75" customHeight="1" thickBot="1">
      <c r="W460" s="497" t="s">
        <v>427</v>
      </c>
      <c r="X460" s="495">
        <v>18228633.359999999</v>
      </c>
      <c r="Y460" s="495">
        <v>19032844.800000001</v>
      </c>
      <c r="AC460" s="487" t="s">
        <v>423</v>
      </c>
      <c r="AD460" s="488" t="s">
        <v>394</v>
      </c>
      <c r="AE460" s="584" t="s">
        <v>385</v>
      </c>
      <c r="AF460" s="584"/>
      <c r="AG460" s="410" t="s">
        <v>386</v>
      </c>
      <c r="AH460" s="583" t="s">
        <v>387</v>
      </c>
      <c r="AI460" s="583"/>
      <c r="AJ460" s="584" t="s">
        <v>388</v>
      </c>
      <c r="AK460" s="584"/>
      <c r="AL460" s="584" t="s">
        <v>389</v>
      </c>
      <c r="AM460" s="584"/>
      <c r="AN460" s="584" t="s">
        <v>390</v>
      </c>
      <c r="AO460" s="585"/>
    </row>
    <row r="461" spans="23:41" ht="16.5" thickTop="1" thickBot="1">
      <c r="W461" s="72" t="s">
        <v>426</v>
      </c>
      <c r="X461" s="496">
        <f>BA442-X460</f>
        <v>-0.18000000342726707</v>
      </c>
      <c r="Y461" s="496">
        <f>BB442-Y460</f>
        <v>-0.5300000011920929</v>
      </c>
      <c r="AC461" s="492">
        <v>1</v>
      </c>
      <c r="AD461" s="586" t="s">
        <v>342</v>
      </c>
      <c r="AE461" s="586"/>
      <c r="AF461" s="586"/>
      <c r="AG461" s="586"/>
      <c r="AH461" s="586"/>
      <c r="AI461" s="385" t="s">
        <v>110</v>
      </c>
      <c r="AJ461" s="386">
        <f>AK424</f>
        <v>0.98287531309480569</v>
      </c>
      <c r="AK461" s="386">
        <f>$K$109</f>
        <v>0.98370851115594082</v>
      </c>
      <c r="AL461" s="588"/>
      <c r="AM461" s="588"/>
      <c r="AN461" s="588"/>
      <c r="AO461" s="589"/>
    </row>
    <row r="462" spans="23:41" ht="13.5" thickTop="1">
      <c r="AC462" s="491">
        <v>2</v>
      </c>
      <c r="AD462" s="586"/>
      <c r="AE462" s="586"/>
      <c r="AF462" s="586"/>
      <c r="AG462" s="586"/>
      <c r="AH462" s="586"/>
      <c r="AI462" s="280" t="s">
        <v>164</v>
      </c>
      <c r="AJ462" s="279">
        <f t="shared" ref="AJ462:AJ463" si="154">AK425</f>
        <v>0.98649811448216651</v>
      </c>
      <c r="AK462" s="279">
        <f>$K$126</f>
        <v>0.98945633294710622</v>
      </c>
      <c r="AL462" s="590"/>
      <c r="AM462" s="590"/>
      <c r="AN462" s="590"/>
      <c r="AO462" s="591"/>
    </row>
    <row r="463" spans="23:41">
      <c r="AC463" s="491">
        <v>3</v>
      </c>
      <c r="AD463" s="587"/>
      <c r="AE463" s="587"/>
      <c r="AF463" s="587"/>
      <c r="AG463" s="587"/>
      <c r="AH463" s="587"/>
      <c r="AI463" s="280" t="s">
        <v>395</v>
      </c>
      <c r="AJ463" s="279">
        <f t="shared" si="154"/>
        <v>0.98716392521423157</v>
      </c>
      <c r="AK463" s="279">
        <f>$K$143</f>
        <v>0.99020565558394347</v>
      </c>
      <c r="AL463" s="590"/>
      <c r="AM463" s="590"/>
      <c r="AN463" s="590"/>
      <c r="AO463" s="591"/>
    </row>
    <row r="464" spans="23:41" ht="25.5">
      <c r="W464"/>
      <c r="X464"/>
      <c r="Y464"/>
      <c r="Z464"/>
      <c r="AA464"/>
      <c r="AB464"/>
      <c r="AC464" s="491">
        <v>4</v>
      </c>
      <c r="AD464" s="482"/>
      <c r="AE464" s="270" t="str">
        <f>BA433</f>
        <v>2013 Actual</v>
      </c>
      <c r="AF464" s="270" t="str">
        <f>BB433</f>
        <v>2014 Actual</v>
      </c>
      <c r="AG464" s="280"/>
      <c r="AH464" s="270" t="str">
        <f>AE464</f>
        <v>2013 Actual</v>
      </c>
      <c r="AI464" s="270" t="str">
        <f>AF464</f>
        <v>2014 Actual</v>
      </c>
      <c r="AJ464" s="270" t="str">
        <f t="shared" ref="AJ464" si="155">AH464</f>
        <v>2013 Actual</v>
      </c>
      <c r="AK464" s="270" t="str">
        <f t="shared" ref="AK464" si="156">AI464</f>
        <v>2014 Actual</v>
      </c>
      <c r="AL464" s="270" t="str">
        <f t="shared" ref="AL464" si="157">AJ464</f>
        <v>2013 Actual</v>
      </c>
      <c r="AM464" s="270" t="str">
        <f t="shared" ref="AM464" si="158">AK464</f>
        <v>2014 Actual</v>
      </c>
      <c r="AN464" s="270" t="str">
        <f t="shared" ref="AN464" si="159">AL464</f>
        <v>2013 Actual</v>
      </c>
      <c r="AO464" s="387" t="str">
        <f t="shared" ref="AO464" si="160">AM464</f>
        <v>2014 Actual</v>
      </c>
    </row>
    <row r="465" spans="23:43">
      <c r="W465"/>
      <c r="X465"/>
      <c r="Y465"/>
      <c r="Z465"/>
      <c r="AA465"/>
      <c r="AB465"/>
      <c r="AC465" s="491">
        <v>5</v>
      </c>
      <c r="AD465" s="483" t="str">
        <f t="shared" ref="AD465:AD472" si="161">AZ434</f>
        <v xml:space="preserve">Residential </v>
      </c>
      <c r="AE465" s="249">
        <f>AF391</f>
        <v>44942.416666666664</v>
      </c>
      <c r="AF465" s="249">
        <f>$U$295</f>
        <v>45106.2705078125</v>
      </c>
      <c r="AG465" s="278" t="s">
        <v>120</v>
      </c>
      <c r="AH465" s="278">
        <f>AI391</f>
        <v>341035888.63527828</v>
      </c>
      <c r="AI465" s="278">
        <f>$U$296</f>
        <v>340024795.88802838</v>
      </c>
      <c r="AJ465" s="278">
        <f>AH465*AJ461</f>
        <v>335195755.81896442</v>
      </c>
      <c r="AK465" s="278">
        <f>AI465/AK461</f>
        <v>345656047.530249</v>
      </c>
      <c r="AL465" s="278">
        <f>AH465/AE465</f>
        <v>7588.2854979674721</v>
      </c>
      <c r="AM465" s="278">
        <f>AI465/AF465</f>
        <v>7538.3043656676373</v>
      </c>
      <c r="AN465" s="278">
        <f>AJ465/AE465</f>
        <v>7458.3384846675526</v>
      </c>
      <c r="AO465" s="388">
        <f>AK465/AF465</f>
        <v>7663.1484633689824</v>
      </c>
    </row>
    <row r="466" spans="23:43">
      <c r="W466"/>
      <c r="X466"/>
      <c r="Y466"/>
      <c r="Z466"/>
      <c r="AA466"/>
      <c r="AB466"/>
      <c r="AC466" s="491">
        <v>6</v>
      </c>
      <c r="AD466" s="483" t="str">
        <f t="shared" si="161"/>
        <v>General Service
 &lt; 50 kW</v>
      </c>
      <c r="AE466" s="249">
        <f t="shared" ref="AE466:AE472" si="162">AF392</f>
        <v>4527.75</v>
      </c>
      <c r="AF466" s="249">
        <f>$U$299</f>
        <v>4577.895263671875</v>
      </c>
      <c r="AG466" s="278" t="s">
        <v>120</v>
      </c>
      <c r="AH466" s="281">
        <f t="shared" ref="AH466:AH472" si="163">AI392</f>
        <v>136331185.61000001</v>
      </c>
      <c r="AI466" s="281">
        <f>$U$300</f>
        <v>139285835.96861196</v>
      </c>
      <c r="AJ466" s="278">
        <f t="shared" ref="AJ466:AJ467" si="164">AH466*AJ462</f>
        <v>134490457.54938328</v>
      </c>
      <c r="AK466" s="278">
        <f t="shared" ref="AK466:AK467" si="165">AI466/AK462</f>
        <v>140770068.70404035</v>
      </c>
      <c r="AL466" s="278">
        <f t="shared" ref="AL466:AL472" si="166">AH466/AE466</f>
        <v>30110.139828833308</v>
      </c>
      <c r="AM466" s="278">
        <f t="shared" ref="AM466:AM472" si="167">AI466/AF466</f>
        <v>30425.736707853917</v>
      </c>
      <c r="AN466" s="278">
        <f t="shared" ref="AN466:AN467" si="168">AJ466/AE466</f>
        <v>29703.596167938442</v>
      </c>
      <c r="AO466" s="388">
        <f t="shared" ref="AO466:AO467" si="169">AK466/AF466</f>
        <v>30749.953984558913</v>
      </c>
    </row>
    <row r="467" spans="23:43">
      <c r="W467"/>
      <c r="X467"/>
      <c r="Y467"/>
      <c r="Z467"/>
      <c r="AA467"/>
      <c r="AB467"/>
      <c r="AC467" s="491">
        <v>7</v>
      </c>
      <c r="AD467" s="483" t="str">
        <f t="shared" si="161"/>
        <v>General Service
 &gt; 50 to 999 kW</v>
      </c>
      <c r="AE467" s="249">
        <f t="shared" si="162"/>
        <v>511.58333333333331</v>
      </c>
      <c r="AF467" s="249">
        <f>$U$303</f>
        <v>495.30155436197919</v>
      </c>
      <c r="AG467" s="278" t="s">
        <v>391</v>
      </c>
      <c r="AH467" s="281">
        <f t="shared" si="163"/>
        <v>722899.29</v>
      </c>
      <c r="AI467" s="281">
        <f>$U$305</f>
        <v>690826.75000000012</v>
      </c>
      <c r="AJ467" s="278">
        <f t="shared" si="164"/>
        <v>713620.10065098119</v>
      </c>
      <c r="AK467" s="278">
        <f t="shared" si="165"/>
        <v>697659.87106244732</v>
      </c>
      <c r="AL467" s="278">
        <f t="shared" si="166"/>
        <v>1413.0626290926862</v>
      </c>
      <c r="AM467" s="278">
        <f t="shared" si="167"/>
        <v>1394.7599072041799</v>
      </c>
      <c r="AN467" s="278">
        <f t="shared" si="168"/>
        <v>1394.924451508678</v>
      </c>
      <c r="AO467" s="388">
        <f t="shared" si="169"/>
        <v>1408.5557877183228</v>
      </c>
    </row>
    <row r="468" spans="23:43">
      <c r="W468"/>
      <c r="X468"/>
      <c r="Y468"/>
      <c r="Z468"/>
      <c r="AA468"/>
      <c r="AB468"/>
      <c r="AC468" s="491">
        <v>8</v>
      </c>
      <c r="AD468" s="483" t="str">
        <f t="shared" si="161"/>
        <v>General Service 
&gt; 1000 kW</v>
      </c>
      <c r="AE468" s="249">
        <f t="shared" si="162"/>
        <v>21.083333333333332</v>
      </c>
      <c r="AF468" s="249">
        <f>$U$308</f>
        <v>20.762959798177082</v>
      </c>
      <c r="AG468" s="278" t="s">
        <v>391</v>
      </c>
      <c r="AH468" s="281">
        <f t="shared" si="163"/>
        <v>510032.45079999993</v>
      </c>
      <c r="AI468" s="281">
        <f>$U$310</f>
        <v>512108.56049999996</v>
      </c>
      <c r="AJ468" s="278"/>
      <c r="AK468" s="278"/>
      <c r="AL468" s="278">
        <f t="shared" si="166"/>
        <v>24191.262488537548</v>
      </c>
      <c r="AM468" s="278">
        <f t="shared" si="167"/>
        <v>24664.525938395418</v>
      </c>
      <c r="AN468" s="278"/>
      <c r="AO468" s="388"/>
    </row>
    <row r="469" spans="23:43">
      <c r="W469"/>
      <c r="X469"/>
      <c r="Y469"/>
      <c r="Z469"/>
      <c r="AA469"/>
      <c r="AB469"/>
      <c r="AC469" s="491">
        <v>9</v>
      </c>
      <c r="AD469" s="483" t="str">
        <f t="shared" si="161"/>
        <v>Large User</v>
      </c>
      <c r="AE469" s="249">
        <f t="shared" si="162"/>
        <v>0</v>
      </c>
      <c r="AF469" s="249">
        <f>$U$313</f>
        <v>0</v>
      </c>
      <c r="AG469" s="278" t="s">
        <v>391</v>
      </c>
      <c r="AH469" s="281">
        <f t="shared" si="163"/>
        <v>0</v>
      </c>
      <c r="AI469" s="281">
        <f>$U$315</f>
        <v>0</v>
      </c>
      <c r="AJ469" s="278"/>
      <c r="AK469" s="278"/>
      <c r="AL469" s="278" t="e">
        <f t="shared" si="166"/>
        <v>#DIV/0!</v>
      </c>
      <c r="AM469" s="278" t="e">
        <f t="shared" si="167"/>
        <v>#DIV/0!</v>
      </c>
      <c r="AN469" s="278"/>
      <c r="AO469" s="388"/>
    </row>
    <row r="470" spans="23:43">
      <c r="W470"/>
      <c r="X470"/>
      <c r="Y470"/>
      <c r="Z470"/>
      <c r="AA470"/>
      <c r="AB470"/>
      <c r="AC470" s="491">
        <v>10</v>
      </c>
      <c r="AD470" s="483" t="str">
        <f t="shared" si="161"/>
        <v>Street Lighting</v>
      </c>
      <c r="AE470" s="249">
        <f t="shared" si="162"/>
        <v>13095.333333333334</v>
      </c>
      <c r="AF470" s="249">
        <f>$U$318</f>
        <v>13148.318033854166</v>
      </c>
      <c r="AG470" s="278" t="s">
        <v>391</v>
      </c>
      <c r="AH470" s="281">
        <f t="shared" si="163"/>
        <v>29850.29</v>
      </c>
      <c r="AI470" s="281">
        <f>$U$320</f>
        <v>29216.71</v>
      </c>
      <c r="AJ470" s="278"/>
      <c r="AK470" s="278"/>
      <c r="AL470" s="278">
        <f t="shared" si="166"/>
        <v>2.2794601130173597</v>
      </c>
      <c r="AM470" s="278">
        <f t="shared" si="167"/>
        <v>2.2220872604977373</v>
      </c>
      <c r="AN470" s="278"/>
      <c r="AO470" s="388"/>
    </row>
    <row r="471" spans="23:43">
      <c r="W471"/>
      <c r="X471"/>
      <c r="Y471"/>
      <c r="Z471"/>
      <c r="AA471"/>
      <c r="AB471"/>
      <c r="AC471" s="491">
        <v>11</v>
      </c>
      <c r="AD471" s="483" t="str">
        <f t="shared" si="161"/>
        <v>Sentinel Lighting</v>
      </c>
      <c r="AE471" s="249">
        <f t="shared" si="162"/>
        <v>170.83333333333334</v>
      </c>
      <c r="AF471" s="249">
        <f>$U$323</f>
        <v>172.08199055989584</v>
      </c>
      <c r="AG471" s="278" t="s">
        <v>391</v>
      </c>
      <c r="AH471" s="281">
        <f t="shared" si="163"/>
        <v>389.5</v>
      </c>
      <c r="AI471" s="281">
        <f>$U$325</f>
        <v>392.34693847656257</v>
      </c>
      <c r="AJ471" s="278"/>
      <c r="AK471" s="278"/>
      <c r="AL471" s="278">
        <f t="shared" si="166"/>
        <v>2.2799999999999998</v>
      </c>
      <c r="AM471" s="278">
        <f t="shared" si="167"/>
        <v>2.2800000000000002</v>
      </c>
      <c r="AN471" s="278"/>
      <c r="AO471" s="388"/>
    </row>
    <row r="472" spans="23:43">
      <c r="W472"/>
      <c r="X472"/>
      <c r="Y472"/>
      <c r="Z472"/>
      <c r="AA472"/>
      <c r="AB472"/>
      <c r="AC472" s="491">
        <v>12</v>
      </c>
      <c r="AD472" s="483" t="str">
        <f t="shared" si="161"/>
        <v>Unmetered Scattered Load</v>
      </c>
      <c r="AE472" s="249">
        <f t="shared" si="162"/>
        <v>465.5</v>
      </c>
      <c r="AF472" s="249">
        <f>$U$328</f>
        <v>462.49702962239581</v>
      </c>
      <c r="AG472" s="278" t="s">
        <v>120</v>
      </c>
      <c r="AH472" s="281">
        <f t="shared" si="163"/>
        <v>1992260.1800000002</v>
      </c>
      <c r="AI472" s="281">
        <f>$U$329</f>
        <v>2099765.3300000005</v>
      </c>
      <c r="AJ472" s="278"/>
      <c r="AK472" s="278"/>
      <c r="AL472" s="278">
        <f t="shared" si="166"/>
        <v>4279.8285284640178</v>
      </c>
      <c r="AM472" s="278">
        <f t="shared" si="167"/>
        <v>4540.0623042148982</v>
      </c>
      <c r="AN472" s="278"/>
      <c r="AO472" s="388"/>
    </row>
    <row r="473" spans="23:43">
      <c r="W473"/>
      <c r="X473"/>
      <c r="Y473"/>
      <c r="Z473"/>
      <c r="AA473"/>
      <c r="AB473"/>
      <c r="AC473" s="491">
        <v>13</v>
      </c>
      <c r="AD473" s="483" t="s">
        <v>5</v>
      </c>
      <c r="AE473" s="249">
        <f>SUM(AE465:AE472)</f>
        <v>63734.500000000007</v>
      </c>
      <c r="AF473" s="249">
        <f>SUM(AF465:AF472)</f>
        <v>63983.127339680992</v>
      </c>
      <c r="AG473" s="278"/>
      <c r="AH473" s="281"/>
      <c r="AI473" s="281"/>
      <c r="AJ473" s="281"/>
      <c r="AK473" s="281"/>
      <c r="AL473" s="281"/>
      <c r="AM473" s="281"/>
      <c r="AN473" s="281"/>
      <c r="AO473" s="389"/>
    </row>
    <row r="474" spans="23:43">
      <c r="W474"/>
      <c r="X474"/>
      <c r="Y474"/>
      <c r="Z474"/>
      <c r="AA474"/>
      <c r="AB474"/>
      <c r="AC474" s="491">
        <v>14</v>
      </c>
      <c r="AD474" s="367"/>
      <c r="AE474" s="590" t="s">
        <v>392</v>
      </c>
      <c r="AF474" s="590"/>
      <c r="AG474" s="230"/>
      <c r="AH474" s="590" t="s">
        <v>392</v>
      </c>
      <c r="AI474" s="590"/>
      <c r="AJ474" s="596" t="s">
        <v>392</v>
      </c>
      <c r="AK474" s="596"/>
      <c r="AL474" s="596" t="s">
        <v>392</v>
      </c>
      <c r="AM474" s="596"/>
      <c r="AN474" s="596" t="s">
        <v>392</v>
      </c>
      <c r="AO474" s="597"/>
    </row>
    <row r="475" spans="23:43">
      <c r="W475"/>
      <c r="X475"/>
      <c r="Y475"/>
      <c r="Z475"/>
      <c r="AA475"/>
      <c r="AB475"/>
      <c r="AC475" s="491">
        <v>15</v>
      </c>
      <c r="AD475" s="484" t="str">
        <f>AD465</f>
        <v xml:space="preserve">Residential </v>
      </c>
      <c r="AE475" s="598">
        <f t="shared" ref="AE475:AE482" si="170">AF465-AE465</f>
        <v>163.85384114583576</v>
      </c>
      <c r="AF475" s="598"/>
      <c r="AG475" s="278" t="str">
        <f>AG465</f>
        <v>kWh</v>
      </c>
      <c r="AH475" s="598">
        <f>AI465-AH465</f>
        <v>-1011092.7472499013</v>
      </c>
      <c r="AI475" s="598"/>
      <c r="AJ475" s="598">
        <f>AK465-AJ465</f>
        <v>10460291.711284578</v>
      </c>
      <c r="AK475" s="598"/>
      <c r="AL475" s="598">
        <f>AM465-AL465</f>
        <v>-49.981132299834826</v>
      </c>
      <c r="AM475" s="598"/>
      <c r="AN475" s="598">
        <f>AO465-AN465</f>
        <v>204.80997870142983</v>
      </c>
      <c r="AO475" s="599"/>
      <c r="AQ475" s="393">
        <f>AJ475/AJ465</f>
        <v>3.1206515982660794E-2</v>
      </c>
    </row>
    <row r="476" spans="23:43">
      <c r="W476"/>
      <c r="X476"/>
      <c r="Y476"/>
      <c r="Z476"/>
      <c r="AA476"/>
      <c r="AB476"/>
      <c r="AC476" s="491">
        <v>16</v>
      </c>
      <c r="AD476" s="484" t="str">
        <f t="shared" ref="AD476:AD482" si="171">AD466</f>
        <v>General Service
 &lt; 50 kW</v>
      </c>
      <c r="AE476" s="598">
        <f t="shared" si="170"/>
        <v>50.145263671875</v>
      </c>
      <c r="AF476" s="598"/>
      <c r="AG476" s="278" t="str">
        <f t="shared" ref="AG476:AG482" si="172">AG466</f>
        <v>kWh</v>
      </c>
      <c r="AH476" s="598">
        <f t="shared" ref="AH476:AH480" si="173">AI466-AH466</f>
        <v>2954650.3586119413</v>
      </c>
      <c r="AI476" s="598"/>
      <c r="AJ476" s="598">
        <f t="shared" ref="AJ476:AJ477" si="174">AK466-AJ466</f>
        <v>6279611.1546570659</v>
      </c>
      <c r="AK476" s="598"/>
      <c r="AL476" s="598">
        <f t="shared" ref="AL476:AL481" si="175">AM466-AL466</f>
        <v>315.59687902060978</v>
      </c>
      <c r="AM476" s="598"/>
      <c r="AN476" s="598">
        <f>AO466-AN466</f>
        <v>1046.3578166204716</v>
      </c>
      <c r="AO476" s="599"/>
      <c r="AQ476" s="393">
        <f>AJ476/AJ466</f>
        <v>4.6691871446353492E-2</v>
      </c>
    </row>
    <row r="477" spans="23:43">
      <c r="W477"/>
      <c r="X477"/>
      <c r="Y477"/>
      <c r="Z477"/>
      <c r="AA477"/>
      <c r="AB477"/>
      <c r="AC477" s="491">
        <v>17</v>
      </c>
      <c r="AD477" s="484" t="str">
        <f t="shared" si="171"/>
        <v>General Service
 &gt; 50 to 999 kW</v>
      </c>
      <c r="AE477" s="598">
        <f t="shared" si="170"/>
        <v>-16.281778971354129</v>
      </c>
      <c r="AF477" s="598"/>
      <c r="AG477" s="278" t="str">
        <f t="shared" si="172"/>
        <v>kW</v>
      </c>
      <c r="AH477" s="598">
        <f t="shared" si="173"/>
        <v>-32072.539999999921</v>
      </c>
      <c r="AI477" s="598"/>
      <c r="AJ477" s="598">
        <f t="shared" si="174"/>
        <v>-15960.229588533868</v>
      </c>
      <c r="AK477" s="598"/>
      <c r="AL477" s="598">
        <f t="shared" si="175"/>
        <v>-18.302721888506312</v>
      </c>
      <c r="AM477" s="598"/>
      <c r="AN477" s="598">
        <f>AO467-AN467</f>
        <v>13.631336209644815</v>
      </c>
      <c r="AO477" s="599"/>
    </row>
    <row r="478" spans="23:43">
      <c r="W478"/>
      <c r="X478"/>
      <c r="Y478"/>
      <c r="Z478"/>
      <c r="AA478"/>
      <c r="AB478"/>
      <c r="AC478" s="491">
        <v>18</v>
      </c>
      <c r="AD478" s="484" t="str">
        <f t="shared" si="171"/>
        <v>General Service 
&gt; 1000 kW</v>
      </c>
      <c r="AE478" s="598">
        <f t="shared" si="170"/>
        <v>-0.32037353515625</v>
      </c>
      <c r="AF478" s="598"/>
      <c r="AG478" s="278" t="str">
        <f t="shared" si="172"/>
        <v>kW</v>
      </c>
      <c r="AH478" s="598">
        <f t="shared" si="173"/>
        <v>2076.10970000003</v>
      </c>
      <c r="AI478" s="598"/>
      <c r="AJ478" s="598"/>
      <c r="AK478" s="598"/>
      <c r="AL478" s="598">
        <f t="shared" si="175"/>
        <v>473.26344985787</v>
      </c>
      <c r="AM478" s="598"/>
      <c r="AN478" s="598"/>
      <c r="AO478" s="599"/>
    </row>
    <row r="479" spans="23:43">
      <c r="W479"/>
      <c r="X479"/>
      <c r="Y479"/>
      <c r="Z479"/>
      <c r="AA479"/>
      <c r="AB479"/>
      <c r="AC479" s="491">
        <v>19</v>
      </c>
      <c r="AD479" s="484" t="str">
        <f t="shared" si="171"/>
        <v>Large User</v>
      </c>
      <c r="AE479" s="598">
        <f t="shared" si="170"/>
        <v>0</v>
      </c>
      <c r="AF479" s="598"/>
      <c r="AG479" s="278" t="str">
        <f t="shared" si="172"/>
        <v>kW</v>
      </c>
      <c r="AH479" s="598">
        <f t="shared" si="173"/>
        <v>0</v>
      </c>
      <c r="AI479" s="598"/>
      <c r="AJ479" s="598"/>
      <c r="AK479" s="598"/>
      <c r="AL479" s="598" t="e">
        <f t="shared" si="175"/>
        <v>#DIV/0!</v>
      </c>
      <c r="AM479" s="598"/>
      <c r="AN479" s="598"/>
      <c r="AO479" s="599"/>
    </row>
    <row r="480" spans="23:43">
      <c r="W480"/>
      <c r="X480"/>
      <c r="Y480"/>
      <c r="Z480"/>
      <c r="AA480"/>
      <c r="AB480"/>
      <c r="AC480" s="491">
        <v>20</v>
      </c>
      <c r="AD480" s="484" t="str">
        <f t="shared" si="171"/>
        <v>Street Lighting</v>
      </c>
      <c r="AE480" s="598">
        <f t="shared" si="170"/>
        <v>52.984700520832121</v>
      </c>
      <c r="AF480" s="598"/>
      <c r="AG480" s="278" t="str">
        <f t="shared" si="172"/>
        <v>kW</v>
      </c>
      <c r="AH480" s="598">
        <f t="shared" si="173"/>
        <v>-633.58000000000175</v>
      </c>
      <c r="AI480" s="598"/>
      <c r="AJ480" s="598"/>
      <c r="AK480" s="598"/>
      <c r="AL480" s="598">
        <f t="shared" si="175"/>
        <v>-5.737285251962243E-2</v>
      </c>
      <c r="AM480" s="598"/>
      <c r="AN480" s="598"/>
      <c r="AO480" s="599"/>
    </row>
    <row r="481" spans="23:56">
      <c r="W481"/>
      <c r="X481"/>
      <c r="Y481"/>
      <c r="Z481"/>
      <c r="AA481"/>
      <c r="AB481"/>
      <c r="AC481" s="491">
        <v>21</v>
      </c>
      <c r="AD481" s="484" t="str">
        <f t="shared" si="171"/>
        <v>Sentinel Lighting</v>
      </c>
      <c r="AE481" s="598">
        <f t="shared" si="170"/>
        <v>1.2486572265625</v>
      </c>
      <c r="AF481" s="598"/>
      <c r="AG481" s="278" t="str">
        <f t="shared" si="172"/>
        <v>kW</v>
      </c>
      <c r="AH481" s="598">
        <f>AI471-AH471</f>
        <v>2.8469384765625705</v>
      </c>
      <c r="AI481" s="598"/>
      <c r="AJ481" s="598"/>
      <c r="AK481" s="598"/>
      <c r="AL481" s="598">
        <f t="shared" si="175"/>
        <v>0</v>
      </c>
      <c r="AM481" s="598"/>
      <c r="AN481" s="598"/>
      <c r="AO481" s="599"/>
    </row>
    <row r="482" spans="23:56" ht="13.5" thickBot="1">
      <c r="Y482" s="277"/>
      <c r="Z482" s="277"/>
      <c r="AC482" s="491">
        <v>22</v>
      </c>
      <c r="AD482" s="485" t="str">
        <f t="shared" si="171"/>
        <v>Unmetered Scattered Load</v>
      </c>
      <c r="AE482" s="600">
        <f t="shared" si="170"/>
        <v>-3.0029703776041856</v>
      </c>
      <c r="AF482" s="600"/>
      <c r="AG482" s="390" t="str">
        <f t="shared" si="172"/>
        <v>kWh</v>
      </c>
      <c r="AH482" s="600">
        <f>AI472-AH472</f>
        <v>107505.15000000037</v>
      </c>
      <c r="AI482" s="600"/>
      <c r="AJ482" s="600"/>
      <c r="AK482" s="600"/>
      <c r="AL482" s="600">
        <f>AM472-AL472</f>
        <v>260.23377575088034</v>
      </c>
      <c r="AM482" s="600"/>
      <c r="AN482" s="600"/>
      <c r="AO482" s="601"/>
    </row>
    <row r="484" spans="23:56">
      <c r="AA484" s="399"/>
      <c r="AB484" s="399"/>
      <c r="AC484" s="400"/>
      <c r="AD484"/>
      <c r="AE484"/>
      <c r="AF484"/>
      <c r="AG484"/>
      <c r="AH484"/>
    </row>
    <row r="486" spans="23:56" ht="13.5" thickBot="1">
      <c r="AZ486" s="398" t="s">
        <v>406</v>
      </c>
      <c r="BA486" s="399"/>
      <c r="BB486" s="401"/>
      <c r="BC486" s="401"/>
      <c r="BD486" s="401"/>
    </row>
    <row r="487" spans="23:56" ht="13.5" thickBot="1">
      <c r="AY487" s="469" t="s">
        <v>423</v>
      </c>
      <c r="AZ487" s="475" t="s">
        <v>412</v>
      </c>
      <c r="BA487" s="376" t="s">
        <v>403</v>
      </c>
      <c r="BB487" s="377" t="s">
        <v>405</v>
      </c>
      <c r="BC487" s="377" t="s">
        <v>383</v>
      </c>
      <c r="BD487" s="420" t="s">
        <v>384</v>
      </c>
    </row>
    <row r="488" spans="23:56">
      <c r="AY488" s="502">
        <v>1</v>
      </c>
      <c r="AZ488" s="476" t="str">
        <f t="shared" ref="AZ488:AZ495" si="176">AZ434</f>
        <v xml:space="preserve">Residential </v>
      </c>
      <c r="BA488" s="378">
        <f t="shared" ref="BA488:BA495" si="177">+BB434</f>
        <v>10735425.589999998</v>
      </c>
      <c r="BB488" s="378">
        <v>11137149.76</v>
      </c>
      <c r="BC488" s="392">
        <f t="shared" ref="BC488:BC495" si="178">BB488-BA488</f>
        <v>401724.17000000179</v>
      </c>
      <c r="BD488" s="431">
        <f t="shared" ref="BD488:BD496" si="179">IFERROR(BC488/BA488,0)</f>
        <v>3.7420423310856543E-2</v>
      </c>
    </row>
    <row r="489" spans="23:56">
      <c r="AY489" s="502">
        <v>2</v>
      </c>
      <c r="AZ489" s="477" t="str">
        <f t="shared" si="176"/>
        <v>General Service
 &lt; 50 kW</v>
      </c>
      <c r="BA489" s="378">
        <f t="shared" si="177"/>
        <v>3397790.59</v>
      </c>
      <c r="BB489" s="379">
        <v>3351784.87</v>
      </c>
      <c r="BC489" s="504">
        <f t="shared" si="178"/>
        <v>-46005.719999999739</v>
      </c>
      <c r="BD489" s="431">
        <f t="shared" si="179"/>
        <v>-1.3539892698331283E-2</v>
      </c>
    </row>
    <row r="490" spans="23:56">
      <c r="AY490" s="502">
        <v>3</v>
      </c>
      <c r="AZ490" s="477" t="str">
        <f t="shared" si="176"/>
        <v>General Service
 &gt; 50 to 999 kW</v>
      </c>
      <c r="BA490" s="378">
        <f t="shared" si="177"/>
        <v>2903420.02</v>
      </c>
      <c r="BB490" s="379">
        <v>2815103.84</v>
      </c>
      <c r="BC490" s="504">
        <f t="shared" si="178"/>
        <v>-88316.180000000168</v>
      </c>
      <c r="BD490" s="431">
        <f t="shared" si="179"/>
        <v>-3.0417982720943065E-2</v>
      </c>
    </row>
    <row r="491" spans="23:56">
      <c r="AY491" s="502">
        <v>4</v>
      </c>
      <c r="AZ491" s="477" t="str">
        <f t="shared" si="176"/>
        <v>General Service 
&gt; 1000 kW</v>
      </c>
      <c r="BA491" s="378">
        <f t="shared" si="177"/>
        <v>1548554.02</v>
      </c>
      <c r="BB491" s="379">
        <v>1625551.36</v>
      </c>
      <c r="BC491" s="392">
        <f t="shared" si="178"/>
        <v>76997.340000000084</v>
      </c>
      <c r="BD491" s="431">
        <f t="shared" si="179"/>
        <v>4.9722088480968901E-2</v>
      </c>
    </row>
    <row r="492" spans="23:56">
      <c r="AY492" s="502">
        <v>5</v>
      </c>
      <c r="AZ492" s="477" t="str">
        <f t="shared" si="176"/>
        <v>Large User</v>
      </c>
      <c r="BA492" s="378">
        <f t="shared" si="177"/>
        <v>0</v>
      </c>
      <c r="BB492" s="379">
        <v>0</v>
      </c>
      <c r="BC492" s="392">
        <f t="shared" si="178"/>
        <v>0</v>
      </c>
      <c r="BD492" s="431">
        <f t="shared" si="179"/>
        <v>0</v>
      </c>
    </row>
    <row r="493" spans="23:56">
      <c r="AY493" s="502">
        <v>6</v>
      </c>
      <c r="AZ493" s="477" t="str">
        <f t="shared" si="176"/>
        <v>Street Lighting</v>
      </c>
      <c r="BA493" s="378">
        <f t="shared" si="177"/>
        <v>375337.86</v>
      </c>
      <c r="BB493" s="379">
        <v>365812.96</v>
      </c>
      <c r="BC493" s="504">
        <f t="shared" si="178"/>
        <v>-9524.8999999999651</v>
      </c>
      <c r="BD493" s="431">
        <f t="shared" si="179"/>
        <v>-2.5376869788728388E-2</v>
      </c>
    </row>
    <row r="494" spans="23:56">
      <c r="AY494" s="502">
        <v>7</v>
      </c>
      <c r="AZ494" s="477" t="str">
        <f t="shared" si="176"/>
        <v>Sentinel Lighting</v>
      </c>
      <c r="BA494" s="378">
        <f t="shared" si="177"/>
        <v>14794.84</v>
      </c>
      <c r="BB494" s="379">
        <v>14364.9</v>
      </c>
      <c r="BC494" s="504">
        <f t="shared" si="178"/>
        <v>-429.94000000000051</v>
      </c>
      <c r="BD494" s="431">
        <f t="shared" si="179"/>
        <v>-2.9060131775673174E-2</v>
      </c>
    </row>
    <row r="495" spans="23:56">
      <c r="AY495" s="502">
        <v>8</v>
      </c>
      <c r="AZ495" s="477" t="str">
        <f t="shared" si="176"/>
        <v>Unmetered Scattered Load</v>
      </c>
      <c r="BA495" s="378">
        <f t="shared" si="177"/>
        <v>57521.35</v>
      </c>
      <c r="BB495" s="379">
        <v>59144.47</v>
      </c>
      <c r="BC495" s="392">
        <f t="shared" si="178"/>
        <v>1623.1200000000026</v>
      </c>
      <c r="BD495" s="431">
        <f t="shared" si="179"/>
        <v>2.8217696559625298E-2</v>
      </c>
    </row>
    <row r="496" spans="23:56" ht="13.5" thickBot="1">
      <c r="Y496" s="285"/>
      <c r="Z496" s="286"/>
      <c r="AA496" s="286"/>
      <c r="AB496" s="286"/>
      <c r="AC496" s="421"/>
      <c r="AD496" s="554" t="s">
        <v>407</v>
      </c>
      <c r="AE496" s="554"/>
      <c r="AF496" s="554"/>
      <c r="AG496" s="554"/>
      <c r="AH496" s="554"/>
      <c r="AI496" s="554"/>
      <c r="AJ496" s="554"/>
      <c r="AK496" s="554"/>
      <c r="AL496" s="554"/>
      <c r="AM496" s="554"/>
      <c r="AN496" s="554"/>
      <c r="AO496" s="554"/>
      <c r="AY496" s="502">
        <v>9</v>
      </c>
      <c r="AZ496" s="478" t="s">
        <v>12</v>
      </c>
      <c r="BA496" s="384">
        <f>SUM(BA488:BA495)</f>
        <v>19032844.27</v>
      </c>
      <c r="BB496" s="384">
        <f>SUM(BB488:BB495)</f>
        <v>19368912.159999996</v>
      </c>
      <c r="BC496" s="384">
        <f>SUM(BC488:BC495)</f>
        <v>336067.89000000199</v>
      </c>
      <c r="BD496" s="432">
        <f t="shared" si="179"/>
        <v>1.7657260535132936E-2</v>
      </c>
    </row>
    <row r="497" spans="23:43" ht="30" customHeight="1" thickBot="1">
      <c r="Y497" s="395" t="s">
        <v>414</v>
      </c>
      <c r="Z497" s="396">
        <f>BA496-BB496+BC496</f>
        <v>5.1222741603851318E-9</v>
      </c>
      <c r="AA497" s="417"/>
      <c r="AC497" s="487" t="s">
        <v>423</v>
      </c>
      <c r="AD497" s="488" t="s">
        <v>394</v>
      </c>
      <c r="AE497" s="584" t="s">
        <v>385</v>
      </c>
      <c r="AF497" s="584"/>
      <c r="AG497" s="410" t="s">
        <v>386</v>
      </c>
      <c r="AH497" s="583" t="s">
        <v>387</v>
      </c>
      <c r="AI497" s="583"/>
      <c r="AJ497" s="584" t="s">
        <v>388</v>
      </c>
      <c r="AK497" s="584"/>
      <c r="AL497" s="584" t="s">
        <v>389</v>
      </c>
      <c r="AM497" s="584"/>
      <c r="AN497" s="584" t="s">
        <v>390</v>
      </c>
      <c r="AO497" s="585"/>
    </row>
    <row r="498" spans="23:43">
      <c r="Y498" s="497" t="s">
        <v>427</v>
      </c>
      <c r="Z498" s="495">
        <v>19032844.800000001</v>
      </c>
      <c r="AA498" s="495">
        <v>19368912.16</v>
      </c>
      <c r="AC498" s="492">
        <v>1</v>
      </c>
      <c r="AD498" s="586" t="s">
        <v>342</v>
      </c>
      <c r="AE498" s="586"/>
      <c r="AF498" s="586"/>
      <c r="AG498" s="586"/>
      <c r="AH498" s="586"/>
      <c r="AI498" s="385" t="s">
        <v>110</v>
      </c>
      <c r="AJ498" s="386">
        <f>AK461</f>
        <v>0.98370851115594082</v>
      </c>
      <c r="AK498" s="386">
        <f>$K$110</f>
        <v>1.0108308343247139</v>
      </c>
      <c r="AL498" s="588"/>
      <c r="AM498" s="588"/>
      <c r="AN498" s="588"/>
      <c r="AO498" s="589"/>
    </row>
    <row r="499" spans="23:43">
      <c r="Y499" s="72" t="s">
        <v>426</v>
      </c>
      <c r="Z499" s="498">
        <f>BA496-Z498</f>
        <v>-0.5300000011920929</v>
      </c>
      <c r="AA499" s="417">
        <f>BB496-AA498</f>
        <v>0</v>
      </c>
      <c r="AC499" s="491">
        <v>2</v>
      </c>
      <c r="AD499" s="586"/>
      <c r="AE499" s="586"/>
      <c r="AF499" s="586"/>
      <c r="AG499" s="586"/>
      <c r="AH499" s="586"/>
      <c r="AI499" s="280" t="s">
        <v>164</v>
      </c>
      <c r="AJ499" s="279">
        <f t="shared" ref="AJ499:AJ500" si="180">AK462</f>
        <v>0.98945633294710622</v>
      </c>
      <c r="AK499" s="279">
        <f>$K$127</f>
        <v>1.0083787225384615</v>
      </c>
      <c r="AL499" s="590"/>
      <c r="AM499" s="590"/>
      <c r="AN499" s="590"/>
      <c r="AO499" s="591"/>
    </row>
    <row r="500" spans="23:43">
      <c r="AA500" s="417"/>
      <c r="AC500" s="491">
        <v>3</v>
      </c>
      <c r="AD500" s="587"/>
      <c r="AE500" s="587"/>
      <c r="AF500" s="587"/>
      <c r="AG500" s="587"/>
      <c r="AH500" s="587"/>
      <c r="AI500" s="280" t="s">
        <v>395</v>
      </c>
      <c r="AJ500" s="279">
        <f t="shared" si="180"/>
        <v>0.99020565558394347</v>
      </c>
      <c r="AK500" s="279">
        <f>$K$144</f>
        <v>1.0083764667025699</v>
      </c>
      <c r="AL500" s="590"/>
      <c r="AM500" s="590"/>
      <c r="AN500" s="590"/>
      <c r="AO500" s="591"/>
    </row>
    <row r="501" spans="23:43" ht="25.5">
      <c r="AA501" s="417"/>
      <c r="AC501" s="491">
        <v>4</v>
      </c>
      <c r="AD501" s="482"/>
      <c r="AE501" s="270" t="str">
        <f>BA487</f>
        <v>2014 Actual</v>
      </c>
      <c r="AF501" s="270" t="str">
        <f>BB487</f>
        <v>2015 Actual</v>
      </c>
      <c r="AG501" s="280"/>
      <c r="AH501" s="270" t="str">
        <f>AE501</f>
        <v>2014 Actual</v>
      </c>
      <c r="AI501" s="270" t="str">
        <f>AF501</f>
        <v>2015 Actual</v>
      </c>
      <c r="AJ501" s="270" t="str">
        <f t="shared" ref="AJ501" si="181">AH501</f>
        <v>2014 Actual</v>
      </c>
      <c r="AK501" s="270" t="str">
        <f t="shared" ref="AK501" si="182">AI501</f>
        <v>2015 Actual</v>
      </c>
      <c r="AL501" s="270" t="str">
        <f t="shared" ref="AL501" si="183">AJ501</f>
        <v>2014 Actual</v>
      </c>
      <c r="AM501" s="270" t="str">
        <f t="shared" ref="AM501" si="184">AK501</f>
        <v>2015 Actual</v>
      </c>
      <c r="AN501" s="270" t="str">
        <f t="shared" ref="AN501" si="185">AL501</f>
        <v>2014 Actual</v>
      </c>
      <c r="AO501" s="387" t="str">
        <f t="shared" ref="AO501" si="186">AM501</f>
        <v>2015 Actual</v>
      </c>
    </row>
    <row r="502" spans="23:43">
      <c r="AA502" s="417"/>
      <c r="AC502" s="491">
        <v>5</v>
      </c>
      <c r="AD502" s="483" t="str">
        <f t="shared" ref="AD502:AD509" si="187">AZ488</f>
        <v xml:space="preserve">Residential </v>
      </c>
      <c r="AE502" s="249">
        <f>AF465</f>
        <v>45106.2705078125</v>
      </c>
      <c r="AF502" s="249">
        <f>$V$295</f>
        <v>45272.592574993767</v>
      </c>
      <c r="AG502" s="278" t="s">
        <v>120</v>
      </c>
      <c r="AH502" s="278">
        <f>AI465</f>
        <v>340024795.88802838</v>
      </c>
      <c r="AI502" s="278">
        <f>$V$296</f>
        <v>324673269.19699794</v>
      </c>
      <c r="AJ502" s="278">
        <f>AH502*AJ498</f>
        <v>334485285.71911508</v>
      </c>
      <c r="AK502" s="278">
        <f>AI502/AK498</f>
        <v>321194465.15884739</v>
      </c>
      <c r="AL502" s="278">
        <f>AH502/AE502</f>
        <v>7538.3043656676373</v>
      </c>
      <c r="AM502" s="278">
        <f>AI502/AF502</f>
        <v>7171.519251060754</v>
      </c>
      <c r="AN502" s="278">
        <f>AJ502/AE502</f>
        <v>7415.494164191241</v>
      </c>
      <c r="AO502" s="388">
        <f>AK502/AF502</f>
        <v>7094.6779693871249</v>
      </c>
    </row>
    <row r="503" spans="23:43">
      <c r="AA503" s="417"/>
      <c r="AC503" s="491">
        <v>6</v>
      </c>
      <c r="AD503" s="483" t="str">
        <f t="shared" si="187"/>
        <v>General Service
 &lt; 50 kW</v>
      </c>
      <c r="AE503" s="249">
        <f t="shared" ref="AE503:AE509" si="188">AF466</f>
        <v>4577.895263671875</v>
      </c>
      <c r="AF503" s="249">
        <f>$V$299</f>
        <v>4606.5062813957529</v>
      </c>
      <c r="AG503" s="278" t="s">
        <v>120</v>
      </c>
      <c r="AH503" s="281">
        <f t="shared" ref="AH503:AH509" si="189">AI466</f>
        <v>139285835.96861196</v>
      </c>
      <c r="AI503" s="281">
        <f>$V$300</f>
        <v>137179401.47999987</v>
      </c>
      <c r="AJ503" s="278">
        <f t="shared" ref="AJ503:AJ504" si="190">AH503*AJ499</f>
        <v>137817252.48897493</v>
      </c>
      <c r="AK503" s="278">
        <f t="shared" ref="AK503:AK504" si="191">AI503/AK499</f>
        <v>136039563.72132552</v>
      </c>
      <c r="AL503" s="278">
        <f t="shared" ref="AL503:AL509" si="192">AH503/AE503</f>
        <v>30425.736707853917</v>
      </c>
      <c r="AM503" s="278">
        <f t="shared" ref="AM503:AM509" si="193">AI503/AF503</f>
        <v>29779.48864067001</v>
      </c>
      <c r="AN503" s="278">
        <f t="shared" ref="AN503:AN504" si="194">AJ503/AE503</f>
        <v>30104.937870167298</v>
      </c>
      <c r="AO503" s="388">
        <f t="shared" ref="AO503:AO504" si="195">AK503/AF503</f>
        <v>29532.047806110029</v>
      </c>
    </row>
    <row r="504" spans="23:43">
      <c r="AA504" s="417"/>
      <c r="AC504" s="491">
        <v>7</v>
      </c>
      <c r="AD504" s="483" t="str">
        <f t="shared" si="187"/>
        <v>General Service
 &gt; 50 to 999 kW</v>
      </c>
      <c r="AE504" s="249">
        <f t="shared" si="188"/>
        <v>495.30155436197919</v>
      </c>
      <c r="AF504" s="249">
        <f>$V$303</f>
        <v>471.62621294458705</v>
      </c>
      <c r="AG504" s="278" t="s">
        <v>391</v>
      </c>
      <c r="AH504" s="281">
        <f t="shared" si="189"/>
        <v>690826.75000000012</v>
      </c>
      <c r="AI504" s="281">
        <f>$V$305</f>
        <v>668162.78</v>
      </c>
      <c r="AJ504" s="278">
        <f t="shared" si="190"/>
        <v>684060.55487867515</v>
      </c>
      <c r="AK504" s="278">
        <f t="shared" si="191"/>
        <v>662612.42905134254</v>
      </c>
      <c r="AL504" s="278">
        <f t="shared" si="192"/>
        <v>1394.7599072041799</v>
      </c>
      <c r="AM504" s="278">
        <f t="shared" si="193"/>
        <v>1416.7210423448298</v>
      </c>
      <c r="AN504" s="278">
        <f t="shared" si="194"/>
        <v>1381.099148295315</v>
      </c>
      <c r="AO504" s="388">
        <f t="shared" si="195"/>
        <v>1404.9525044724244</v>
      </c>
    </row>
    <row r="505" spans="23:43">
      <c r="AA505" s="417"/>
      <c r="AC505" s="491">
        <v>8</v>
      </c>
      <c r="AD505" s="483" t="str">
        <f t="shared" si="187"/>
        <v>General Service 
&gt; 1000 kW</v>
      </c>
      <c r="AE505" s="249">
        <f t="shared" si="188"/>
        <v>20.762959798177082</v>
      </c>
      <c r="AF505" s="249">
        <f>$V$308</f>
        <v>21.903750717639923</v>
      </c>
      <c r="AG505" s="278" t="s">
        <v>391</v>
      </c>
      <c r="AH505" s="281">
        <f t="shared" si="189"/>
        <v>512108.56049999996</v>
      </c>
      <c r="AI505" s="281">
        <f>$V$310</f>
        <v>535701.6155999999</v>
      </c>
      <c r="AJ505" s="278"/>
      <c r="AK505" s="278"/>
      <c r="AL505" s="278">
        <f t="shared" si="192"/>
        <v>24664.525938395418</v>
      </c>
      <c r="AM505" s="278">
        <f t="shared" si="193"/>
        <v>24457.072330017847</v>
      </c>
      <c r="AN505" s="278"/>
      <c r="AO505" s="388"/>
    </row>
    <row r="506" spans="23:43">
      <c r="W506" s="72">
        <v>2014</v>
      </c>
      <c r="X506" s="72">
        <v>2015</v>
      </c>
      <c r="Y506" s="425">
        <v>42125</v>
      </c>
      <c r="Z506" s="72">
        <v>2015</v>
      </c>
      <c r="AA506" s="417"/>
      <c r="AC506" s="491">
        <v>9</v>
      </c>
      <c r="AD506" s="483" t="str">
        <f t="shared" si="187"/>
        <v>Large User</v>
      </c>
      <c r="AE506" s="249">
        <f t="shared" si="188"/>
        <v>0</v>
      </c>
      <c r="AF506" s="249">
        <f>$V$313</f>
        <v>0</v>
      </c>
      <c r="AG506" s="278" t="s">
        <v>391</v>
      </c>
      <c r="AH506" s="281">
        <f t="shared" si="189"/>
        <v>0</v>
      </c>
      <c r="AI506" s="281">
        <f>$V$315</f>
        <v>0</v>
      </c>
      <c r="AJ506" s="278"/>
      <c r="AK506" s="278"/>
      <c r="AL506" s="278" t="e">
        <f t="shared" si="192"/>
        <v>#DIV/0!</v>
      </c>
      <c r="AM506" s="278" t="e">
        <f t="shared" si="193"/>
        <v>#DIV/0!</v>
      </c>
      <c r="AN506" s="278"/>
      <c r="AO506" s="388"/>
    </row>
    <row r="507" spans="23:43">
      <c r="W507" s="435">
        <f>AE502*12*Z469</f>
        <v>0</v>
      </c>
      <c r="X507" s="435">
        <f>AF502*12*Z507</f>
        <v>2350553.0064936769</v>
      </c>
      <c r="Y507" s="72">
        <v>12.98</v>
      </c>
      <c r="Z507" s="427">
        <f t="shared" ref="Z507:Z516" si="196">Y507*4/12+Y469*8/12</f>
        <v>4.3266666666666671</v>
      </c>
      <c r="AA507" s="417">
        <f>AE512*Z507*12</f>
        <v>8635.441728051379</v>
      </c>
      <c r="AC507" s="491">
        <v>10</v>
      </c>
      <c r="AD507" s="483" t="str">
        <f t="shared" si="187"/>
        <v>Street Lighting</v>
      </c>
      <c r="AE507" s="249">
        <f t="shared" si="188"/>
        <v>13148.318033854166</v>
      </c>
      <c r="AF507" s="249">
        <f>$V$318</f>
        <v>13197.213741430789</v>
      </c>
      <c r="AG507" s="278" t="s">
        <v>391</v>
      </c>
      <c r="AH507" s="281">
        <f t="shared" si="189"/>
        <v>29216.71</v>
      </c>
      <c r="AI507" s="281">
        <f>$V$320</f>
        <v>27043.15</v>
      </c>
      <c r="AJ507" s="278"/>
      <c r="AK507" s="278"/>
      <c r="AL507" s="278">
        <f t="shared" si="192"/>
        <v>2.2220872604977373</v>
      </c>
      <c r="AM507" s="278">
        <f t="shared" si="193"/>
        <v>2.0491560211002606</v>
      </c>
      <c r="AN507" s="278"/>
      <c r="AO507" s="388"/>
    </row>
    <row r="508" spans="23:43">
      <c r="W508" s="435"/>
      <c r="X508" s="435"/>
      <c r="Y508" s="72">
        <v>26.66</v>
      </c>
      <c r="Z508" s="427">
        <f t="shared" si="196"/>
        <v>8.8866666666666667</v>
      </c>
      <c r="AA508" s="417">
        <f>AE513*Z508*12</f>
        <v>3051.0789300743418</v>
      </c>
      <c r="AC508" s="491">
        <v>11</v>
      </c>
      <c r="AD508" s="483" t="str">
        <f t="shared" si="187"/>
        <v>Sentinel Lighting</v>
      </c>
      <c r="AE508" s="249">
        <f t="shared" si="188"/>
        <v>172.08199055989584</v>
      </c>
      <c r="AF508" s="249">
        <f>$V$323</f>
        <v>170.93070442477861</v>
      </c>
      <c r="AG508" s="278" t="s">
        <v>391</v>
      </c>
      <c r="AH508" s="281">
        <f t="shared" si="189"/>
        <v>392.34693847656257</v>
      </c>
      <c r="AI508" s="281">
        <f>$V$325</f>
        <v>307.67526796460157</v>
      </c>
      <c r="AJ508" s="278"/>
      <c r="AK508" s="278"/>
      <c r="AL508" s="278">
        <f t="shared" si="192"/>
        <v>2.2800000000000002</v>
      </c>
      <c r="AM508" s="278">
        <f t="shared" si="193"/>
        <v>1.8000000000000005</v>
      </c>
      <c r="AN508" s="278"/>
      <c r="AO508" s="388"/>
    </row>
    <row r="509" spans="23:43">
      <c r="W509" s="435"/>
      <c r="X509" s="435"/>
      <c r="Y509" s="72">
        <v>200.63</v>
      </c>
      <c r="Z509" s="427">
        <f t="shared" si="196"/>
        <v>66.876666666666665</v>
      </c>
      <c r="AA509" s="417">
        <f>AE514*Z509*12</f>
        <v>-18999.934994285533</v>
      </c>
      <c r="AC509" s="491">
        <v>12</v>
      </c>
      <c r="AD509" s="483" t="str">
        <f t="shared" si="187"/>
        <v>Unmetered Scattered Load</v>
      </c>
      <c r="AE509" s="249">
        <f t="shared" si="188"/>
        <v>462.49702962239581</v>
      </c>
      <c r="AF509" s="249">
        <f>$V$328</f>
        <v>451.08502161006135</v>
      </c>
      <c r="AG509" s="278" t="s">
        <v>120</v>
      </c>
      <c r="AH509" s="281">
        <f t="shared" si="189"/>
        <v>2099765.3300000005</v>
      </c>
      <c r="AI509" s="281">
        <f>$V$329</f>
        <v>2203934.8200000003</v>
      </c>
      <c r="AJ509" s="278"/>
      <c r="AK509" s="278"/>
      <c r="AL509" s="278">
        <f t="shared" si="192"/>
        <v>4540.0623042148982</v>
      </c>
      <c r="AM509" s="278">
        <f t="shared" si="193"/>
        <v>4885.8523657768073</v>
      </c>
      <c r="AN509" s="278"/>
      <c r="AO509" s="388"/>
      <c r="AP509" s="72" t="s">
        <v>428</v>
      </c>
    </row>
    <row r="510" spans="23:43">
      <c r="W510" s="435"/>
      <c r="X510" s="435"/>
      <c r="Y510" s="72">
        <v>2870.51</v>
      </c>
      <c r="Z510" s="427">
        <f t="shared" si="196"/>
        <v>956.8366666666667</v>
      </c>
      <c r="AA510" s="417">
        <f>AE515*Z510*12</f>
        <v>13098.606968909118</v>
      </c>
      <c r="AC510" s="491">
        <v>13</v>
      </c>
      <c r="AD510" s="483" t="s">
        <v>5</v>
      </c>
      <c r="AE510" s="249">
        <f>SUM(AE502:AE509)</f>
        <v>63983.127339680992</v>
      </c>
      <c r="AF510" s="249">
        <f>SUM(AF502:AF509)</f>
        <v>64191.858287517374</v>
      </c>
      <c r="AG510" s="278"/>
      <c r="AH510" s="281"/>
      <c r="AI510" s="281"/>
      <c r="AJ510" s="281"/>
      <c r="AK510" s="281"/>
      <c r="AL510" s="281"/>
      <c r="AM510" s="281"/>
      <c r="AN510" s="281"/>
      <c r="AO510" s="389"/>
      <c r="AP510" s="72" t="s">
        <v>363</v>
      </c>
      <c r="AQ510" s="72" t="s">
        <v>429</v>
      </c>
    </row>
    <row r="511" spans="23:43">
      <c r="W511" s="435"/>
      <c r="X511" s="435"/>
      <c r="Z511" s="427">
        <f t="shared" si="196"/>
        <v>0</v>
      </c>
      <c r="AA511" s="417"/>
      <c r="AC511" s="491">
        <v>14</v>
      </c>
      <c r="AD511" s="367"/>
      <c r="AE511" s="590" t="s">
        <v>392</v>
      </c>
      <c r="AF511" s="590"/>
      <c r="AG511" s="230"/>
      <c r="AH511" s="590" t="s">
        <v>392</v>
      </c>
      <c r="AI511" s="590"/>
      <c r="AJ511" s="596" t="s">
        <v>392</v>
      </c>
      <c r="AK511" s="596"/>
      <c r="AL511" s="596" t="s">
        <v>392</v>
      </c>
      <c r="AM511" s="596"/>
      <c r="AN511" s="596" t="s">
        <v>392</v>
      </c>
      <c r="AO511" s="597"/>
      <c r="AQ511" s="72" t="s">
        <v>430</v>
      </c>
    </row>
    <row r="512" spans="23:43">
      <c r="W512" s="435"/>
      <c r="X512" s="435"/>
      <c r="Z512" s="427">
        <f t="shared" si="196"/>
        <v>0</v>
      </c>
      <c r="AA512" s="417"/>
      <c r="AC512" s="491">
        <v>15</v>
      </c>
      <c r="AD512" s="484" t="str">
        <f>AD502</f>
        <v xml:space="preserve">Residential </v>
      </c>
      <c r="AE512" s="598">
        <f t="shared" ref="AE512:AE519" si="197">AF502-AE502</f>
        <v>166.3220671812669</v>
      </c>
      <c r="AF512" s="598"/>
      <c r="AG512" s="278" t="str">
        <f>AG502</f>
        <v>kWh</v>
      </c>
      <c r="AH512" s="598">
        <f>AI502-AH502</f>
        <v>-15351526.691030443</v>
      </c>
      <c r="AI512" s="598"/>
      <c r="AJ512" s="598">
        <f>AK502-AJ502</f>
        <v>-13290820.560267687</v>
      </c>
      <c r="AK512" s="598"/>
      <c r="AL512" s="598">
        <f>AM502-AL502</f>
        <v>-366.78511460688333</v>
      </c>
      <c r="AM512" s="598"/>
      <c r="AN512" s="598">
        <f>AO502-AN502</f>
        <v>-320.81619480411609</v>
      </c>
      <c r="AO512" s="599"/>
      <c r="AP512" s="393">
        <f>AH512/AH502</f>
        <v>-4.5148256470348022E-2</v>
      </c>
      <c r="AQ512" s="393">
        <f>AJ512/AJ502</f>
        <v>-3.9735142703493057E-2</v>
      </c>
    </row>
    <row r="513" spans="23:56">
      <c r="W513" s="435">
        <f>AH502*Z475</f>
        <v>0</v>
      </c>
      <c r="X513" s="435">
        <f>AI502*Z513</f>
        <v>1363627.7306273913</v>
      </c>
      <c r="Y513" s="72">
        <v>1.26E-2</v>
      </c>
      <c r="Z513" s="426">
        <f t="shared" si="196"/>
        <v>4.1999999999999997E-3</v>
      </c>
      <c r="AA513" s="428">
        <f>AH512*Z513</f>
        <v>-64476.412102327857</v>
      </c>
      <c r="AC513" s="491">
        <v>16</v>
      </c>
      <c r="AD513" s="484" t="str">
        <f t="shared" ref="AD513:AD519" si="198">AD503</f>
        <v>General Service
 &lt; 50 kW</v>
      </c>
      <c r="AE513" s="598">
        <f t="shared" si="197"/>
        <v>28.611017723877922</v>
      </c>
      <c r="AF513" s="598"/>
      <c r="AG513" s="278" t="str">
        <f t="shared" ref="AG513:AG519" si="199">AG503</f>
        <v>kWh</v>
      </c>
      <c r="AH513" s="598">
        <f t="shared" ref="AH513:AH517" si="200">AI503-AH503</f>
        <v>-2106434.4886120856</v>
      </c>
      <c r="AI513" s="598"/>
      <c r="AJ513" s="598">
        <f t="shared" ref="AJ513:AJ514" si="201">AK503-AJ503</f>
        <v>-1777688.7676494122</v>
      </c>
      <c r="AK513" s="598"/>
      <c r="AL513" s="598">
        <f t="shared" ref="AL513:AL518" si="202">AM503-AL503</f>
        <v>-646.24806718390755</v>
      </c>
      <c r="AM513" s="598"/>
      <c r="AN513" s="598">
        <f>AO503-AN503</f>
        <v>-572.89006405726832</v>
      </c>
      <c r="AO513" s="599"/>
      <c r="AP513" s="393">
        <f>AH513/AH503</f>
        <v>-1.5123106193559914E-2</v>
      </c>
      <c r="AQ513" s="393">
        <f>AJ513/AJ503</f>
        <v>-1.2898884105904108E-2</v>
      </c>
    </row>
    <row r="514" spans="23:56">
      <c r="W514" s="436">
        <f>SUM(W507:W513)</f>
        <v>0</v>
      </c>
      <c r="X514" s="436">
        <f>SUM(X507:X513)</f>
        <v>3714180.7371210679</v>
      </c>
      <c r="Y514" s="72">
        <v>1.38E-2</v>
      </c>
      <c r="Z514" s="426">
        <f t="shared" si="196"/>
        <v>4.5999999999999999E-3</v>
      </c>
      <c r="AA514" s="429">
        <f>AH513*Z514</f>
        <v>-9689.598647615594</v>
      </c>
      <c r="AC514" s="491">
        <v>17</v>
      </c>
      <c r="AD514" s="484" t="str">
        <f t="shared" si="198"/>
        <v>General Service
 &gt; 50 to 999 kW</v>
      </c>
      <c r="AE514" s="598">
        <f t="shared" si="197"/>
        <v>-23.675341417392133</v>
      </c>
      <c r="AF514" s="598"/>
      <c r="AG514" s="278" t="str">
        <f t="shared" si="199"/>
        <v>kW</v>
      </c>
      <c r="AH514" s="598">
        <f t="shared" si="200"/>
        <v>-22663.970000000088</v>
      </c>
      <c r="AI514" s="598"/>
      <c r="AJ514" s="598">
        <f t="shared" si="201"/>
        <v>-21448.125827332609</v>
      </c>
      <c r="AK514" s="598"/>
      <c r="AL514" s="598">
        <f t="shared" si="202"/>
        <v>21.961135140649958</v>
      </c>
      <c r="AM514" s="598"/>
      <c r="AN514" s="598">
        <f>AO504-AN504</f>
        <v>23.85335617710939</v>
      </c>
      <c r="AO514" s="599"/>
    </row>
    <row r="515" spans="23:56">
      <c r="Y515" s="72">
        <v>2.5533000000000001</v>
      </c>
      <c r="Z515" s="426">
        <f t="shared" si="196"/>
        <v>0.85110000000000008</v>
      </c>
      <c r="AA515" s="429">
        <f>AH514*Z515</f>
        <v>-19289.304867000075</v>
      </c>
      <c r="AC515" s="491">
        <v>18</v>
      </c>
      <c r="AD515" s="484" t="str">
        <f t="shared" si="198"/>
        <v>General Service 
&gt; 1000 kW</v>
      </c>
      <c r="AE515" s="598">
        <f t="shared" si="197"/>
        <v>1.1407909194628409</v>
      </c>
      <c r="AF515" s="598"/>
      <c r="AG515" s="278" t="str">
        <f t="shared" si="199"/>
        <v>kW</v>
      </c>
      <c r="AH515" s="598">
        <f t="shared" si="200"/>
        <v>23593.05509999994</v>
      </c>
      <c r="AI515" s="598"/>
      <c r="AJ515" s="598"/>
      <c r="AK515" s="598"/>
      <c r="AL515" s="598">
        <f t="shared" si="202"/>
        <v>-207.45360837757107</v>
      </c>
      <c r="AM515" s="598"/>
      <c r="AN515" s="598"/>
      <c r="AO515" s="599"/>
    </row>
    <row r="516" spans="23:56">
      <c r="W516" s="277"/>
      <c r="X516" s="277"/>
      <c r="Y516" s="277">
        <v>2.2679</v>
      </c>
      <c r="Z516" s="426">
        <f t="shared" si="196"/>
        <v>0.75596666666666668</v>
      </c>
      <c r="AA516" s="430">
        <f>AH515*Z516</f>
        <v>17835.563220429955</v>
      </c>
      <c r="AC516" s="491">
        <v>19</v>
      </c>
      <c r="AD516" s="484" t="str">
        <f t="shared" si="198"/>
        <v>Large User</v>
      </c>
      <c r="AE516" s="598">
        <f t="shared" si="197"/>
        <v>0</v>
      </c>
      <c r="AF516" s="598"/>
      <c r="AG516" s="278" t="str">
        <f t="shared" si="199"/>
        <v>kW</v>
      </c>
      <c r="AH516" s="598">
        <f t="shared" si="200"/>
        <v>0</v>
      </c>
      <c r="AI516" s="598"/>
      <c r="AJ516" s="598"/>
      <c r="AK516" s="598"/>
      <c r="AL516" s="598" t="e">
        <f t="shared" si="202"/>
        <v>#DIV/0!</v>
      </c>
      <c r="AM516" s="598"/>
      <c r="AN516" s="598"/>
      <c r="AO516" s="599"/>
    </row>
    <row r="517" spans="23:56">
      <c r="W517" s="277"/>
      <c r="X517" s="277"/>
      <c r="Y517" s="277"/>
      <c r="Z517" s="277"/>
      <c r="AA517" s="422"/>
      <c r="AC517" s="491">
        <v>20</v>
      </c>
      <c r="AD517" s="484" t="str">
        <f t="shared" si="198"/>
        <v>Street Lighting</v>
      </c>
      <c r="AE517" s="598">
        <f t="shared" si="197"/>
        <v>48.895707576622954</v>
      </c>
      <c r="AF517" s="598"/>
      <c r="AG517" s="278" t="str">
        <f t="shared" si="199"/>
        <v>kW</v>
      </c>
      <c r="AH517" s="598">
        <f t="shared" si="200"/>
        <v>-2173.5599999999977</v>
      </c>
      <c r="AI517" s="598"/>
      <c r="AJ517" s="598"/>
      <c r="AK517" s="598"/>
      <c r="AL517" s="598">
        <f t="shared" si="202"/>
        <v>-0.17293123939747668</v>
      </c>
      <c r="AM517" s="598"/>
      <c r="AN517" s="598"/>
      <c r="AO517" s="599"/>
    </row>
    <row r="518" spans="23:56">
      <c r="W518" s="277"/>
      <c r="X518" s="277"/>
      <c r="Y518" s="277"/>
      <c r="Z518" s="277"/>
      <c r="AA518" s="422"/>
      <c r="AC518" s="491">
        <v>21</v>
      </c>
      <c r="AD518" s="484" t="str">
        <f t="shared" si="198"/>
        <v>Sentinel Lighting</v>
      </c>
      <c r="AE518" s="598">
        <f t="shared" si="197"/>
        <v>-1.1512861351172319</v>
      </c>
      <c r="AF518" s="598"/>
      <c r="AG518" s="278" t="str">
        <f t="shared" si="199"/>
        <v>kW</v>
      </c>
      <c r="AH518" s="598">
        <f>AI508-AH508</f>
        <v>-84.671670511960997</v>
      </c>
      <c r="AI518" s="598"/>
      <c r="AJ518" s="598"/>
      <c r="AK518" s="598"/>
      <c r="AL518" s="598">
        <f t="shared" si="202"/>
        <v>-0.47999999999999976</v>
      </c>
      <c r="AM518" s="598"/>
      <c r="AN518" s="598"/>
      <c r="AO518" s="599"/>
    </row>
    <row r="519" spans="23:56" ht="13.5" thickBot="1">
      <c r="W519" s="277"/>
      <c r="X519" s="277"/>
      <c r="Y519" s="277"/>
      <c r="Z519" s="277"/>
      <c r="AA519" s="422"/>
      <c r="AC519" s="491">
        <v>22</v>
      </c>
      <c r="AD519" s="485" t="str">
        <f t="shared" si="198"/>
        <v>Unmetered Scattered Load</v>
      </c>
      <c r="AE519" s="600">
        <f t="shared" si="197"/>
        <v>-11.412008012334468</v>
      </c>
      <c r="AF519" s="600"/>
      <c r="AG519" s="390" t="str">
        <f t="shared" si="199"/>
        <v>kWh</v>
      </c>
      <c r="AH519" s="600">
        <f>AI509-AH509</f>
        <v>104169.48999999976</v>
      </c>
      <c r="AI519" s="600"/>
      <c r="AJ519" s="600"/>
      <c r="AK519" s="600"/>
      <c r="AL519" s="600">
        <f>AM509-AL509</f>
        <v>345.79006156190917</v>
      </c>
      <c r="AM519" s="600"/>
      <c r="AN519" s="600"/>
      <c r="AO519" s="601"/>
    </row>
    <row r="520" spans="23:56">
      <c r="AA520" s="417"/>
    </row>
    <row r="521" spans="23:56">
      <c r="AI521" s="393">
        <f>AH512/AH502</f>
        <v>-4.5148256470348022E-2</v>
      </c>
    </row>
    <row r="523" spans="23:56" ht="13.5" thickBot="1">
      <c r="AZ523" s="413" t="s">
        <v>408</v>
      </c>
      <c r="BA523" s="414"/>
      <c r="BB523" s="414"/>
      <c r="BC523" s="414"/>
      <c r="BD523" s="415"/>
    </row>
    <row r="524" spans="23:56" ht="13.5" thickBot="1">
      <c r="AY524" s="474" t="s">
        <v>424</v>
      </c>
      <c r="AZ524" s="480" t="s">
        <v>412</v>
      </c>
      <c r="BA524" s="376" t="s">
        <v>405</v>
      </c>
      <c r="BB524" s="377" t="s">
        <v>335</v>
      </c>
      <c r="BC524" s="377" t="s">
        <v>383</v>
      </c>
      <c r="BD524" s="420" t="s">
        <v>384</v>
      </c>
    </row>
    <row r="525" spans="23:56">
      <c r="AY525" s="411">
        <v>1</v>
      </c>
      <c r="AZ525" s="476" t="str">
        <f t="shared" ref="AZ525:AZ532" si="203">AZ488</f>
        <v xml:space="preserve">Residential </v>
      </c>
      <c r="BA525" s="378">
        <f t="shared" ref="BA525:BA532" si="204">+BB488</f>
        <v>11137149.76</v>
      </c>
      <c r="BB525" s="378">
        <v>11485547</v>
      </c>
      <c r="BC525" s="392">
        <f t="shared" ref="BC525:BC532" si="205">BB525-BA525</f>
        <v>348397.24000000022</v>
      </c>
      <c r="BD525" s="431">
        <f t="shared" ref="BD525:BD533" si="206">IFERROR(BC525/BA525,0)</f>
        <v>3.1282441873170988E-2</v>
      </c>
    </row>
    <row r="526" spans="23:56">
      <c r="AY526" s="412">
        <v>2</v>
      </c>
      <c r="AZ526" s="477" t="str">
        <f t="shared" si="203"/>
        <v>General Service
 &lt; 50 kW</v>
      </c>
      <c r="BA526" s="378">
        <f t="shared" si="204"/>
        <v>3351784.87</v>
      </c>
      <c r="BB526" s="379">
        <f>3484215-BB532</f>
        <v>3423331.68</v>
      </c>
      <c r="BC526" s="392">
        <f t="shared" si="205"/>
        <v>71546.810000000056</v>
      </c>
      <c r="BD526" s="431">
        <f t="shared" si="206"/>
        <v>2.1345883693305191E-2</v>
      </c>
    </row>
    <row r="527" spans="23:56">
      <c r="AY527" s="412">
        <v>3</v>
      </c>
      <c r="AZ527" s="477" t="str">
        <f t="shared" si="203"/>
        <v>General Service
 &gt; 50 to 999 kW</v>
      </c>
      <c r="BA527" s="378">
        <f t="shared" si="204"/>
        <v>2815103.84</v>
      </c>
      <c r="BB527" s="379">
        <v>2865206</v>
      </c>
      <c r="BC527" s="392">
        <f t="shared" si="205"/>
        <v>50102.160000000149</v>
      </c>
      <c r="BD527" s="431">
        <f t="shared" si="206"/>
        <v>1.7797624118902892E-2</v>
      </c>
    </row>
    <row r="528" spans="23:56">
      <c r="AY528" s="412">
        <v>4</v>
      </c>
      <c r="AZ528" s="477" t="str">
        <f t="shared" si="203"/>
        <v>General Service 
&gt; 1000 kW</v>
      </c>
      <c r="BA528" s="378">
        <f t="shared" si="204"/>
        <v>1625551.36</v>
      </c>
      <c r="BB528" s="379">
        <v>1642678</v>
      </c>
      <c r="BC528" s="392">
        <f t="shared" si="205"/>
        <v>17126.639999999898</v>
      </c>
      <c r="BD528" s="431">
        <f t="shared" si="206"/>
        <v>1.0535895955941925E-2</v>
      </c>
    </row>
    <row r="529" spans="25:56">
      <c r="AY529" s="412">
        <v>5</v>
      </c>
      <c r="AZ529" s="477" t="str">
        <f t="shared" si="203"/>
        <v>Large User</v>
      </c>
      <c r="BA529" s="378">
        <f t="shared" si="204"/>
        <v>0</v>
      </c>
      <c r="BB529" s="379">
        <v>0</v>
      </c>
      <c r="BC529" s="392">
        <f t="shared" si="205"/>
        <v>0</v>
      </c>
      <c r="BD529" s="431">
        <f t="shared" si="206"/>
        <v>0</v>
      </c>
    </row>
    <row r="530" spans="25:56">
      <c r="AY530" s="412">
        <v>6</v>
      </c>
      <c r="AZ530" s="477" t="str">
        <f t="shared" si="203"/>
        <v>Street Lighting</v>
      </c>
      <c r="BA530" s="378">
        <f t="shared" si="204"/>
        <v>365812.96</v>
      </c>
      <c r="BB530" s="379">
        <v>356548</v>
      </c>
      <c r="BC530" s="504">
        <f t="shared" si="205"/>
        <v>-9264.960000000021</v>
      </c>
      <c r="BD530" s="431">
        <f t="shared" si="206"/>
        <v>-2.5327041447629466E-2</v>
      </c>
    </row>
    <row r="531" spans="25:56">
      <c r="AY531" s="412">
        <v>7</v>
      </c>
      <c r="AZ531" s="477" t="str">
        <f t="shared" si="203"/>
        <v>Sentinel Lighting</v>
      </c>
      <c r="BA531" s="378">
        <f t="shared" si="204"/>
        <v>14364.9</v>
      </c>
      <c r="BB531" s="379">
        <v>15454</v>
      </c>
      <c r="BC531" s="392">
        <f t="shared" si="205"/>
        <v>1089.1000000000004</v>
      </c>
      <c r="BD531" s="431">
        <f t="shared" si="206"/>
        <v>7.5816747767126838E-2</v>
      </c>
    </row>
    <row r="532" spans="25:56">
      <c r="AY532" s="412">
        <v>8</v>
      </c>
      <c r="AZ532" s="477" t="str">
        <f t="shared" si="203"/>
        <v>Unmetered Scattered Load</v>
      </c>
      <c r="BA532" s="378">
        <f t="shared" si="204"/>
        <v>59144.47</v>
      </c>
      <c r="BB532" s="379">
        <f>60883.32</f>
        <v>60883.32</v>
      </c>
      <c r="BC532" s="392">
        <f t="shared" si="205"/>
        <v>1738.8499999999985</v>
      </c>
      <c r="BD532" s="431">
        <f t="shared" si="206"/>
        <v>2.9400043655814289E-2</v>
      </c>
    </row>
    <row r="533" spans="25:56" ht="13.5" thickBot="1">
      <c r="Y533" s="285"/>
      <c r="Z533" s="286"/>
      <c r="AA533" s="286"/>
      <c r="AB533" s="286"/>
      <c r="AC533" s="421"/>
      <c r="AD533" s="554" t="s">
        <v>409</v>
      </c>
      <c r="AE533" s="554"/>
      <c r="AF533" s="554"/>
      <c r="AG533" s="554"/>
      <c r="AH533" s="554"/>
      <c r="AI533" s="554"/>
      <c r="AJ533" s="554"/>
      <c r="AK533" s="554"/>
      <c r="AL533" s="554"/>
      <c r="AM533" s="554"/>
      <c r="AN533" s="554"/>
      <c r="AO533" s="554"/>
      <c r="AY533" s="412">
        <v>9</v>
      </c>
      <c r="AZ533" s="478" t="s">
        <v>12</v>
      </c>
      <c r="BA533" s="384">
        <f>SUM(BA525:BA532)</f>
        <v>19368912.159999996</v>
      </c>
      <c r="BB533" s="384">
        <f>SUM(BB525:BB532)</f>
        <v>19849648</v>
      </c>
      <c r="BC533" s="384">
        <f>SUM(BC525:BC532)</f>
        <v>480735.84000000026</v>
      </c>
      <c r="BD533" s="432">
        <f t="shared" si="206"/>
        <v>2.4819971097437221E-2</v>
      </c>
    </row>
    <row r="534" spans="25:56" ht="32.25" customHeight="1" thickBot="1">
      <c r="Y534" s="395" t="s">
        <v>414</v>
      </c>
      <c r="Z534" s="396">
        <f>BA533-BB533+BC533</f>
        <v>-3.3178366720676422E-9</v>
      </c>
      <c r="AA534" s="417"/>
      <c r="AC534" s="493" t="s">
        <v>423</v>
      </c>
      <c r="AD534" s="488" t="s">
        <v>394</v>
      </c>
      <c r="AE534" s="584" t="s">
        <v>385</v>
      </c>
      <c r="AF534" s="584"/>
      <c r="AG534" s="410" t="s">
        <v>386</v>
      </c>
      <c r="AH534" s="583" t="s">
        <v>387</v>
      </c>
      <c r="AI534" s="583"/>
      <c r="AJ534" s="584" t="s">
        <v>388</v>
      </c>
      <c r="AK534" s="584"/>
      <c r="AL534" s="584" t="s">
        <v>389</v>
      </c>
      <c r="AM534" s="584"/>
      <c r="AN534" s="584" t="s">
        <v>390</v>
      </c>
      <c r="AO534" s="585"/>
    </row>
    <row r="535" spans="25:56" ht="13.5" thickBot="1">
      <c r="Y535" s="497" t="s">
        <v>427</v>
      </c>
      <c r="Z535" s="495">
        <v>19368912.16</v>
      </c>
      <c r="AA535" s="495">
        <v>19849649</v>
      </c>
      <c r="AC535" s="492">
        <v>1</v>
      </c>
      <c r="AD535" s="586" t="s">
        <v>342</v>
      </c>
      <c r="AE535" s="586"/>
      <c r="AF535" s="586"/>
      <c r="AG535" s="586"/>
      <c r="AH535" s="586"/>
      <c r="AI535" s="385" t="s">
        <v>110</v>
      </c>
      <c r="AJ535" s="386">
        <f>AK498</f>
        <v>1.0108308343247139</v>
      </c>
      <c r="AK535" s="386">
        <f>$K$111</f>
        <v>1</v>
      </c>
      <c r="AL535" s="588"/>
      <c r="AM535" s="588"/>
      <c r="AN535" s="588"/>
      <c r="AO535" s="589"/>
    </row>
    <row r="536" spans="25:56" ht="16.5" thickTop="1" thickBot="1">
      <c r="Y536" s="72" t="s">
        <v>426</v>
      </c>
      <c r="Z536" s="499">
        <f>BA533-Z535</f>
        <v>0</v>
      </c>
      <c r="AA536" s="499">
        <f>BB533-AA535</f>
        <v>-1</v>
      </c>
      <c r="AC536" s="491">
        <v>2</v>
      </c>
      <c r="AD536" s="586"/>
      <c r="AE536" s="586"/>
      <c r="AF536" s="586"/>
      <c r="AG536" s="586"/>
      <c r="AH536" s="586"/>
      <c r="AI536" s="280" t="s">
        <v>164</v>
      </c>
      <c r="AJ536" s="279">
        <f t="shared" ref="AJ536:AJ537" si="207">AK499</f>
        <v>1.0083787225384615</v>
      </c>
      <c r="AK536" s="279">
        <f>$K$128</f>
        <v>1</v>
      </c>
      <c r="AL536" s="590"/>
      <c r="AM536" s="590"/>
      <c r="AN536" s="590"/>
      <c r="AO536" s="591"/>
    </row>
    <row r="537" spans="25:56" ht="13.5" thickTop="1">
      <c r="AA537" s="417"/>
      <c r="AC537" s="491">
        <v>3</v>
      </c>
      <c r="AD537" s="587"/>
      <c r="AE537" s="587"/>
      <c r="AF537" s="587"/>
      <c r="AG537" s="587"/>
      <c r="AH537" s="587"/>
      <c r="AI537" s="280" t="s">
        <v>395</v>
      </c>
      <c r="AJ537" s="279">
        <f t="shared" si="207"/>
        <v>1.0083764667025699</v>
      </c>
      <c r="AK537" s="279">
        <f>$K$145</f>
        <v>1</v>
      </c>
      <c r="AL537" s="590"/>
      <c r="AM537" s="590"/>
      <c r="AN537" s="590"/>
      <c r="AO537" s="591"/>
    </row>
    <row r="538" spans="25:56" ht="25.5">
      <c r="AA538" s="417"/>
      <c r="AC538" s="491">
        <v>4</v>
      </c>
      <c r="AD538" s="482"/>
      <c r="AE538" s="270" t="str">
        <f>BA524</f>
        <v>2015 Actual</v>
      </c>
      <c r="AF538" s="270" t="str">
        <f>BB524</f>
        <v>2016 Bridge</v>
      </c>
      <c r="AG538" s="280"/>
      <c r="AH538" s="270" t="str">
        <f>AE538</f>
        <v>2015 Actual</v>
      </c>
      <c r="AI538" s="270" t="str">
        <f>AF538</f>
        <v>2016 Bridge</v>
      </c>
      <c r="AJ538" s="270" t="str">
        <f t="shared" ref="AJ538" si="208">AH538</f>
        <v>2015 Actual</v>
      </c>
      <c r="AK538" s="270" t="str">
        <f t="shared" ref="AK538" si="209">AI538</f>
        <v>2016 Bridge</v>
      </c>
      <c r="AL538" s="270" t="str">
        <f t="shared" ref="AL538" si="210">AJ538</f>
        <v>2015 Actual</v>
      </c>
      <c r="AM538" s="270" t="str">
        <f t="shared" ref="AM538" si="211">AK538</f>
        <v>2016 Bridge</v>
      </c>
      <c r="AN538" s="270" t="str">
        <f t="shared" ref="AN538" si="212">AL538</f>
        <v>2015 Actual</v>
      </c>
      <c r="AO538" s="387" t="str">
        <f t="shared" ref="AO538" si="213">AM538</f>
        <v>2016 Bridge</v>
      </c>
    </row>
    <row r="539" spans="25:56">
      <c r="AA539" s="417"/>
      <c r="AC539" s="491">
        <v>5</v>
      </c>
      <c r="AD539" s="483" t="str">
        <f t="shared" ref="AD539:AD546" si="214">AZ525</f>
        <v xml:space="preserve">Residential </v>
      </c>
      <c r="AE539" s="249">
        <f>AF502</f>
        <v>45272.592574993767</v>
      </c>
      <c r="AF539" s="249">
        <f>$W$295</f>
        <v>45415.196555804439</v>
      </c>
      <c r="AG539" s="278" t="s">
        <v>120</v>
      </c>
      <c r="AH539" s="278">
        <f>AI502</f>
        <v>324673269.19699794</v>
      </c>
      <c r="AI539" s="278">
        <f>$W$296</f>
        <v>336497281.40370446</v>
      </c>
      <c r="AJ539" s="278">
        <f>AH539*AJ535</f>
        <v>328189751.58533388</v>
      </c>
      <c r="AK539" s="278">
        <f>AI539/AK535</f>
        <v>336497281.40370446</v>
      </c>
      <c r="AL539" s="278">
        <f>AH539/AE539</f>
        <v>7171.519251060754</v>
      </c>
      <c r="AM539" s="278">
        <f>AI539/AF539</f>
        <v>7409.3542893782169</v>
      </c>
      <c r="AN539" s="278">
        <f>AJ539/AE539</f>
        <v>7249.1927879254899</v>
      </c>
      <c r="AO539" s="388">
        <f>AK539/AF539</f>
        <v>7409.3542893782169</v>
      </c>
    </row>
    <row r="540" spans="25:56">
      <c r="AA540" s="417"/>
      <c r="AC540" s="491">
        <v>6</v>
      </c>
      <c r="AD540" s="483" t="str">
        <f t="shared" si="214"/>
        <v>General Service
 &lt; 50 kW</v>
      </c>
      <c r="AE540" s="249">
        <f t="shared" ref="AE540:AE546" si="215">AF503</f>
        <v>4606.5062813957529</v>
      </c>
      <c r="AF540" s="249">
        <f>$W$299</f>
        <v>4623.1350602549164</v>
      </c>
      <c r="AG540" s="278" t="s">
        <v>120</v>
      </c>
      <c r="AH540" s="281">
        <f t="shared" ref="AH540:AH546" si="216">AI503</f>
        <v>137179401.47999987</v>
      </c>
      <c r="AI540" s="281">
        <f>$W$300</f>
        <v>138537070.73480821</v>
      </c>
      <c r="AJ540" s="278">
        <f t="shared" ref="AJ540:AJ541" si="217">AH540*AJ536</f>
        <v>138328789.62299299</v>
      </c>
      <c r="AK540" s="278">
        <f t="shared" ref="AK540:AK541" si="218">AI540/AK536</f>
        <v>138537070.73480821</v>
      </c>
      <c r="AL540" s="278">
        <f t="shared" ref="AL540:AL546" si="219">AH540/AE540</f>
        <v>29779.48864067001</v>
      </c>
      <c r="AM540" s="278">
        <f t="shared" ref="AM540:AM546" si="220">AI540/AF540</f>
        <v>29966.044454511215</v>
      </c>
      <c r="AN540" s="278">
        <f t="shared" ref="AN540:AN541" si="221">AJ540/AE540</f>
        <v>30029.002713327445</v>
      </c>
      <c r="AO540" s="388">
        <f t="shared" ref="AO540:AO541" si="222">AK540/AF540</f>
        <v>29966.044454511215</v>
      </c>
    </row>
    <row r="541" spans="25:56">
      <c r="AA541" s="417"/>
      <c r="AC541" s="491">
        <v>7</v>
      </c>
      <c r="AD541" s="483" t="str">
        <f t="shared" si="214"/>
        <v>General Service
 &gt; 50 to 999 kW</v>
      </c>
      <c r="AE541" s="249">
        <f t="shared" si="215"/>
        <v>471.62621294458705</v>
      </c>
      <c r="AF541" s="249">
        <f>$W$303</f>
        <v>462.83423899421177</v>
      </c>
      <c r="AG541" s="278" t="s">
        <v>391</v>
      </c>
      <c r="AH541" s="281">
        <f t="shared" si="216"/>
        <v>668162.78</v>
      </c>
      <c r="AI541" s="281">
        <f>$W$305</f>
        <v>660214.41113955656</v>
      </c>
      <c r="AJ541" s="278">
        <f t="shared" si="217"/>
        <v>673759.62327856652</v>
      </c>
      <c r="AK541" s="278">
        <f t="shared" si="218"/>
        <v>660214.41113955656</v>
      </c>
      <c r="AL541" s="278">
        <f t="shared" si="219"/>
        <v>1416.7210423448298</v>
      </c>
      <c r="AM541" s="278">
        <f t="shared" si="220"/>
        <v>1426.4597463106295</v>
      </c>
      <c r="AN541" s="278">
        <f t="shared" si="221"/>
        <v>1428.5881589828614</v>
      </c>
      <c r="AO541" s="388">
        <f t="shared" si="222"/>
        <v>1426.4597463106295</v>
      </c>
    </row>
    <row r="542" spans="25:56">
      <c r="AA542" s="417"/>
      <c r="AC542" s="491">
        <v>8</v>
      </c>
      <c r="AD542" s="483" t="str">
        <f t="shared" si="214"/>
        <v>General Service 
&gt; 1000 kW</v>
      </c>
      <c r="AE542" s="249">
        <f t="shared" si="215"/>
        <v>21.903750717639923</v>
      </c>
      <c r="AF542" s="249">
        <f>$W$308</f>
        <v>21.640601501640049</v>
      </c>
      <c r="AG542" s="278" t="s">
        <v>391</v>
      </c>
      <c r="AH542" s="281">
        <f t="shared" si="216"/>
        <v>535701.6155999999</v>
      </c>
      <c r="AI542" s="281">
        <f>$W$310</f>
        <v>486067.78556135576</v>
      </c>
      <c r="AJ542" s="278"/>
      <c r="AK542" s="278"/>
      <c r="AL542" s="278">
        <f t="shared" si="219"/>
        <v>24457.072330017847</v>
      </c>
      <c r="AM542" s="278">
        <f t="shared" si="220"/>
        <v>22460.918451112313</v>
      </c>
      <c r="AN542" s="278"/>
      <c r="AO542" s="388"/>
    </row>
    <row r="543" spans="25:56">
      <c r="Y543" s="425">
        <v>42491</v>
      </c>
      <c r="Z543" s="72">
        <v>2016</v>
      </c>
      <c r="AA543" s="417"/>
      <c r="AC543" s="491">
        <v>9</v>
      </c>
      <c r="AD543" s="483" t="str">
        <f t="shared" si="214"/>
        <v>Large User</v>
      </c>
      <c r="AE543" s="249">
        <f t="shared" si="215"/>
        <v>0</v>
      </c>
      <c r="AF543" s="249">
        <f>$W$313</f>
        <v>0</v>
      </c>
      <c r="AG543" s="278" t="s">
        <v>391</v>
      </c>
      <c r="AH543" s="281">
        <f t="shared" si="216"/>
        <v>0</v>
      </c>
      <c r="AI543" s="281">
        <f>$W$315</f>
        <v>0</v>
      </c>
      <c r="AJ543" s="278"/>
      <c r="AK543" s="278"/>
      <c r="AL543" s="278" t="e">
        <f t="shared" si="219"/>
        <v>#DIV/0!</v>
      </c>
      <c r="AM543" s="278" t="e">
        <f t="shared" si="220"/>
        <v>#DIV/0!</v>
      </c>
      <c r="AN543" s="278"/>
      <c r="AO543" s="388"/>
    </row>
    <row r="544" spans="25:56">
      <c r="Y544" s="72">
        <v>15.24</v>
      </c>
      <c r="Z544" s="427">
        <f t="shared" ref="Z544:Z553" si="223">Y507*4/12+Y544*8/12</f>
        <v>14.486666666666668</v>
      </c>
      <c r="AA544" s="417">
        <f>AE549*Z544*12</f>
        <v>24790.276024127314</v>
      </c>
      <c r="AC544" s="491">
        <v>10</v>
      </c>
      <c r="AD544" s="483" t="str">
        <f t="shared" si="214"/>
        <v>Street Lighting</v>
      </c>
      <c r="AE544" s="249">
        <f t="shared" si="215"/>
        <v>13197.213741430789</v>
      </c>
      <c r="AF544" s="249">
        <f>$W$318</f>
        <v>13245.738644907577</v>
      </c>
      <c r="AG544" s="278" t="s">
        <v>391</v>
      </c>
      <c r="AH544" s="281">
        <f t="shared" si="216"/>
        <v>27043.15</v>
      </c>
      <c r="AI544" s="281">
        <f>$W$320</f>
        <v>25281.042893165009</v>
      </c>
      <c r="AJ544" s="278"/>
      <c r="AK544" s="278"/>
      <c r="AL544" s="278">
        <f t="shared" si="219"/>
        <v>2.0491560211002606</v>
      </c>
      <c r="AM544" s="278">
        <f t="shared" si="220"/>
        <v>1.9086170708105052</v>
      </c>
      <c r="AN544" s="278"/>
      <c r="AO544" s="388"/>
    </row>
    <row r="545" spans="25:56">
      <c r="Y545" s="72">
        <v>27.14</v>
      </c>
      <c r="Z545" s="427">
        <f t="shared" si="223"/>
        <v>26.98</v>
      </c>
      <c r="AA545" s="417">
        <f>AE550*Z545*12</f>
        <v>5383.7334434427758</v>
      </c>
      <c r="AC545" s="491">
        <v>11</v>
      </c>
      <c r="AD545" s="483" t="str">
        <f t="shared" si="214"/>
        <v>Sentinel Lighting</v>
      </c>
      <c r="AE545" s="249">
        <f t="shared" si="215"/>
        <v>170.93070442477861</v>
      </c>
      <c r="AF545" s="249">
        <f>$W$323</f>
        <v>163.76341081650995</v>
      </c>
      <c r="AG545" s="278" t="s">
        <v>391</v>
      </c>
      <c r="AH545" s="281">
        <f t="shared" si="216"/>
        <v>307.67526796460157</v>
      </c>
      <c r="AI545" s="281">
        <f>$W$325</f>
        <v>294.77413946971797</v>
      </c>
      <c r="AJ545" s="278"/>
      <c r="AK545" s="278"/>
      <c r="AL545" s="278">
        <f t="shared" si="219"/>
        <v>1.8000000000000005</v>
      </c>
      <c r="AM545" s="278">
        <f t="shared" si="220"/>
        <v>1.8000000000000005</v>
      </c>
      <c r="AN545" s="278"/>
      <c r="AO545" s="388"/>
    </row>
    <row r="546" spans="25:56">
      <c r="Y546" s="72">
        <v>204.24</v>
      </c>
      <c r="Z546" s="427">
        <f t="shared" si="223"/>
        <v>203.03666666666666</v>
      </c>
      <c r="AA546" s="417">
        <f>AE551*Z546*12</f>
        <v>-21421.117011652343</v>
      </c>
      <c r="AC546" s="491">
        <v>12</v>
      </c>
      <c r="AD546" s="483" t="str">
        <f t="shared" si="214"/>
        <v>Unmetered Scattered Load</v>
      </c>
      <c r="AE546" s="249">
        <f t="shared" si="215"/>
        <v>451.08502161006135</v>
      </c>
      <c r="AF546" s="249">
        <f>$W$328</f>
        <v>439.66158081582279</v>
      </c>
      <c r="AG546" s="278" t="s">
        <v>120</v>
      </c>
      <c r="AH546" s="281">
        <f t="shared" si="216"/>
        <v>2203934.8200000003</v>
      </c>
      <c r="AI546" s="281">
        <f>$W$329</f>
        <v>2148121.5747701586</v>
      </c>
      <c r="AJ546" s="278"/>
      <c r="AK546" s="278"/>
      <c r="AL546" s="278">
        <f t="shared" si="219"/>
        <v>4885.8523657768073</v>
      </c>
      <c r="AM546" s="278">
        <f t="shared" si="220"/>
        <v>4885.8523657768073</v>
      </c>
      <c r="AN546" s="278"/>
      <c r="AO546" s="388"/>
    </row>
    <row r="547" spans="25:56">
      <c r="Y547" s="72">
        <v>2922.18</v>
      </c>
      <c r="Z547" s="427">
        <f t="shared" si="223"/>
        <v>2904.9566666666665</v>
      </c>
      <c r="AA547" s="417">
        <f>AE552*Z547*12</f>
        <v>-9173.2448321632965</v>
      </c>
      <c r="AC547" s="491">
        <v>13</v>
      </c>
      <c r="AD547" s="483" t="s">
        <v>5</v>
      </c>
      <c r="AE547" s="249">
        <f>SUM(AE539:AE546)</f>
        <v>64191.858287517374</v>
      </c>
      <c r="AF547" s="249">
        <f>SUM(AF539:AF546)</f>
        <v>64371.970093095115</v>
      </c>
      <c r="AG547" s="278"/>
      <c r="AH547" s="281"/>
      <c r="AI547" s="281"/>
      <c r="AJ547" s="281"/>
      <c r="AK547" s="281"/>
      <c r="AL547" s="281"/>
      <c r="AM547" s="281"/>
      <c r="AN547" s="281"/>
      <c r="AO547" s="389"/>
    </row>
    <row r="548" spans="25:56">
      <c r="Z548" s="427">
        <f t="shared" si="223"/>
        <v>0</v>
      </c>
      <c r="AA548" s="417"/>
      <c r="AC548" s="491">
        <v>14</v>
      </c>
      <c r="AD548" s="367"/>
      <c r="AE548" s="590" t="s">
        <v>392</v>
      </c>
      <c r="AF548" s="590"/>
      <c r="AG548" s="230"/>
      <c r="AH548" s="590" t="s">
        <v>392</v>
      </c>
      <c r="AI548" s="590"/>
      <c r="AJ548" s="596" t="s">
        <v>392</v>
      </c>
      <c r="AK548" s="596"/>
      <c r="AL548" s="596" t="s">
        <v>392</v>
      </c>
      <c r="AM548" s="596"/>
      <c r="AN548" s="596" t="s">
        <v>392</v>
      </c>
      <c r="AO548" s="597"/>
    </row>
    <row r="549" spans="25:56">
      <c r="Z549" s="427">
        <f t="shared" si="223"/>
        <v>0</v>
      </c>
      <c r="AA549" s="417"/>
      <c r="AC549" s="491">
        <v>15</v>
      </c>
      <c r="AD549" s="484" t="str">
        <f>AD539</f>
        <v xml:space="preserve">Residential </v>
      </c>
      <c r="AE549" s="598">
        <f t="shared" ref="AE549:AE556" si="224">AF539-AE539</f>
        <v>142.60398081067251</v>
      </c>
      <c r="AF549" s="598"/>
      <c r="AG549" s="278" t="str">
        <f>AG539</f>
        <v>kWh</v>
      </c>
      <c r="AH549" s="598">
        <f>AI539-AH539</f>
        <v>11824012.206706524</v>
      </c>
      <c r="AI549" s="598"/>
      <c r="AJ549" s="598">
        <f>AK539-AJ539</f>
        <v>8307529.8183705807</v>
      </c>
      <c r="AK549" s="598"/>
      <c r="AL549" s="598">
        <f>AM539-AL539</f>
        <v>237.83503831746293</v>
      </c>
      <c r="AM549" s="598"/>
      <c r="AN549" s="598">
        <f>AO539-AN539</f>
        <v>160.16150145272695</v>
      </c>
      <c r="AO549" s="599"/>
      <c r="AQ549" s="393">
        <f>AJ549/AJ539</f>
        <v>2.5313190854500244E-2</v>
      </c>
    </row>
    <row r="550" spans="25:56">
      <c r="Y550" s="72">
        <v>9.7000000000000003E-3</v>
      </c>
      <c r="Z550" s="426">
        <f t="shared" si="223"/>
        <v>1.0666666666666666E-2</v>
      </c>
      <c r="AA550" s="423">
        <f>AH549*Z550</f>
        <v>126122.79687153625</v>
      </c>
      <c r="AC550" s="491">
        <v>16</v>
      </c>
      <c r="AD550" s="484" t="str">
        <f t="shared" ref="AD550:AD556" si="225">AD540</f>
        <v>General Service
 &lt; 50 kW</v>
      </c>
      <c r="AE550" s="598">
        <f t="shared" si="224"/>
        <v>16.628778859163504</v>
      </c>
      <c r="AF550" s="598"/>
      <c r="AG550" s="278" t="str">
        <f t="shared" ref="AG550:AG556" si="226">AG540</f>
        <v>kWh</v>
      </c>
      <c r="AH550" s="598">
        <f t="shared" ref="AH550:AH554" si="227">AI540-AH540</f>
        <v>1357669.2548083365</v>
      </c>
      <c r="AI550" s="598"/>
      <c r="AJ550" s="598">
        <f t="shared" ref="AJ550:AJ551" si="228">AK540-AJ540</f>
        <v>208281.11181521416</v>
      </c>
      <c r="AK550" s="598"/>
      <c r="AL550" s="598">
        <f t="shared" ref="AL550:AL555" si="229">AM540-AL540</f>
        <v>186.55581384120524</v>
      </c>
      <c r="AM550" s="598"/>
      <c r="AN550" s="598">
        <f>AO540-AN540</f>
        <v>-62.958258816230227</v>
      </c>
      <c r="AO550" s="599"/>
      <c r="AQ550" s="393">
        <f>AJ550/AJ540</f>
        <v>1.5056960476764968E-3</v>
      </c>
    </row>
    <row r="551" spans="25:56">
      <c r="Y551" s="72">
        <v>1.4E-2</v>
      </c>
      <c r="Z551" s="426">
        <f t="shared" si="223"/>
        <v>1.3933333333333334E-2</v>
      </c>
      <c r="AA551" s="417">
        <f>AH550*Z551</f>
        <v>18916.858283662823</v>
      </c>
      <c r="AC551" s="491">
        <v>17</v>
      </c>
      <c r="AD551" s="484" t="str">
        <f t="shared" si="225"/>
        <v>General Service
 &gt; 50 to 999 kW</v>
      </c>
      <c r="AE551" s="598">
        <f t="shared" si="224"/>
        <v>-8.7919739503752794</v>
      </c>
      <c r="AF551" s="598"/>
      <c r="AG551" s="278" t="str">
        <f t="shared" si="226"/>
        <v>kW</v>
      </c>
      <c r="AH551" s="598">
        <f t="shared" si="227"/>
        <v>-7948.3688604434719</v>
      </c>
      <c r="AI551" s="598"/>
      <c r="AJ551" s="598">
        <f t="shared" si="228"/>
        <v>-13545.212139009964</v>
      </c>
      <c r="AK551" s="598"/>
      <c r="AL551" s="598">
        <f t="shared" si="229"/>
        <v>9.7387039657996866</v>
      </c>
      <c r="AM551" s="598"/>
      <c r="AN551" s="598">
        <f>AO541-AN541</f>
        <v>-2.1284126722318888</v>
      </c>
      <c r="AO551" s="599"/>
    </row>
    <row r="552" spans="25:56">
      <c r="Y552" s="72">
        <v>2.5992999999999999</v>
      </c>
      <c r="Z552" s="426">
        <f t="shared" si="223"/>
        <v>2.5839666666666665</v>
      </c>
      <c r="AA552" s="417">
        <f>AH551*Z552</f>
        <v>-20538.320189757247</v>
      </c>
      <c r="AC552" s="491">
        <v>18</v>
      </c>
      <c r="AD552" s="484" t="str">
        <f t="shared" si="225"/>
        <v>General Service 
&gt; 1000 kW</v>
      </c>
      <c r="AE552" s="598">
        <f t="shared" si="224"/>
        <v>-0.26314921599987429</v>
      </c>
      <c r="AF552" s="598"/>
      <c r="AG552" s="278" t="str">
        <f t="shared" si="226"/>
        <v>kW</v>
      </c>
      <c r="AH552" s="598">
        <f t="shared" si="227"/>
        <v>-49633.830038644141</v>
      </c>
      <c r="AI552" s="598"/>
      <c r="AJ552" s="598"/>
      <c r="AK552" s="598"/>
      <c r="AL552" s="598">
        <f t="shared" si="229"/>
        <v>-1996.1538789055339</v>
      </c>
      <c r="AM552" s="598"/>
      <c r="AN552" s="598"/>
      <c r="AO552" s="599"/>
    </row>
    <row r="553" spans="25:56">
      <c r="Y553" s="277">
        <v>2.3087</v>
      </c>
      <c r="Z553" s="426">
        <f t="shared" si="223"/>
        <v>2.2950999999999997</v>
      </c>
      <c r="AA553" s="424">
        <f>AH552*Z553</f>
        <v>-113914.60332169215</v>
      </c>
      <c r="AC553" s="491">
        <v>19</v>
      </c>
      <c r="AD553" s="484" t="str">
        <f t="shared" si="225"/>
        <v>Large User</v>
      </c>
      <c r="AE553" s="598">
        <f t="shared" si="224"/>
        <v>0</v>
      </c>
      <c r="AF553" s="598"/>
      <c r="AG553" s="278" t="str">
        <f t="shared" si="226"/>
        <v>kW</v>
      </c>
      <c r="AH553" s="598">
        <f t="shared" si="227"/>
        <v>0</v>
      </c>
      <c r="AI553" s="598"/>
      <c r="AJ553" s="598"/>
      <c r="AK553" s="598"/>
      <c r="AL553" s="598" t="e">
        <f t="shared" si="229"/>
        <v>#DIV/0!</v>
      </c>
      <c r="AM553" s="598"/>
      <c r="AN553" s="598"/>
      <c r="AO553" s="599"/>
    </row>
    <row r="554" spans="25:56">
      <c r="Y554" s="277"/>
      <c r="Z554" s="277"/>
      <c r="AA554" s="422"/>
      <c r="AC554" s="491">
        <v>20</v>
      </c>
      <c r="AD554" s="484" t="str">
        <f t="shared" si="225"/>
        <v>Street Lighting</v>
      </c>
      <c r="AE554" s="598">
        <f t="shared" si="224"/>
        <v>48.524903476787586</v>
      </c>
      <c r="AF554" s="598"/>
      <c r="AG554" s="278" t="str">
        <f t="shared" si="226"/>
        <v>kW</v>
      </c>
      <c r="AH554" s="598">
        <f t="shared" si="227"/>
        <v>-1762.107106834992</v>
      </c>
      <c r="AI554" s="598"/>
      <c r="AJ554" s="598"/>
      <c r="AK554" s="598"/>
      <c r="AL554" s="598">
        <f t="shared" si="229"/>
        <v>-0.14053895028975538</v>
      </c>
      <c r="AM554" s="598"/>
      <c r="AN554" s="598"/>
      <c r="AO554" s="599"/>
    </row>
    <row r="555" spans="25:56">
      <c r="Y555" s="277"/>
      <c r="Z555" s="277"/>
      <c r="AA555" s="422"/>
      <c r="AC555" s="491">
        <v>21</v>
      </c>
      <c r="AD555" s="484" t="str">
        <f t="shared" si="225"/>
        <v>Sentinel Lighting</v>
      </c>
      <c r="AE555" s="598">
        <f t="shared" si="224"/>
        <v>-7.1672936082686647</v>
      </c>
      <c r="AF555" s="598"/>
      <c r="AG555" s="278" t="str">
        <f t="shared" si="226"/>
        <v>kW</v>
      </c>
      <c r="AH555" s="598">
        <f>AI545-AH545</f>
        <v>-12.901128494883608</v>
      </c>
      <c r="AI555" s="598"/>
      <c r="AJ555" s="598"/>
      <c r="AK555" s="598"/>
      <c r="AL555" s="598">
        <f t="shared" si="229"/>
        <v>0</v>
      </c>
      <c r="AM555" s="598"/>
      <c r="AN555" s="598"/>
      <c r="AO555" s="599"/>
    </row>
    <row r="556" spans="25:56" ht="13.5" thickBot="1">
      <c r="Y556" s="277"/>
      <c r="Z556" s="277"/>
      <c r="AA556" s="422"/>
      <c r="AC556" s="491">
        <v>22</v>
      </c>
      <c r="AD556" s="485" t="str">
        <f t="shared" si="225"/>
        <v>Unmetered Scattered Load</v>
      </c>
      <c r="AE556" s="600">
        <f t="shared" si="224"/>
        <v>-11.423440794238559</v>
      </c>
      <c r="AF556" s="600"/>
      <c r="AG556" s="390" t="str">
        <f t="shared" si="226"/>
        <v>kWh</v>
      </c>
      <c r="AH556" s="600">
        <f>AI546-AH546</f>
        <v>-55813.245229841676</v>
      </c>
      <c r="AI556" s="600"/>
      <c r="AJ556" s="600"/>
      <c r="AK556" s="600"/>
      <c r="AL556" s="600">
        <f>AM546-AL546</f>
        <v>0</v>
      </c>
      <c r="AM556" s="600"/>
      <c r="AN556" s="600"/>
      <c r="AO556" s="601"/>
    </row>
    <row r="557" spans="25:56">
      <c r="Y557" s="277"/>
      <c r="Z557" s="277"/>
    </row>
    <row r="559" spans="25:56" ht="13.5" thickBot="1">
      <c r="AZ559" s="413" t="s">
        <v>410</v>
      </c>
      <c r="BA559" s="414"/>
      <c r="BB559" s="414"/>
      <c r="BC559" s="414"/>
      <c r="BD559" s="415"/>
    </row>
    <row r="560" spans="25:56" ht="13.5" thickBot="1">
      <c r="AY560" s="474" t="s">
        <v>424</v>
      </c>
      <c r="AZ560" s="480" t="s">
        <v>412</v>
      </c>
      <c r="BA560" s="376" t="s">
        <v>335</v>
      </c>
      <c r="BB560" s="377" t="s">
        <v>336</v>
      </c>
      <c r="BC560" s="377" t="s">
        <v>383</v>
      </c>
      <c r="BD560" s="420" t="s">
        <v>384</v>
      </c>
    </row>
    <row r="561" spans="25:56">
      <c r="AY561" s="411">
        <v>1</v>
      </c>
      <c r="AZ561" s="476" t="str">
        <f t="shared" ref="AZ561:AZ568" si="230">AZ525</f>
        <v xml:space="preserve">Residential </v>
      </c>
      <c r="BA561" s="378">
        <f>+BB525</f>
        <v>11485547</v>
      </c>
      <c r="BB561" s="378">
        <f>+'[17]Cost Allocation Study'!$K5</f>
        <v>13647271.687413689</v>
      </c>
      <c r="BC561" s="392">
        <f t="shared" ref="BC561:BC568" si="231">BB561-BA561</f>
        <v>2161724.6874136887</v>
      </c>
      <c r="BD561" s="437">
        <f t="shared" ref="BD561:BD569" si="232">IFERROR(BC561/BA561,0)</f>
        <v>0.18821260210016019</v>
      </c>
    </row>
    <row r="562" spans="25:56">
      <c r="AY562" s="412">
        <v>2</v>
      </c>
      <c r="AZ562" s="477" t="str">
        <f t="shared" si="230"/>
        <v>General Service
 &lt; 50 kW</v>
      </c>
      <c r="BA562" s="378">
        <f t="shared" ref="BA561:BA568" si="233">+BB526</f>
        <v>3423331.68</v>
      </c>
      <c r="BB562" s="378">
        <f>+'[17]Cost Allocation Study'!$K6</f>
        <v>4138939.0859018187</v>
      </c>
      <c r="BC562" s="392">
        <f t="shared" si="231"/>
        <v>715607.40590181854</v>
      </c>
      <c r="BD562" s="437">
        <f t="shared" si="232"/>
        <v>0.20903829158085507</v>
      </c>
    </row>
    <row r="563" spans="25:56">
      <c r="AY563" s="412">
        <v>3</v>
      </c>
      <c r="AZ563" s="477" t="str">
        <f t="shared" si="230"/>
        <v>General Service
 &gt; 50 to 999 kW</v>
      </c>
      <c r="BA563" s="378">
        <f t="shared" si="233"/>
        <v>2865206</v>
      </c>
      <c r="BB563" s="378">
        <f>+'[17]Cost Allocation Study'!$K7</f>
        <v>3338589.3743503205</v>
      </c>
      <c r="BC563" s="392">
        <f t="shared" si="231"/>
        <v>473383.37435032055</v>
      </c>
      <c r="BD563" s="437">
        <f t="shared" si="232"/>
        <v>0.16521791953190121</v>
      </c>
    </row>
    <row r="564" spans="25:56">
      <c r="AY564" s="412">
        <v>4</v>
      </c>
      <c r="AZ564" s="477" t="str">
        <f t="shared" si="230"/>
        <v>General Service 
&gt; 1000 kW</v>
      </c>
      <c r="BA564" s="378">
        <f t="shared" si="233"/>
        <v>1642678</v>
      </c>
      <c r="BB564" s="378">
        <f>+'[17]Cost Allocation Study'!$K8</f>
        <v>1841510.7510384421</v>
      </c>
      <c r="BC564" s="392">
        <f t="shared" si="231"/>
        <v>198832.75103844213</v>
      </c>
      <c r="BD564" s="437">
        <f t="shared" si="232"/>
        <v>0.12104182988902398</v>
      </c>
    </row>
    <row r="565" spans="25:56">
      <c r="AY565" s="412">
        <v>5</v>
      </c>
      <c r="AZ565" s="477" t="str">
        <f t="shared" si="230"/>
        <v>Large User</v>
      </c>
      <c r="BA565" s="378">
        <f t="shared" si="233"/>
        <v>0</v>
      </c>
      <c r="BB565" s="378">
        <f>+'[17]Cost Allocation Study'!$K9</f>
        <v>0</v>
      </c>
      <c r="BC565" s="392">
        <f t="shared" si="231"/>
        <v>0</v>
      </c>
      <c r="BD565" s="437">
        <f t="shared" si="232"/>
        <v>0</v>
      </c>
    </row>
    <row r="566" spans="25:56">
      <c r="AY566" s="412">
        <v>6</v>
      </c>
      <c r="AZ566" s="477" t="str">
        <f t="shared" si="230"/>
        <v>Street Lighting</v>
      </c>
      <c r="BA566" s="378">
        <f t="shared" si="233"/>
        <v>356548</v>
      </c>
      <c r="BB566" s="378">
        <f>+'[17]Cost Allocation Study'!$K10</f>
        <v>342389.54917053913</v>
      </c>
      <c r="BC566" s="504">
        <f t="shared" si="231"/>
        <v>-14158.450829460868</v>
      </c>
      <c r="BD566" s="437">
        <f t="shared" si="232"/>
        <v>-3.9709802970317794E-2</v>
      </c>
    </row>
    <row r="567" spans="25:56">
      <c r="AY567" s="412">
        <v>7</v>
      </c>
      <c r="AZ567" s="477" t="str">
        <f t="shared" si="230"/>
        <v>Sentinel Lighting</v>
      </c>
      <c r="BA567" s="378">
        <f t="shared" si="233"/>
        <v>15454</v>
      </c>
      <c r="BB567" s="378">
        <f>+'[17]Cost Allocation Study'!$K12</f>
        <v>18049.234586068778</v>
      </c>
      <c r="BC567" s="392">
        <f>BB568-BA567</f>
        <v>54419.099803902063</v>
      </c>
      <c r="BD567" s="437">
        <f t="shared" si="232"/>
        <v>3.5213601529637675</v>
      </c>
    </row>
    <row r="568" spans="25:56">
      <c r="AY568" s="412">
        <v>8</v>
      </c>
      <c r="AZ568" s="477" t="str">
        <f t="shared" si="230"/>
        <v>Unmetered Scattered Load</v>
      </c>
      <c r="BA568" s="378">
        <f t="shared" si="233"/>
        <v>60883.32</v>
      </c>
      <c r="BB568" s="378">
        <f>+'[17]Cost Allocation Study'!$K11</f>
        <v>69873.099803902063</v>
      </c>
      <c r="BC568" s="392">
        <f>BB567-BA568</f>
        <v>-42834.085413931221</v>
      </c>
      <c r="BD568" s="437">
        <f t="shared" si="232"/>
        <v>-0.70354385099122752</v>
      </c>
    </row>
    <row r="569" spans="25:56">
      <c r="AY569" s="412">
        <v>9</v>
      </c>
      <c r="AZ569" s="494" t="s">
        <v>12</v>
      </c>
      <c r="BA569" s="380">
        <f>SUM(BA561:BA568)</f>
        <v>19849648</v>
      </c>
      <c r="BB569" s="380">
        <f>SUM(BB561:BB567)</f>
        <v>23326749.682460878</v>
      </c>
      <c r="BC569" s="380">
        <f>SUM(BC561:BC568)</f>
        <v>3546974.7822647803</v>
      </c>
      <c r="BD569" s="438">
        <f t="shared" si="232"/>
        <v>0.17869207465365533</v>
      </c>
    </row>
    <row r="570" spans="25:56" ht="13.5" thickBot="1">
      <c r="AD570" s="554" t="s">
        <v>411</v>
      </c>
      <c r="AE570" s="554"/>
      <c r="AF570" s="554"/>
      <c r="AG570" s="554"/>
      <c r="AH570" s="554"/>
      <c r="AI570" s="554"/>
      <c r="AJ570" s="554"/>
      <c r="AK570" s="554"/>
      <c r="AL570" s="554"/>
      <c r="AM570" s="554"/>
      <c r="AN570" s="554"/>
      <c r="AO570" s="554"/>
    </row>
    <row r="571" spans="25:56" ht="33.75" customHeight="1" thickBot="1">
      <c r="Y571" s="395" t="s">
        <v>414</v>
      </c>
      <c r="Z571" s="396">
        <f>BA569-BB569+BC569</f>
        <v>69873.099803902209</v>
      </c>
      <c r="AA571" s="417"/>
      <c r="AC571" s="487" t="s">
        <v>423</v>
      </c>
      <c r="AD571" s="488" t="s">
        <v>394</v>
      </c>
      <c r="AE571" s="584" t="s">
        <v>385</v>
      </c>
      <c r="AF571" s="584"/>
      <c r="AG571" s="410" t="s">
        <v>386</v>
      </c>
      <c r="AH571" s="583" t="s">
        <v>387</v>
      </c>
      <c r="AI571" s="583"/>
      <c r="AJ571" s="584" t="s">
        <v>388</v>
      </c>
      <c r="AK571" s="584"/>
      <c r="AL571" s="584" t="s">
        <v>389</v>
      </c>
      <c r="AM571" s="584"/>
      <c r="AN571" s="584" t="s">
        <v>390</v>
      </c>
      <c r="AO571" s="585"/>
    </row>
    <row r="572" spans="25:56">
      <c r="AA572" s="417"/>
      <c r="AC572" s="492">
        <v>1</v>
      </c>
      <c r="AD572" s="586" t="s">
        <v>342</v>
      </c>
      <c r="AE572" s="586"/>
      <c r="AF572" s="586"/>
      <c r="AG572" s="586"/>
      <c r="AH572" s="586"/>
      <c r="AI572" s="385" t="s">
        <v>110</v>
      </c>
      <c r="AJ572" s="386">
        <f>AK535</f>
        <v>1</v>
      </c>
      <c r="AK572" s="386">
        <f>$K$112</f>
        <v>1</v>
      </c>
      <c r="AL572" s="588"/>
      <c r="AM572" s="588"/>
      <c r="AN572" s="588"/>
      <c r="AO572" s="589"/>
    </row>
    <row r="573" spans="25:56" ht="13.5" thickBot="1">
      <c r="Y573" s="497" t="s">
        <v>427</v>
      </c>
      <c r="Z573" s="495">
        <v>19849648</v>
      </c>
      <c r="AA573" s="495">
        <v>23716696</v>
      </c>
      <c r="AC573" s="491">
        <v>2</v>
      </c>
      <c r="AD573" s="586"/>
      <c r="AE573" s="586"/>
      <c r="AF573" s="586"/>
      <c r="AG573" s="586"/>
      <c r="AH573" s="586"/>
      <c r="AI573" s="280" t="s">
        <v>164</v>
      </c>
      <c r="AJ573" s="279">
        <f t="shared" ref="AJ573:AJ574" si="234">AK536</f>
        <v>1</v>
      </c>
      <c r="AK573" s="279">
        <f>$K$129</f>
        <v>1</v>
      </c>
      <c r="AL573" s="590"/>
      <c r="AM573" s="590"/>
      <c r="AN573" s="590"/>
      <c r="AO573" s="591"/>
    </row>
    <row r="574" spans="25:56" ht="16.5" thickTop="1" thickBot="1">
      <c r="Y574" s="72" t="s">
        <v>426</v>
      </c>
      <c r="Z574" s="496">
        <f>BA569-Z573</f>
        <v>0</v>
      </c>
      <c r="AA574" s="496">
        <f>BB569-AA573</f>
        <v>-389946.31753912196</v>
      </c>
      <c r="AC574" s="491">
        <v>3</v>
      </c>
      <c r="AD574" s="587"/>
      <c r="AE574" s="587"/>
      <c r="AF574" s="587"/>
      <c r="AG574" s="587"/>
      <c r="AH574" s="587"/>
      <c r="AI574" s="280" t="s">
        <v>395</v>
      </c>
      <c r="AJ574" s="279">
        <f t="shared" si="234"/>
        <v>1</v>
      </c>
      <c r="AK574" s="279">
        <f>$K$146</f>
        <v>1</v>
      </c>
      <c r="AL574" s="590"/>
      <c r="AM574" s="590"/>
      <c r="AN574" s="590"/>
      <c r="AO574" s="591"/>
    </row>
    <row r="575" spans="25:56" ht="26.25" thickTop="1">
      <c r="AA575" s="417"/>
      <c r="AC575" s="491">
        <v>4</v>
      </c>
      <c r="AD575" s="482"/>
      <c r="AE575" s="270" t="str">
        <f>BA560</f>
        <v>2016 Bridge</v>
      </c>
      <c r="AF575" s="270" t="str">
        <f>BB560</f>
        <v>2017 Test</v>
      </c>
      <c r="AG575" s="280"/>
      <c r="AH575" s="270" t="str">
        <f>AE575</f>
        <v>2016 Bridge</v>
      </c>
      <c r="AI575" s="270" t="str">
        <f>AF575</f>
        <v>2017 Test</v>
      </c>
      <c r="AJ575" s="270" t="str">
        <f t="shared" ref="AJ575" si="235">AH575</f>
        <v>2016 Bridge</v>
      </c>
      <c r="AK575" s="270" t="str">
        <f t="shared" ref="AK575" si="236">AI575</f>
        <v>2017 Test</v>
      </c>
      <c r="AL575" s="270" t="str">
        <f t="shared" ref="AL575" si="237">AJ575</f>
        <v>2016 Bridge</v>
      </c>
      <c r="AM575" s="270" t="str">
        <f t="shared" ref="AM575" si="238">AK575</f>
        <v>2017 Test</v>
      </c>
      <c r="AN575" s="270" t="str">
        <f t="shared" ref="AN575" si="239">AL575</f>
        <v>2016 Bridge</v>
      </c>
      <c r="AO575" s="387" t="str">
        <f t="shared" ref="AO575" si="240">AM575</f>
        <v>2017 Test</v>
      </c>
    </row>
    <row r="576" spans="25:56">
      <c r="AA576" s="417"/>
      <c r="AC576" s="491">
        <v>5</v>
      </c>
      <c r="AD576" s="483" t="str">
        <f t="shared" ref="AD576:AD583" si="241">AZ561</f>
        <v xml:space="preserve">Residential </v>
      </c>
      <c r="AE576" s="249">
        <f>AF539</f>
        <v>45415.196555804439</v>
      </c>
      <c r="AF576" s="249">
        <f>$X$295</f>
        <v>45527.007090561528</v>
      </c>
      <c r="AG576" s="278" t="s">
        <v>120</v>
      </c>
      <c r="AH576" s="278">
        <f>AI539</f>
        <v>336497281.40370446</v>
      </c>
      <c r="AI576" s="278">
        <f>$X$296</f>
        <v>336114686.47881699</v>
      </c>
      <c r="AJ576" s="278">
        <f>AH576*AJ572</f>
        <v>336497281.40370446</v>
      </c>
      <c r="AK576" s="278">
        <f>AI576/AK572</f>
        <v>336114686.47881699</v>
      </c>
      <c r="AL576" s="278">
        <f>AH576/AE576</f>
        <v>7409.3542893782169</v>
      </c>
      <c r="AM576" s="278">
        <f>AI576/AF576</f>
        <v>7382.7538412578606</v>
      </c>
      <c r="AN576" s="278">
        <f>AJ576/AE576</f>
        <v>7409.3542893782169</v>
      </c>
      <c r="AO576" s="388">
        <f>AK576/AF576</f>
        <v>7382.7538412578606</v>
      </c>
    </row>
    <row r="577" spans="25:43">
      <c r="AA577" s="417"/>
      <c r="AC577" s="491">
        <v>6</v>
      </c>
      <c r="AD577" s="483" t="str">
        <f t="shared" si="241"/>
        <v>General Service
 &lt; 50 kW</v>
      </c>
      <c r="AE577" s="249">
        <f t="shared" ref="AE577:AE583" si="242">AF540</f>
        <v>4623.1350602549164</v>
      </c>
      <c r="AF577" s="249">
        <f>$X$299</f>
        <v>4655.2595854572637</v>
      </c>
      <c r="AG577" s="278" t="s">
        <v>120</v>
      </c>
      <c r="AH577" s="281">
        <f t="shared" ref="AH577:AH583" si="243">AI540</f>
        <v>138537070.73480821</v>
      </c>
      <c r="AI577" s="281">
        <f>$X$300</f>
        <v>142697207.41995323</v>
      </c>
      <c r="AJ577" s="278">
        <f t="shared" ref="AJ577:AJ578" si="244">AH577*AJ573</f>
        <v>138537070.73480821</v>
      </c>
      <c r="AK577" s="278">
        <f t="shared" ref="AK577:AK578" si="245">AI577/AK573</f>
        <v>142697207.41995323</v>
      </c>
      <c r="AL577" s="278">
        <f t="shared" ref="AL577:AL583" si="246">AH577/AE577</f>
        <v>29966.044454511215</v>
      </c>
      <c r="AM577" s="278">
        <f t="shared" ref="AM577:AM583" si="247">AI577/AF577</f>
        <v>30652.900187506249</v>
      </c>
      <c r="AN577" s="278">
        <f t="shared" ref="AN577:AN578" si="248">AJ577/AE577</f>
        <v>29966.044454511215</v>
      </c>
      <c r="AO577" s="388">
        <f t="shared" ref="AO577:AO578" si="249">AK577/AF577</f>
        <v>30652.900187506249</v>
      </c>
    </row>
    <row r="578" spans="25:43">
      <c r="AA578" s="417"/>
      <c r="AC578" s="491">
        <v>7</v>
      </c>
      <c r="AD578" s="483" t="str">
        <f t="shared" si="241"/>
        <v>General Service
 &gt; 50 to 999 kW</v>
      </c>
      <c r="AE578" s="249">
        <f t="shared" si="242"/>
        <v>462.83423899421177</v>
      </c>
      <c r="AF578" s="249">
        <f>$X$303</f>
        <v>459.96777205383216</v>
      </c>
      <c r="AG578" s="278" t="s">
        <v>391</v>
      </c>
      <c r="AH578" s="281">
        <f t="shared" si="243"/>
        <v>660214.41113955656</v>
      </c>
      <c r="AI578" s="281">
        <f>$X$305</f>
        <v>656994.77707427274</v>
      </c>
      <c r="AJ578" s="278">
        <f t="shared" si="244"/>
        <v>660214.41113955656</v>
      </c>
      <c r="AK578" s="278">
        <f t="shared" si="245"/>
        <v>656994.77707427274</v>
      </c>
      <c r="AL578" s="278">
        <f t="shared" si="246"/>
        <v>1426.4597463106295</v>
      </c>
      <c r="AM578" s="278">
        <f t="shared" si="247"/>
        <v>1428.3495866257813</v>
      </c>
      <c r="AN578" s="278">
        <f t="shared" si="248"/>
        <v>1426.4597463106295</v>
      </c>
      <c r="AO578" s="388">
        <f t="shared" si="249"/>
        <v>1428.3495866257813</v>
      </c>
    </row>
    <row r="579" spans="25:43">
      <c r="AA579" s="417"/>
      <c r="AC579" s="491">
        <v>8</v>
      </c>
      <c r="AD579" s="483" t="str">
        <f t="shared" si="241"/>
        <v>General Service 
&gt; 1000 kW</v>
      </c>
      <c r="AE579" s="249">
        <f t="shared" si="242"/>
        <v>21.640601501640049</v>
      </c>
      <c r="AF579" s="249">
        <f>$X$308</f>
        <v>21.640601501640049</v>
      </c>
      <c r="AG579" s="278" t="s">
        <v>391</v>
      </c>
      <c r="AH579" s="281">
        <f t="shared" si="243"/>
        <v>486067.78556135576</v>
      </c>
      <c r="AI579" s="281">
        <f>$X$310</f>
        <v>466924.2403113636</v>
      </c>
      <c r="AJ579" s="278"/>
      <c r="AK579" s="278"/>
      <c r="AL579" s="278">
        <f t="shared" si="246"/>
        <v>22460.918451112313</v>
      </c>
      <c r="AM579" s="278">
        <f t="shared" si="247"/>
        <v>21576.306013304547</v>
      </c>
      <c r="AN579" s="278"/>
      <c r="AO579" s="388"/>
    </row>
    <row r="580" spans="25:43">
      <c r="Y580" s="425">
        <v>42491</v>
      </c>
      <c r="Z580" s="72">
        <v>2017</v>
      </c>
      <c r="AA580" s="417"/>
      <c r="AC580" s="491">
        <v>9</v>
      </c>
      <c r="AD580" s="483" t="str">
        <f t="shared" si="241"/>
        <v>Large User</v>
      </c>
      <c r="AE580" s="249">
        <f t="shared" si="242"/>
        <v>0</v>
      </c>
      <c r="AF580" s="249">
        <f>$X$313</f>
        <v>0</v>
      </c>
      <c r="AG580" s="278" t="s">
        <v>391</v>
      </c>
      <c r="AH580" s="281">
        <f t="shared" si="243"/>
        <v>0</v>
      </c>
      <c r="AI580" s="281">
        <f>$X$315</f>
        <v>0</v>
      </c>
      <c r="AJ580" s="278"/>
      <c r="AK580" s="278"/>
      <c r="AL580" s="278" t="e">
        <f t="shared" si="246"/>
        <v>#DIV/0!</v>
      </c>
      <c r="AM580" s="278" t="e">
        <f t="shared" si="247"/>
        <v>#DIV/0!</v>
      </c>
      <c r="AN580" s="278"/>
      <c r="AO580" s="388"/>
    </row>
    <row r="581" spans="25:43">
      <c r="Y581" s="72">
        <v>15.24</v>
      </c>
      <c r="Z581" s="427">
        <f t="shared" ref="Z581:Z590" si="250">Y544*4/12+Y581*8/12</f>
        <v>15.24</v>
      </c>
      <c r="AA581" s="417">
        <f>AE586*Z581*12</f>
        <v>20447.910596376445</v>
      </c>
      <c r="AC581" s="491">
        <v>10</v>
      </c>
      <c r="AD581" s="483" t="str">
        <f t="shared" si="241"/>
        <v>Street Lighting</v>
      </c>
      <c r="AE581" s="249">
        <f t="shared" si="242"/>
        <v>13245.738644907577</v>
      </c>
      <c r="AF581" s="249">
        <f>$X$318</f>
        <v>13274.451896791892</v>
      </c>
      <c r="AG581" s="278" t="s">
        <v>391</v>
      </c>
      <c r="AH581" s="281">
        <f t="shared" si="243"/>
        <v>25281.042893165009</v>
      </c>
      <c r="AI581" s="281">
        <f>$X$320</f>
        <v>23590.129477102848</v>
      </c>
      <c r="AJ581" s="278"/>
      <c r="AK581" s="278"/>
      <c r="AL581" s="278">
        <f t="shared" si="246"/>
        <v>1.9086170708105052</v>
      </c>
      <c r="AM581" s="278">
        <f t="shared" si="247"/>
        <v>1.7771076094527112</v>
      </c>
      <c r="AN581" s="278"/>
      <c r="AO581" s="388"/>
    </row>
    <row r="582" spans="25:43">
      <c r="Y582" s="72">
        <v>27.14</v>
      </c>
      <c r="Z582" s="427">
        <f t="shared" si="250"/>
        <v>27.14</v>
      </c>
      <c r="AA582" s="417">
        <f>AE587*Z582*12</f>
        <v>10462.315367900464</v>
      </c>
      <c r="AC582" s="491">
        <v>11</v>
      </c>
      <c r="AD582" s="483" t="str">
        <f t="shared" si="241"/>
        <v>Sentinel Lighting</v>
      </c>
      <c r="AE582" s="249">
        <f t="shared" si="242"/>
        <v>163.76341081650995</v>
      </c>
      <c r="AF582" s="249">
        <f>$X$323</f>
        <v>163.76341081650995</v>
      </c>
      <c r="AG582" s="278" t="s">
        <v>391</v>
      </c>
      <c r="AH582" s="281">
        <f t="shared" si="243"/>
        <v>294.77413946971797</v>
      </c>
      <c r="AI582" s="281">
        <f>$X$325</f>
        <v>294.77413946971797</v>
      </c>
      <c r="AJ582" s="278"/>
      <c r="AK582" s="278"/>
      <c r="AL582" s="278">
        <f t="shared" si="246"/>
        <v>1.8000000000000005</v>
      </c>
      <c r="AM582" s="278">
        <f t="shared" si="247"/>
        <v>1.8000000000000005</v>
      </c>
      <c r="AN582" s="278"/>
      <c r="AO582" s="388"/>
    </row>
    <row r="583" spans="25:43">
      <c r="Y583" s="72">
        <v>204.24</v>
      </c>
      <c r="Z583" s="427">
        <f t="shared" si="250"/>
        <v>204.24</v>
      </c>
      <c r="AA583" s="417">
        <f>AE588*Z583*12</f>
        <v>-7025.3664948375772</v>
      </c>
      <c r="AC583" s="491">
        <v>12</v>
      </c>
      <c r="AD583" s="483" t="str">
        <f t="shared" si="241"/>
        <v>Unmetered Scattered Load</v>
      </c>
      <c r="AE583" s="249">
        <f t="shared" si="242"/>
        <v>439.66158081582279</v>
      </c>
      <c r="AF583" s="249">
        <f>$X$328</f>
        <v>439.66158081582279</v>
      </c>
      <c r="AG583" s="278" t="s">
        <v>120</v>
      </c>
      <c r="AH583" s="281">
        <f t="shared" si="243"/>
        <v>2148121.5747701586</v>
      </c>
      <c r="AI583" s="281">
        <f>$X$329</f>
        <v>2148121.5747701586</v>
      </c>
      <c r="AJ583" s="278"/>
      <c r="AK583" s="278"/>
      <c r="AL583" s="278">
        <f t="shared" si="246"/>
        <v>4885.8523657768073</v>
      </c>
      <c r="AM583" s="278">
        <f t="shared" si="247"/>
        <v>4885.8523657768073</v>
      </c>
      <c r="AN583" s="278"/>
      <c r="AO583" s="388"/>
    </row>
    <row r="584" spans="25:43">
      <c r="Y584" s="72">
        <v>2922.18</v>
      </c>
      <c r="Z584" s="427">
        <f t="shared" si="250"/>
        <v>2922.18</v>
      </c>
      <c r="AA584" s="417">
        <f>AE589*Z584*12</f>
        <v>0</v>
      </c>
      <c r="AC584" s="491">
        <v>13</v>
      </c>
      <c r="AD584" s="483" t="s">
        <v>5</v>
      </c>
      <c r="AE584" s="249">
        <f>SUM(AE576:AE583)</f>
        <v>64371.970093095115</v>
      </c>
      <c r="AF584" s="249">
        <f>SUM(AF576:AF583)</f>
        <v>64541.751937998488</v>
      </c>
      <c r="AG584" s="278"/>
      <c r="AH584" s="281"/>
      <c r="AI584" s="281"/>
      <c r="AJ584" s="281"/>
      <c r="AK584" s="281"/>
      <c r="AL584" s="281"/>
      <c r="AM584" s="281"/>
      <c r="AN584" s="281"/>
      <c r="AO584" s="389"/>
    </row>
    <row r="585" spans="25:43">
      <c r="Z585" s="427">
        <f t="shared" si="250"/>
        <v>0</v>
      </c>
      <c r="AA585" s="417"/>
      <c r="AC585" s="491">
        <v>14</v>
      </c>
      <c r="AD585" s="367"/>
      <c r="AE585" s="590" t="s">
        <v>392</v>
      </c>
      <c r="AF585" s="590"/>
      <c r="AG585" s="230"/>
      <c r="AH585" s="590" t="s">
        <v>392</v>
      </c>
      <c r="AI585" s="590"/>
      <c r="AJ585" s="596" t="s">
        <v>392</v>
      </c>
      <c r="AK585" s="596"/>
      <c r="AL585" s="596" t="s">
        <v>392</v>
      </c>
      <c r="AM585" s="596"/>
      <c r="AN585" s="596" t="s">
        <v>392</v>
      </c>
      <c r="AO585" s="597"/>
    </row>
    <row r="586" spans="25:43">
      <c r="Z586" s="427">
        <f t="shared" si="250"/>
        <v>0</v>
      </c>
      <c r="AA586" s="417"/>
      <c r="AC586" s="491">
        <v>15</v>
      </c>
      <c r="AD586" s="484" t="str">
        <f>AD576</f>
        <v xml:space="preserve">Residential </v>
      </c>
      <c r="AE586" s="598">
        <f t="shared" ref="AE586:AE593" si="251">AF576-AE576</f>
        <v>111.81053475708904</v>
      </c>
      <c r="AF586" s="598"/>
      <c r="AG586" s="278" t="str">
        <f>AG576</f>
        <v>kWh</v>
      </c>
      <c r="AH586" s="598">
        <f>AI576-AH576</f>
        <v>-382594.92488747835</v>
      </c>
      <c r="AI586" s="598"/>
      <c r="AJ586" s="598">
        <f>AK576-AJ576</f>
        <v>-382594.92488747835</v>
      </c>
      <c r="AK586" s="598"/>
      <c r="AL586" s="598">
        <f>AM576-AL576</f>
        <v>-26.600448120356305</v>
      </c>
      <c r="AM586" s="598"/>
      <c r="AN586" s="598">
        <f>AO576-AN576</f>
        <v>-26.600448120356305</v>
      </c>
      <c r="AO586" s="599"/>
    </row>
    <row r="587" spans="25:43">
      <c r="Y587" s="72">
        <v>9.7000000000000003E-3</v>
      </c>
      <c r="Z587" s="426">
        <f t="shared" si="250"/>
        <v>9.7000000000000003E-3</v>
      </c>
      <c r="AA587" s="417">
        <f>AH586*Z587</f>
        <v>-3711.1707714085401</v>
      </c>
      <c r="AC587" s="491">
        <v>16</v>
      </c>
      <c r="AD587" s="484" t="str">
        <f t="shared" ref="AD587:AD593" si="252">AD577</f>
        <v>General Service
 &lt; 50 kW</v>
      </c>
      <c r="AE587" s="598">
        <f t="shared" si="251"/>
        <v>32.124525202347286</v>
      </c>
      <c r="AF587" s="598"/>
      <c r="AG587" s="278" t="str">
        <f t="shared" ref="AG587:AG593" si="253">AG577</f>
        <v>kWh</v>
      </c>
      <c r="AH587" s="598">
        <f t="shared" ref="AH587:AH591" si="254">AI577-AH577</f>
        <v>4160136.6851450205</v>
      </c>
      <c r="AI587" s="598"/>
      <c r="AJ587" s="598">
        <f t="shared" ref="AJ587:AJ588" si="255">AK577-AJ577</f>
        <v>4160136.6851450205</v>
      </c>
      <c r="AK587" s="598"/>
      <c r="AL587" s="598">
        <f t="shared" ref="AL587:AL592" si="256">AM577-AL577</f>
        <v>686.85573299503449</v>
      </c>
      <c r="AM587" s="598"/>
      <c r="AN587" s="598">
        <f>AO577-AN577</f>
        <v>686.85573299503449</v>
      </c>
      <c r="AO587" s="599"/>
      <c r="AQ587" s="393">
        <f>AJ587/AJ577</f>
        <v>3.0029050441729623E-2</v>
      </c>
    </row>
    <row r="588" spans="25:43">
      <c r="Y588" s="72">
        <v>1.4E-2</v>
      </c>
      <c r="Z588" s="426">
        <f t="shared" si="250"/>
        <v>1.4000000000000002E-2</v>
      </c>
      <c r="AA588" s="417">
        <f>AH587*Z588</f>
        <v>58241.913592030294</v>
      </c>
      <c r="AC588" s="491">
        <v>17</v>
      </c>
      <c r="AD588" s="484" t="str">
        <f t="shared" si="252"/>
        <v>General Service
 &gt; 50 to 999 kW</v>
      </c>
      <c r="AE588" s="598">
        <f t="shared" si="251"/>
        <v>-2.8664669403796097</v>
      </c>
      <c r="AF588" s="598"/>
      <c r="AG588" s="278" t="str">
        <f t="shared" si="253"/>
        <v>kW</v>
      </c>
      <c r="AH588" s="598">
        <f t="shared" si="254"/>
        <v>-3219.6340652838117</v>
      </c>
      <c r="AI588" s="598"/>
      <c r="AJ588" s="598">
        <f t="shared" si="255"/>
        <v>-3219.6340652838117</v>
      </c>
      <c r="AK588" s="598"/>
      <c r="AL588" s="598">
        <f t="shared" si="256"/>
        <v>1.8898403151517869</v>
      </c>
      <c r="AM588" s="598"/>
      <c r="AN588" s="598">
        <f>AO578-AN578</f>
        <v>1.8898403151517869</v>
      </c>
      <c r="AO588" s="599"/>
      <c r="AQ588" s="393">
        <f>AJ588/AJ578</f>
        <v>-4.8766491778429889E-3</v>
      </c>
    </row>
    <row r="589" spans="25:43">
      <c r="Y589" s="72">
        <v>2.5992999999999999</v>
      </c>
      <c r="Z589" s="426">
        <f t="shared" si="250"/>
        <v>2.5992999999999999</v>
      </c>
      <c r="AA589" s="417">
        <f>AH588*Z589</f>
        <v>-8368.7948258922115</v>
      </c>
      <c r="AC589" s="491">
        <v>18</v>
      </c>
      <c r="AD589" s="484" t="str">
        <f t="shared" si="252"/>
        <v>General Service 
&gt; 1000 kW</v>
      </c>
      <c r="AE589" s="598">
        <f t="shared" si="251"/>
        <v>0</v>
      </c>
      <c r="AF589" s="598"/>
      <c r="AG589" s="278" t="str">
        <f t="shared" si="253"/>
        <v>kW</v>
      </c>
      <c r="AH589" s="598">
        <f t="shared" si="254"/>
        <v>-19143.545249992167</v>
      </c>
      <c r="AI589" s="598"/>
      <c r="AJ589" s="598"/>
      <c r="AK589" s="598"/>
      <c r="AL589" s="598">
        <f t="shared" si="256"/>
        <v>-884.61243780776567</v>
      </c>
      <c r="AM589" s="598"/>
      <c r="AN589" s="598"/>
      <c r="AO589" s="599"/>
    </row>
    <row r="590" spans="25:43">
      <c r="Y590" s="277">
        <v>2.3087</v>
      </c>
      <c r="Z590" s="426">
        <f t="shared" si="250"/>
        <v>2.3087</v>
      </c>
      <c r="AA590" s="422">
        <f>AH589*Z590</f>
        <v>-44196.702918656913</v>
      </c>
      <c r="AC590" s="491">
        <v>19</v>
      </c>
      <c r="AD590" s="484" t="str">
        <f t="shared" si="252"/>
        <v>Large User</v>
      </c>
      <c r="AE590" s="598">
        <f t="shared" si="251"/>
        <v>0</v>
      </c>
      <c r="AF590" s="598"/>
      <c r="AG590" s="278" t="str">
        <f t="shared" si="253"/>
        <v>kW</v>
      </c>
      <c r="AH590" s="598">
        <f t="shared" si="254"/>
        <v>0</v>
      </c>
      <c r="AI590" s="598"/>
      <c r="AJ590" s="598"/>
      <c r="AK590" s="598"/>
      <c r="AL590" s="598" t="e">
        <f t="shared" si="256"/>
        <v>#DIV/0!</v>
      </c>
      <c r="AM590" s="598"/>
      <c r="AN590" s="598"/>
      <c r="AO590" s="599"/>
    </row>
    <row r="591" spans="25:43">
      <c r="Y591" s="277"/>
      <c r="Z591" s="277"/>
      <c r="AA591" s="422"/>
      <c r="AC591" s="491">
        <v>20</v>
      </c>
      <c r="AD591" s="484" t="str">
        <f t="shared" si="252"/>
        <v>Street Lighting</v>
      </c>
      <c r="AE591" s="598">
        <f t="shared" si="251"/>
        <v>28.713251884315468</v>
      </c>
      <c r="AF591" s="598"/>
      <c r="AG591" s="278" t="str">
        <f t="shared" si="253"/>
        <v>kW</v>
      </c>
      <c r="AH591" s="598">
        <f t="shared" si="254"/>
        <v>-1690.9134160621616</v>
      </c>
      <c r="AI591" s="598"/>
      <c r="AJ591" s="598"/>
      <c r="AK591" s="598"/>
      <c r="AL591" s="598">
        <f t="shared" si="256"/>
        <v>-0.13150946135779407</v>
      </c>
      <c r="AM591" s="598"/>
      <c r="AN591" s="598"/>
      <c r="AO591" s="599"/>
    </row>
    <row r="592" spans="25:43">
      <c r="Y592" s="277"/>
      <c r="Z592" s="277"/>
      <c r="AA592" s="277"/>
      <c r="AB592" s="277"/>
      <c r="AC592" s="491">
        <v>21</v>
      </c>
      <c r="AD592" s="484" t="str">
        <f t="shared" si="252"/>
        <v>Sentinel Lighting</v>
      </c>
      <c r="AE592" s="598">
        <f t="shared" si="251"/>
        <v>0</v>
      </c>
      <c r="AF592" s="598"/>
      <c r="AG592" s="278" t="str">
        <f t="shared" si="253"/>
        <v>kW</v>
      </c>
      <c r="AH592" s="598">
        <f>AI582-AH582</f>
        <v>0</v>
      </c>
      <c r="AI592" s="598"/>
      <c r="AJ592" s="598"/>
      <c r="AK592" s="598"/>
      <c r="AL592" s="598">
        <f t="shared" si="256"/>
        <v>0</v>
      </c>
      <c r="AM592" s="598"/>
      <c r="AN592" s="598"/>
      <c r="AO592" s="599"/>
    </row>
    <row r="593" spans="25:41" ht="13.5" thickBot="1">
      <c r="Y593" s="277"/>
      <c r="Z593" s="277"/>
      <c r="AA593" s="277"/>
      <c r="AB593" s="277"/>
      <c r="AC593" s="491">
        <v>22</v>
      </c>
      <c r="AD593" s="485" t="str">
        <f t="shared" si="252"/>
        <v>Unmetered Scattered Load</v>
      </c>
      <c r="AE593" s="600">
        <f t="shared" si="251"/>
        <v>0</v>
      </c>
      <c r="AF593" s="600"/>
      <c r="AG593" s="390" t="str">
        <f t="shared" si="253"/>
        <v>kWh</v>
      </c>
      <c r="AH593" s="600">
        <f>AI583-AH583</f>
        <v>0</v>
      </c>
      <c r="AI593" s="600"/>
      <c r="AJ593" s="600"/>
      <c r="AK593" s="600"/>
      <c r="AL593" s="600">
        <f>AM583-AL583</f>
        <v>0</v>
      </c>
      <c r="AM593" s="600"/>
      <c r="AN593" s="600"/>
      <c r="AO593" s="601"/>
    </row>
  </sheetData>
  <mergeCells count="627">
    <mergeCell ref="AE592:AF592"/>
    <mergeCell ref="AH592:AI592"/>
    <mergeCell ref="AJ592:AK592"/>
    <mergeCell ref="AL592:AM592"/>
    <mergeCell ref="AN592:AO592"/>
    <mergeCell ref="AE593:AF593"/>
    <mergeCell ref="AH593:AI593"/>
    <mergeCell ref="AJ593:AK593"/>
    <mergeCell ref="AL593:AM593"/>
    <mergeCell ref="AN593:AO593"/>
    <mergeCell ref="AE590:AF590"/>
    <mergeCell ref="AH590:AI590"/>
    <mergeCell ref="AJ590:AK590"/>
    <mergeCell ref="AL590:AM590"/>
    <mergeCell ref="AN590:AO590"/>
    <mergeCell ref="AE591:AF591"/>
    <mergeCell ref="AH591:AI591"/>
    <mergeCell ref="AJ591:AK591"/>
    <mergeCell ref="AL591:AM591"/>
    <mergeCell ref="AN591:AO591"/>
    <mergeCell ref="AE588:AF588"/>
    <mergeCell ref="AH588:AI588"/>
    <mergeCell ref="AJ588:AK588"/>
    <mergeCell ref="AL588:AM588"/>
    <mergeCell ref="AN588:AO588"/>
    <mergeCell ref="AE589:AF589"/>
    <mergeCell ref="AH589:AI589"/>
    <mergeCell ref="AJ589:AK589"/>
    <mergeCell ref="AL589:AM589"/>
    <mergeCell ref="AN589:AO589"/>
    <mergeCell ref="AE586:AF586"/>
    <mergeCell ref="AH586:AI586"/>
    <mergeCell ref="AJ586:AK586"/>
    <mergeCell ref="AL586:AM586"/>
    <mergeCell ref="AN586:AO586"/>
    <mergeCell ref="AE587:AF587"/>
    <mergeCell ref="AH587:AI587"/>
    <mergeCell ref="AJ587:AK587"/>
    <mergeCell ref="AL587:AM587"/>
    <mergeCell ref="AN587:AO587"/>
    <mergeCell ref="AD572:AH574"/>
    <mergeCell ref="AL572:AO574"/>
    <mergeCell ref="AE585:AF585"/>
    <mergeCell ref="AH585:AI585"/>
    <mergeCell ref="AJ585:AK585"/>
    <mergeCell ref="AL585:AM585"/>
    <mergeCell ref="AN585:AO585"/>
    <mergeCell ref="AD570:AO570"/>
    <mergeCell ref="AE571:AF571"/>
    <mergeCell ref="AH571:AI571"/>
    <mergeCell ref="AJ571:AK571"/>
    <mergeCell ref="AL571:AM571"/>
    <mergeCell ref="AN571:AO571"/>
    <mergeCell ref="AE555:AF555"/>
    <mergeCell ref="AH555:AI555"/>
    <mergeCell ref="AJ555:AK555"/>
    <mergeCell ref="AL555:AM555"/>
    <mergeCell ref="AN555:AO555"/>
    <mergeCell ref="AE556:AF556"/>
    <mergeCell ref="AH556:AI556"/>
    <mergeCell ref="AJ556:AK556"/>
    <mergeCell ref="AL556:AM556"/>
    <mergeCell ref="AN556:AO556"/>
    <mergeCell ref="AE553:AF553"/>
    <mergeCell ref="AH553:AI553"/>
    <mergeCell ref="AJ553:AK553"/>
    <mergeCell ref="AL553:AM553"/>
    <mergeCell ref="AN553:AO553"/>
    <mergeCell ref="AE554:AF554"/>
    <mergeCell ref="AH554:AI554"/>
    <mergeCell ref="AJ554:AK554"/>
    <mergeCell ref="AL554:AM554"/>
    <mergeCell ref="AN554:AO554"/>
    <mergeCell ref="AE551:AF551"/>
    <mergeCell ref="AH551:AI551"/>
    <mergeCell ref="AJ551:AK551"/>
    <mergeCell ref="AL551:AM551"/>
    <mergeCell ref="AN551:AO551"/>
    <mergeCell ref="AE552:AF552"/>
    <mergeCell ref="AH552:AI552"/>
    <mergeCell ref="AJ552:AK552"/>
    <mergeCell ref="AL552:AM552"/>
    <mergeCell ref="AN552:AO552"/>
    <mergeCell ref="AE549:AF549"/>
    <mergeCell ref="AH549:AI549"/>
    <mergeCell ref="AJ549:AK549"/>
    <mergeCell ref="AL549:AM549"/>
    <mergeCell ref="AN549:AO549"/>
    <mergeCell ref="AE550:AF550"/>
    <mergeCell ref="AH550:AI550"/>
    <mergeCell ref="AJ550:AK550"/>
    <mergeCell ref="AL550:AM550"/>
    <mergeCell ref="AN550:AO550"/>
    <mergeCell ref="AD535:AH537"/>
    <mergeCell ref="AL535:AO537"/>
    <mergeCell ref="AE548:AF548"/>
    <mergeCell ref="AH548:AI548"/>
    <mergeCell ref="AJ548:AK548"/>
    <mergeCell ref="AL548:AM548"/>
    <mergeCell ref="AN548:AO548"/>
    <mergeCell ref="AD533:AO533"/>
    <mergeCell ref="AE534:AF534"/>
    <mergeCell ref="AH534:AI534"/>
    <mergeCell ref="AJ534:AK534"/>
    <mergeCell ref="AL534:AM534"/>
    <mergeCell ref="AN534:AO534"/>
    <mergeCell ref="AE518:AF518"/>
    <mergeCell ref="AH518:AI518"/>
    <mergeCell ref="AJ518:AK518"/>
    <mergeCell ref="AL518:AM518"/>
    <mergeCell ref="AN518:AO518"/>
    <mergeCell ref="AE519:AF519"/>
    <mergeCell ref="AH519:AI519"/>
    <mergeCell ref="AJ519:AK519"/>
    <mergeCell ref="AL519:AM519"/>
    <mergeCell ref="AN519:AO519"/>
    <mergeCell ref="AE516:AF516"/>
    <mergeCell ref="AH516:AI516"/>
    <mergeCell ref="AJ516:AK516"/>
    <mergeCell ref="AL516:AM516"/>
    <mergeCell ref="AN516:AO516"/>
    <mergeCell ref="AE517:AF517"/>
    <mergeCell ref="AH517:AI517"/>
    <mergeCell ref="AJ517:AK517"/>
    <mergeCell ref="AL517:AM517"/>
    <mergeCell ref="AN517:AO517"/>
    <mergeCell ref="AE514:AF514"/>
    <mergeCell ref="AH514:AI514"/>
    <mergeCell ref="AJ514:AK514"/>
    <mergeCell ref="AL514:AM514"/>
    <mergeCell ref="AN514:AO514"/>
    <mergeCell ref="AE515:AF515"/>
    <mergeCell ref="AH515:AI515"/>
    <mergeCell ref="AJ515:AK515"/>
    <mergeCell ref="AL515:AM515"/>
    <mergeCell ref="AN515:AO515"/>
    <mergeCell ref="AE512:AF512"/>
    <mergeCell ref="AH512:AI512"/>
    <mergeCell ref="AJ512:AK512"/>
    <mergeCell ref="AL512:AM512"/>
    <mergeCell ref="AN512:AO512"/>
    <mergeCell ref="AE513:AF513"/>
    <mergeCell ref="AH513:AI513"/>
    <mergeCell ref="AJ513:AK513"/>
    <mergeCell ref="AL513:AM513"/>
    <mergeCell ref="AN513:AO513"/>
    <mergeCell ref="AD498:AH500"/>
    <mergeCell ref="AL498:AO500"/>
    <mergeCell ref="AE511:AF511"/>
    <mergeCell ref="AH511:AI511"/>
    <mergeCell ref="AJ511:AK511"/>
    <mergeCell ref="AL511:AM511"/>
    <mergeCell ref="AN511:AO511"/>
    <mergeCell ref="AD496:AO496"/>
    <mergeCell ref="AE497:AF497"/>
    <mergeCell ref="AH497:AI497"/>
    <mergeCell ref="AJ497:AK497"/>
    <mergeCell ref="AL497:AM497"/>
    <mergeCell ref="AN497:AO497"/>
    <mergeCell ref="AE481:AF481"/>
    <mergeCell ref="AH481:AI481"/>
    <mergeCell ref="AJ481:AK481"/>
    <mergeCell ref="AL481:AM481"/>
    <mergeCell ref="AN481:AO481"/>
    <mergeCell ref="AE482:AF482"/>
    <mergeCell ref="AH482:AI482"/>
    <mergeCell ref="AJ482:AK482"/>
    <mergeCell ref="AL482:AM482"/>
    <mergeCell ref="AN482:AO482"/>
    <mergeCell ref="AE479:AF479"/>
    <mergeCell ref="AH479:AI479"/>
    <mergeCell ref="AJ479:AK479"/>
    <mergeCell ref="AL479:AM479"/>
    <mergeCell ref="AN479:AO479"/>
    <mergeCell ref="AE480:AF480"/>
    <mergeCell ref="AH480:AI480"/>
    <mergeCell ref="AJ480:AK480"/>
    <mergeCell ref="AL480:AM480"/>
    <mergeCell ref="AN480:AO480"/>
    <mergeCell ref="AE477:AF477"/>
    <mergeCell ref="AH477:AI477"/>
    <mergeCell ref="AJ477:AK477"/>
    <mergeCell ref="AL477:AM477"/>
    <mergeCell ref="AN477:AO477"/>
    <mergeCell ref="AE478:AF478"/>
    <mergeCell ref="AH478:AI478"/>
    <mergeCell ref="AJ478:AK478"/>
    <mergeCell ref="AL478:AM478"/>
    <mergeCell ref="AN478:AO478"/>
    <mergeCell ref="AD447:AH447"/>
    <mergeCell ref="AE475:AF475"/>
    <mergeCell ref="AH475:AI475"/>
    <mergeCell ref="AJ475:AK475"/>
    <mergeCell ref="AL475:AM475"/>
    <mergeCell ref="AN475:AO475"/>
    <mergeCell ref="AE476:AF476"/>
    <mergeCell ref="AH476:AI476"/>
    <mergeCell ref="AJ476:AK476"/>
    <mergeCell ref="AL476:AM476"/>
    <mergeCell ref="AN476:AO476"/>
    <mergeCell ref="AD461:AH463"/>
    <mergeCell ref="AL461:AO463"/>
    <mergeCell ref="AE474:AF474"/>
    <mergeCell ref="AH474:AI474"/>
    <mergeCell ref="AJ474:AK474"/>
    <mergeCell ref="AL474:AM474"/>
    <mergeCell ref="AN474:AO474"/>
    <mergeCell ref="AD459:AO459"/>
    <mergeCell ref="AE460:AF460"/>
    <mergeCell ref="AH460:AI460"/>
    <mergeCell ref="AJ460:AK460"/>
    <mergeCell ref="AL460:AM460"/>
    <mergeCell ref="AN460:AO460"/>
    <mergeCell ref="AE444:AF444"/>
    <mergeCell ref="AH444:AI444"/>
    <mergeCell ref="AJ444:AK444"/>
    <mergeCell ref="AL444:AM444"/>
    <mergeCell ref="AN444:AO444"/>
    <mergeCell ref="AE445:AF445"/>
    <mergeCell ref="AH445:AI445"/>
    <mergeCell ref="AJ445:AK445"/>
    <mergeCell ref="AL445:AM445"/>
    <mergeCell ref="AN445:AO445"/>
    <mergeCell ref="AE442:AF442"/>
    <mergeCell ref="AH442:AI442"/>
    <mergeCell ref="AJ442:AK442"/>
    <mergeCell ref="AL442:AM442"/>
    <mergeCell ref="AN442:AO442"/>
    <mergeCell ref="AE443:AF443"/>
    <mergeCell ref="AH443:AI443"/>
    <mergeCell ref="AJ443:AK443"/>
    <mergeCell ref="AL443:AM443"/>
    <mergeCell ref="AN443:AO443"/>
    <mergeCell ref="AE440:AF440"/>
    <mergeCell ref="AH440:AI440"/>
    <mergeCell ref="AJ440:AK440"/>
    <mergeCell ref="AL440:AM440"/>
    <mergeCell ref="AN440:AO440"/>
    <mergeCell ref="AE441:AF441"/>
    <mergeCell ref="AH441:AI441"/>
    <mergeCell ref="AJ441:AK441"/>
    <mergeCell ref="AL441:AM441"/>
    <mergeCell ref="AN441:AO441"/>
    <mergeCell ref="AE438:AF438"/>
    <mergeCell ref="AH438:AI438"/>
    <mergeCell ref="AJ438:AK438"/>
    <mergeCell ref="AL438:AM438"/>
    <mergeCell ref="AN438:AO438"/>
    <mergeCell ref="AE439:AF439"/>
    <mergeCell ref="AH439:AI439"/>
    <mergeCell ref="AJ439:AK439"/>
    <mergeCell ref="AL439:AM439"/>
    <mergeCell ref="AN439:AO439"/>
    <mergeCell ref="AD424:AH426"/>
    <mergeCell ref="AL424:AO426"/>
    <mergeCell ref="AE437:AF437"/>
    <mergeCell ref="AH437:AI437"/>
    <mergeCell ref="AJ437:AK437"/>
    <mergeCell ref="AL437:AM437"/>
    <mergeCell ref="AN437:AO437"/>
    <mergeCell ref="AZ397:BD397"/>
    <mergeCell ref="AD422:AO422"/>
    <mergeCell ref="AE423:AF423"/>
    <mergeCell ref="AH423:AI423"/>
    <mergeCell ref="AJ423:AK423"/>
    <mergeCell ref="AL423:AM423"/>
    <mergeCell ref="AN423:AO423"/>
    <mergeCell ref="AE407:AF407"/>
    <mergeCell ref="AH407:AI407"/>
    <mergeCell ref="AJ407:AK407"/>
    <mergeCell ref="AL407:AM407"/>
    <mergeCell ref="AN407:AO407"/>
    <mergeCell ref="AE408:AF408"/>
    <mergeCell ref="AH408:AI408"/>
    <mergeCell ref="AJ408:AK408"/>
    <mergeCell ref="AL408:AM408"/>
    <mergeCell ref="AN408:AO408"/>
    <mergeCell ref="AE405:AF405"/>
    <mergeCell ref="AH405:AI405"/>
    <mergeCell ref="AJ405:AK405"/>
    <mergeCell ref="AL405:AM405"/>
    <mergeCell ref="AN405:AO405"/>
    <mergeCell ref="AE406:AF406"/>
    <mergeCell ref="AH406:AI406"/>
    <mergeCell ref="AJ406:AK406"/>
    <mergeCell ref="AL406:AM406"/>
    <mergeCell ref="AN406:AO406"/>
    <mergeCell ref="AE403:AF403"/>
    <mergeCell ref="AH403:AI403"/>
    <mergeCell ref="AJ403:AK403"/>
    <mergeCell ref="AL403:AM403"/>
    <mergeCell ref="AN403:AO403"/>
    <mergeCell ref="AE404:AF404"/>
    <mergeCell ref="AH404:AI404"/>
    <mergeCell ref="AJ404:AK404"/>
    <mergeCell ref="AL404:AM404"/>
    <mergeCell ref="AN404:AO404"/>
    <mergeCell ref="AE401:AF401"/>
    <mergeCell ref="AH401:AI401"/>
    <mergeCell ref="AJ401:AK401"/>
    <mergeCell ref="AL401:AM401"/>
    <mergeCell ref="AN401:AO401"/>
    <mergeCell ref="AE402:AF402"/>
    <mergeCell ref="AH402:AI402"/>
    <mergeCell ref="AJ402:AK402"/>
    <mergeCell ref="AL402:AM402"/>
    <mergeCell ref="AN402:AO402"/>
    <mergeCell ref="AD387:AH389"/>
    <mergeCell ref="AL387:AO389"/>
    <mergeCell ref="AE400:AF400"/>
    <mergeCell ref="AH400:AI400"/>
    <mergeCell ref="AJ400:AK400"/>
    <mergeCell ref="AL400:AM400"/>
    <mergeCell ref="AN400:AO400"/>
    <mergeCell ref="AZ375:BD375"/>
    <mergeCell ref="AD385:AO385"/>
    <mergeCell ref="AE386:AF386"/>
    <mergeCell ref="AH386:AI386"/>
    <mergeCell ref="AJ386:AK386"/>
    <mergeCell ref="AL386:AM386"/>
    <mergeCell ref="AN386:AO386"/>
    <mergeCell ref="AE371:AF371"/>
    <mergeCell ref="AH371:AI371"/>
    <mergeCell ref="AJ371:AK371"/>
    <mergeCell ref="AL371:AM371"/>
    <mergeCell ref="AN371:AO371"/>
    <mergeCell ref="AD348:AO348"/>
    <mergeCell ref="AE369:AF369"/>
    <mergeCell ref="AH369:AI369"/>
    <mergeCell ref="AJ369:AK369"/>
    <mergeCell ref="AL369:AM369"/>
    <mergeCell ref="AN369:AO369"/>
    <mergeCell ref="AE370:AF370"/>
    <mergeCell ref="AH370:AI370"/>
    <mergeCell ref="AJ370:AK370"/>
    <mergeCell ref="AL370:AM370"/>
    <mergeCell ref="AN370:AO370"/>
    <mergeCell ref="AE367:AF367"/>
    <mergeCell ref="AH367:AI367"/>
    <mergeCell ref="AJ367:AK367"/>
    <mergeCell ref="AL367:AM367"/>
    <mergeCell ref="AN367:AO367"/>
    <mergeCell ref="AE368:AF368"/>
    <mergeCell ref="AH368:AI368"/>
    <mergeCell ref="AJ368:AK368"/>
    <mergeCell ref="AL368:AM368"/>
    <mergeCell ref="AN368:AO368"/>
    <mergeCell ref="AE365:AF365"/>
    <mergeCell ref="AH365:AI365"/>
    <mergeCell ref="AJ365:AK365"/>
    <mergeCell ref="AL365:AM365"/>
    <mergeCell ref="AN365:AO365"/>
    <mergeCell ref="AE366:AF366"/>
    <mergeCell ref="AH366:AI366"/>
    <mergeCell ref="AJ366:AK366"/>
    <mergeCell ref="AL366:AM366"/>
    <mergeCell ref="AN366:AO366"/>
    <mergeCell ref="AE363:AF363"/>
    <mergeCell ref="AH363:AI363"/>
    <mergeCell ref="AJ363:AK363"/>
    <mergeCell ref="AL363:AM363"/>
    <mergeCell ref="AN363:AO363"/>
    <mergeCell ref="AE364:AF364"/>
    <mergeCell ref="AH364:AI364"/>
    <mergeCell ref="AJ364:AK364"/>
    <mergeCell ref="AL364:AM364"/>
    <mergeCell ref="AN364:AO364"/>
    <mergeCell ref="AH349:AI349"/>
    <mergeCell ref="AJ349:AK349"/>
    <mergeCell ref="AL349:AM349"/>
    <mergeCell ref="AN349:AO349"/>
    <mergeCell ref="AD350:AH352"/>
    <mergeCell ref="AL350:AO352"/>
    <mergeCell ref="G253:L253"/>
    <mergeCell ref="D250:M250"/>
    <mergeCell ref="D265:K265"/>
    <mergeCell ref="D279:E279"/>
    <mergeCell ref="D281:L281"/>
    <mergeCell ref="AE349:AF349"/>
    <mergeCell ref="D268:E268"/>
    <mergeCell ref="D269:E269"/>
    <mergeCell ref="D270:E270"/>
    <mergeCell ref="D271:E271"/>
    <mergeCell ref="D272:E272"/>
    <mergeCell ref="D273:E273"/>
    <mergeCell ref="D262:E262"/>
    <mergeCell ref="D263:E263"/>
    <mergeCell ref="D266:E266"/>
    <mergeCell ref="D256:E256"/>
    <mergeCell ref="D257:E257"/>
    <mergeCell ref="D258:E258"/>
    <mergeCell ref="AZ337:BD337"/>
    <mergeCell ref="D278:E278"/>
    <mergeCell ref="D282:E282"/>
    <mergeCell ref="D284:E284"/>
    <mergeCell ref="D285:E285"/>
    <mergeCell ref="D274:E274"/>
    <mergeCell ref="D275:E275"/>
    <mergeCell ref="D276:E276"/>
    <mergeCell ref="D277:E277"/>
    <mergeCell ref="D235:E235"/>
    <mergeCell ref="D231:L231"/>
    <mergeCell ref="D236:E236"/>
    <mergeCell ref="D238:O238"/>
    <mergeCell ref="D240:O240"/>
    <mergeCell ref="D227:E227"/>
    <mergeCell ref="D228:E228"/>
    <mergeCell ref="D232:E232"/>
    <mergeCell ref="D233:L233"/>
    <mergeCell ref="D234:E234"/>
    <mergeCell ref="D219:L219"/>
    <mergeCell ref="D190:E190"/>
    <mergeCell ref="D189:E189"/>
    <mergeCell ref="D188:E188"/>
    <mergeCell ref="D203:E203"/>
    <mergeCell ref="D206:E206"/>
    <mergeCell ref="D192:E192"/>
    <mergeCell ref="D193:E193"/>
    <mergeCell ref="D194:E194"/>
    <mergeCell ref="D195:E195"/>
    <mergeCell ref="D196:E196"/>
    <mergeCell ref="D241:E241"/>
    <mergeCell ref="D191:E191"/>
    <mergeCell ref="D199:K199"/>
    <mergeCell ref="D207:L207"/>
    <mergeCell ref="D205:L205"/>
    <mergeCell ref="D213:O213"/>
    <mergeCell ref="D239:E239"/>
    <mergeCell ref="D224:L224"/>
    <mergeCell ref="D225:E225"/>
    <mergeCell ref="D226:L226"/>
    <mergeCell ref="D214:E214"/>
    <mergeCell ref="D215:E215"/>
    <mergeCell ref="D208:E208"/>
    <mergeCell ref="D209:E209"/>
    <mergeCell ref="D212:E212"/>
    <mergeCell ref="D211:O211"/>
    <mergeCell ref="D200:E200"/>
    <mergeCell ref="D201:J201"/>
    <mergeCell ref="D202:E202"/>
    <mergeCell ref="D218:E218"/>
    <mergeCell ref="D221:E221"/>
    <mergeCell ref="D222:E222"/>
    <mergeCell ref="D220:E220"/>
    <mergeCell ref="D217:L217"/>
    <mergeCell ref="D187:E187"/>
    <mergeCell ref="D165:N165"/>
    <mergeCell ref="D163:N163"/>
    <mergeCell ref="D178:O178"/>
    <mergeCell ref="D180:O180"/>
    <mergeCell ref="D186:K186"/>
    <mergeCell ref="D179:E179"/>
    <mergeCell ref="D181:E181"/>
    <mergeCell ref="D182:E182"/>
    <mergeCell ref="D185:E185"/>
    <mergeCell ref="D184:K184"/>
    <mergeCell ref="D174:E174"/>
    <mergeCell ref="D175:E175"/>
    <mergeCell ref="D176:E176"/>
    <mergeCell ref="D168:E168"/>
    <mergeCell ref="D169:E169"/>
    <mergeCell ref="D170:E170"/>
    <mergeCell ref="D171:E171"/>
    <mergeCell ref="D172:E172"/>
    <mergeCell ref="D173:E173"/>
    <mergeCell ref="D164:E164"/>
    <mergeCell ref="D166:E166"/>
    <mergeCell ref="D167:E167"/>
    <mergeCell ref="D151:O151"/>
    <mergeCell ref="D149:O149"/>
    <mergeCell ref="D73:E73"/>
    <mergeCell ref="D74:E74"/>
    <mergeCell ref="D75:E75"/>
    <mergeCell ref="D76:E76"/>
    <mergeCell ref="D77:E77"/>
    <mergeCell ref="D78:E78"/>
    <mergeCell ref="D145:E145"/>
    <mergeCell ref="D146:E146"/>
    <mergeCell ref="D150:E150"/>
    <mergeCell ref="D139:E139"/>
    <mergeCell ref="D140:E140"/>
    <mergeCell ref="D141:E141"/>
    <mergeCell ref="D142:E142"/>
    <mergeCell ref="D143:E143"/>
    <mergeCell ref="D144:E144"/>
    <mergeCell ref="D133:E133"/>
    <mergeCell ref="D135:E135"/>
    <mergeCell ref="D136:E136"/>
    <mergeCell ref="D137:E137"/>
    <mergeCell ref="D138:E138"/>
    <mergeCell ref="D126:E126"/>
    <mergeCell ref="D127:E127"/>
    <mergeCell ref="D259:E259"/>
    <mergeCell ref="D260:E260"/>
    <mergeCell ref="D261:E261"/>
    <mergeCell ref="D248:E248"/>
    <mergeCell ref="D251:E251"/>
    <mergeCell ref="D254:E254"/>
    <mergeCell ref="D255:E255"/>
    <mergeCell ref="D252:M252"/>
    <mergeCell ref="D242:E242"/>
    <mergeCell ref="D244:E244"/>
    <mergeCell ref="D245:E245"/>
    <mergeCell ref="D247:E247"/>
    <mergeCell ref="D243:O243"/>
    <mergeCell ref="D246:O246"/>
    <mergeCell ref="D157:E157"/>
    <mergeCell ref="D158:E158"/>
    <mergeCell ref="D159:E159"/>
    <mergeCell ref="D160:E160"/>
    <mergeCell ref="D161:E161"/>
    <mergeCell ref="D152:E152"/>
    <mergeCell ref="D153:E153"/>
    <mergeCell ref="D154:E154"/>
    <mergeCell ref="D155:E155"/>
    <mergeCell ref="D156:E156"/>
    <mergeCell ref="D134:L134"/>
    <mergeCell ref="D116:E116"/>
    <mergeCell ref="D118:E118"/>
    <mergeCell ref="D119:E119"/>
    <mergeCell ref="D115:L115"/>
    <mergeCell ref="D109:E109"/>
    <mergeCell ref="D110:E110"/>
    <mergeCell ref="D111:E111"/>
    <mergeCell ref="D112:E112"/>
    <mergeCell ref="D128:E128"/>
    <mergeCell ref="D129:E129"/>
    <mergeCell ref="D132:L132"/>
    <mergeCell ref="D120:E120"/>
    <mergeCell ref="D121:E121"/>
    <mergeCell ref="D122:E122"/>
    <mergeCell ref="D123:E123"/>
    <mergeCell ref="D124:E124"/>
    <mergeCell ref="D125:E125"/>
    <mergeCell ref="D103:E103"/>
    <mergeCell ref="D104:E104"/>
    <mergeCell ref="D105:E105"/>
    <mergeCell ref="D106:E106"/>
    <mergeCell ref="D107:E107"/>
    <mergeCell ref="D108:E108"/>
    <mergeCell ref="D117:L117"/>
    <mergeCell ref="D44:E44"/>
    <mergeCell ref="D45:E45"/>
    <mergeCell ref="D46:E46"/>
    <mergeCell ref="D47:E47"/>
    <mergeCell ref="D99:E99"/>
    <mergeCell ref="D100:I100"/>
    <mergeCell ref="D101:E101"/>
    <mergeCell ref="D102:E102"/>
    <mergeCell ref="D98:L98"/>
    <mergeCell ref="D82:I82"/>
    <mergeCell ref="C89:E89"/>
    <mergeCell ref="C90:E90"/>
    <mergeCell ref="C91:E91"/>
    <mergeCell ref="C92:E92"/>
    <mergeCell ref="C93:E93"/>
    <mergeCell ref="C94:E94"/>
    <mergeCell ref="C95:E95"/>
    <mergeCell ref="D1:H1"/>
    <mergeCell ref="G7:J7"/>
    <mergeCell ref="D21:O21"/>
    <mergeCell ref="D23:O23"/>
    <mergeCell ref="D34:O34"/>
    <mergeCell ref="D25:E25"/>
    <mergeCell ref="G14:H14"/>
    <mergeCell ref="G15:H15"/>
    <mergeCell ref="G16:H16"/>
    <mergeCell ref="G17:H17"/>
    <mergeCell ref="G18:H18"/>
    <mergeCell ref="G19:H19"/>
    <mergeCell ref="D22:E22"/>
    <mergeCell ref="D24:E24"/>
    <mergeCell ref="D26:E26"/>
    <mergeCell ref="D31:E31"/>
    <mergeCell ref="D32:E32"/>
    <mergeCell ref="D30:E30"/>
    <mergeCell ref="C2:E2"/>
    <mergeCell ref="C3:E3"/>
    <mergeCell ref="G8:H8"/>
    <mergeCell ref="G9:H9"/>
    <mergeCell ref="G10:H10"/>
    <mergeCell ref="G11:H11"/>
    <mergeCell ref="D67:E67"/>
    <mergeCell ref="D64:I64"/>
    <mergeCell ref="D54:E54"/>
    <mergeCell ref="D55:E55"/>
    <mergeCell ref="C83:E83"/>
    <mergeCell ref="C84:E84"/>
    <mergeCell ref="C96:E96"/>
    <mergeCell ref="D51:E51"/>
    <mergeCell ref="D52:E52"/>
    <mergeCell ref="D68:E68"/>
    <mergeCell ref="D69:E69"/>
    <mergeCell ref="D70:E70"/>
    <mergeCell ref="D79:E79"/>
    <mergeCell ref="C85:E85"/>
    <mergeCell ref="C86:E86"/>
    <mergeCell ref="C87:E87"/>
    <mergeCell ref="C88:E88"/>
    <mergeCell ref="D56:E56"/>
    <mergeCell ref="D57:E57"/>
    <mergeCell ref="D58:E58"/>
    <mergeCell ref="D59:E59"/>
    <mergeCell ref="G12:H12"/>
    <mergeCell ref="G13:H13"/>
    <mergeCell ref="D71:E71"/>
    <mergeCell ref="D72:E72"/>
    <mergeCell ref="D49:E49"/>
    <mergeCell ref="D50:E50"/>
    <mergeCell ref="D48:O48"/>
    <mergeCell ref="D65:E65"/>
    <mergeCell ref="D53:E53"/>
    <mergeCell ref="D35:E35"/>
    <mergeCell ref="D36:E36"/>
    <mergeCell ref="D37:E37"/>
    <mergeCell ref="D33:E33"/>
    <mergeCell ref="D27:E27"/>
    <mergeCell ref="D28:E28"/>
    <mergeCell ref="D29:E29"/>
    <mergeCell ref="D38:E38"/>
    <mergeCell ref="D39:E39"/>
    <mergeCell ref="D40:E40"/>
    <mergeCell ref="D41:E41"/>
    <mergeCell ref="D42:E42"/>
    <mergeCell ref="D43:E43"/>
    <mergeCell ref="D60:E60"/>
    <mergeCell ref="D61:E61"/>
  </mergeCells>
  <printOptions headings="1"/>
  <pageMargins left="0.23622047244094491" right="0.23622047244094491" top="0.74803149606299213" bottom="0.74803149606299213" header="0.31496062992125984" footer="0.31496062992125984"/>
  <pageSetup paperSize="3" scale="31" fitToHeight="0" orientation="landscape" horizontalDpi="200" verticalDpi="200" r:id="rId1"/>
  <headerFooter alignWithMargins="0">
    <oddFooter>&amp;L&amp;Z&amp;F&amp;A</oddFooter>
  </headerFooter>
  <rowBreaks count="3" manualBreakCount="3">
    <brk id="335" max="16383" man="1"/>
    <brk id="409" max="16383" man="1"/>
    <brk id="520" max="16383" man="1"/>
  </rowBreaks>
  <ignoredErrors>
    <ignoredError sqref="G206:L206 G208:L209"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63"/>
  <sheetViews>
    <sheetView topLeftCell="F93" workbookViewId="0">
      <selection activeCell="O115" sqref="O115"/>
    </sheetView>
  </sheetViews>
  <sheetFormatPr defaultRowHeight="12.75"/>
  <cols>
    <col min="1" max="1" width="11.85546875" customWidth="1"/>
    <col min="2" max="2" width="18" style="5" customWidth="1"/>
    <col min="3" max="3" width="11.7109375" style="1" customWidth="1"/>
    <col min="4" max="4" width="13.42578125" style="1" customWidth="1"/>
    <col min="5" max="5" width="10.140625" style="1" customWidth="1"/>
    <col min="6" max="7" width="12.42578125" style="1" customWidth="1"/>
    <col min="8" max="8" width="14.42578125" style="38" customWidth="1"/>
    <col min="9" max="10" width="12.42578125" style="1" customWidth="1"/>
    <col min="11" max="11" width="15.42578125" style="1" bestFit="1" customWidth="1"/>
    <col min="12" max="12" width="17" style="1" customWidth="1"/>
    <col min="13" max="13" width="12.42578125" style="1" customWidth="1"/>
    <col min="14" max="14" width="25.85546875" bestFit="1" customWidth="1"/>
    <col min="15" max="17" width="18" customWidth="1"/>
    <col min="18" max="18" width="17.140625" customWidth="1"/>
    <col min="19" max="20" width="15.7109375" customWidth="1"/>
    <col min="21" max="21" width="14.140625" bestFit="1" customWidth="1"/>
    <col min="22" max="22" width="25.85546875" bestFit="1" customWidth="1"/>
    <col min="23" max="23" width="19.28515625" bestFit="1" customWidth="1"/>
    <col min="24" max="24" width="19.140625" bestFit="1" customWidth="1"/>
    <col min="25" max="25" width="26.140625" bestFit="1" customWidth="1"/>
    <col min="26" max="26" width="23" bestFit="1" customWidth="1"/>
    <col min="27" max="27" width="14.7109375" bestFit="1" customWidth="1"/>
    <col min="28" max="28" width="20.140625" bestFit="1" customWidth="1"/>
    <col min="29" max="29" width="12.140625" bestFit="1" customWidth="1"/>
    <col min="30" max="30" width="21" bestFit="1" customWidth="1"/>
    <col min="31" max="31" width="13.140625" bestFit="1" customWidth="1"/>
  </cols>
  <sheetData>
    <row r="1" spans="1:15">
      <c r="G1"/>
      <c r="H1" s="64"/>
      <c r="I1" s="64"/>
      <c r="J1" s="64"/>
    </row>
    <row r="2" spans="1:15" ht="42" customHeight="1">
      <c r="B2" s="6" t="s">
        <v>77</v>
      </c>
      <c r="C2" s="11" t="s">
        <v>1</v>
      </c>
      <c r="D2" s="11" t="s">
        <v>2</v>
      </c>
      <c r="E2" s="11" t="s">
        <v>3</v>
      </c>
      <c r="F2" s="11" t="s">
        <v>14</v>
      </c>
      <c r="G2" s="11" t="s">
        <v>56</v>
      </c>
      <c r="H2" s="36" t="s">
        <v>4</v>
      </c>
      <c r="I2" s="11" t="s">
        <v>49</v>
      </c>
      <c r="J2" s="11" t="s">
        <v>58</v>
      </c>
      <c r="K2" s="11" t="s">
        <v>78</v>
      </c>
      <c r="L2" s="11" t="s">
        <v>7</v>
      </c>
      <c r="M2" s="11" t="s">
        <v>8</v>
      </c>
    </row>
    <row r="3" spans="1:15" hidden="1">
      <c r="A3" s="2">
        <v>36161</v>
      </c>
      <c r="B3" s="90">
        <f>'[11]CoS 2017 Load History'!Q41</f>
        <v>9862037.5</v>
      </c>
      <c r="C3" s="9">
        <f>'Weather Data'!B99</f>
        <v>994.7</v>
      </c>
      <c r="D3" s="9">
        <f>'Weather Data'!C99</f>
        <v>0</v>
      </c>
      <c r="E3" s="216">
        <v>30</v>
      </c>
      <c r="F3" s="216">
        <v>0</v>
      </c>
      <c r="G3" s="216">
        <v>0</v>
      </c>
      <c r="H3" s="217">
        <v>105.44819844915847</v>
      </c>
      <c r="I3" s="218">
        <f>'[11]CoS 2017 Load History'!T41</f>
        <v>14</v>
      </c>
      <c r="J3" s="216">
        <v>320</v>
      </c>
      <c r="K3" s="11"/>
      <c r="L3" s="11"/>
      <c r="M3" s="11"/>
    </row>
    <row r="4" spans="1:15" hidden="1">
      <c r="A4" s="2">
        <v>36192</v>
      </c>
      <c r="B4" s="90">
        <f>'[11]CoS 2017 Load History'!Q42</f>
        <v>11690812.520000001</v>
      </c>
      <c r="C4" s="9">
        <f>'Weather Data'!B100</f>
        <v>718.7</v>
      </c>
      <c r="D4" s="9">
        <f>'Weather Data'!C100</f>
        <v>0</v>
      </c>
      <c r="E4" s="9">
        <v>28</v>
      </c>
      <c r="F4" s="9">
        <v>0</v>
      </c>
      <c r="G4" s="18">
        <v>0</v>
      </c>
      <c r="H4" s="38">
        <v>106.08666118100913</v>
      </c>
      <c r="I4" s="218">
        <f>'[11]CoS 2017 Load History'!T42</f>
        <v>17</v>
      </c>
      <c r="J4" s="9">
        <v>319.87200000000001</v>
      </c>
      <c r="K4" s="9"/>
      <c r="L4" s="9"/>
      <c r="M4" s="14"/>
    </row>
    <row r="5" spans="1:15" hidden="1">
      <c r="A5" s="2">
        <v>36220</v>
      </c>
      <c r="B5" s="90">
        <f>'[11]CoS 2017 Load History'!Q43</f>
        <v>11740010.240000002</v>
      </c>
      <c r="C5" s="9">
        <f>'Weather Data'!B101</f>
        <v>710.1</v>
      </c>
      <c r="D5" s="9">
        <f>'Weather Data'!C101</f>
        <v>0</v>
      </c>
      <c r="E5" s="9">
        <v>31</v>
      </c>
      <c r="F5" s="9">
        <v>1</v>
      </c>
      <c r="G5" s="18">
        <v>0</v>
      </c>
      <c r="H5" s="38">
        <v>106.72898964661303</v>
      </c>
      <c r="I5" s="218">
        <f>'[11]CoS 2017 Load History'!T43</f>
        <v>17</v>
      </c>
      <c r="J5" s="9">
        <v>368.28</v>
      </c>
      <c r="K5" s="9"/>
      <c r="L5" s="9"/>
      <c r="M5" s="14"/>
    </row>
    <row r="6" spans="1:15" hidden="1">
      <c r="A6" s="2">
        <v>36251</v>
      </c>
      <c r="B6" s="90">
        <f>'[11]CoS 2017 Load History'!Q44</f>
        <v>12027362.889999999</v>
      </c>
      <c r="C6" s="9">
        <f>'Weather Data'!B102</f>
        <v>407.7</v>
      </c>
      <c r="D6" s="9">
        <f>'Weather Data'!C102</f>
        <v>0</v>
      </c>
      <c r="E6" s="9">
        <v>30</v>
      </c>
      <c r="F6" s="9">
        <v>1</v>
      </c>
      <c r="G6" s="18">
        <v>0</v>
      </c>
      <c r="H6" s="38">
        <v>107.37520725203085</v>
      </c>
      <c r="I6" s="218">
        <f>'[11]CoS 2017 Load History'!T44</f>
        <v>17</v>
      </c>
      <c r="J6" s="9">
        <v>336.24</v>
      </c>
      <c r="K6" s="9"/>
      <c r="L6" s="9"/>
      <c r="M6" s="14"/>
    </row>
    <row r="7" spans="1:15" hidden="1">
      <c r="A7" s="2">
        <v>36281</v>
      </c>
      <c r="B7" s="90">
        <f>'[11]CoS 2017 Load History'!Q45</f>
        <v>13222460.050000001</v>
      </c>
      <c r="C7" s="9">
        <f>'Weather Data'!B103</f>
        <v>224.7</v>
      </c>
      <c r="D7" s="9">
        <f>'Weather Data'!C103</f>
        <v>2.6</v>
      </c>
      <c r="E7" s="9">
        <v>31</v>
      </c>
      <c r="F7" s="9">
        <v>1</v>
      </c>
      <c r="G7" s="18">
        <v>0</v>
      </c>
      <c r="H7" s="38">
        <v>108.02533754504118</v>
      </c>
      <c r="I7" s="218">
        <f>'[11]CoS 2017 Load History'!T45</f>
        <v>18</v>
      </c>
      <c r="J7" s="9">
        <v>319.92</v>
      </c>
      <c r="K7" s="9"/>
      <c r="L7" s="9"/>
      <c r="M7" s="14"/>
    </row>
    <row r="8" spans="1:15" hidden="1">
      <c r="A8" s="2">
        <v>36312</v>
      </c>
      <c r="B8" s="90">
        <f>'[11]CoS 2017 Load History'!Q46</f>
        <v>13183429.859999999</v>
      </c>
      <c r="C8" s="9">
        <f>'Weather Data'!B104</f>
        <v>91.9</v>
      </c>
      <c r="D8" s="9">
        <f>'Weather Data'!C104</f>
        <v>11.4</v>
      </c>
      <c r="E8" s="9">
        <v>30</v>
      </c>
      <c r="F8" s="9">
        <v>0</v>
      </c>
      <c r="G8" s="18">
        <v>0</v>
      </c>
      <c r="H8" s="38">
        <v>108.6794042159986</v>
      </c>
      <c r="I8" s="218">
        <f>'[11]CoS 2017 Load History'!T46</f>
        <v>18</v>
      </c>
      <c r="J8" s="9">
        <v>352.08</v>
      </c>
      <c r="K8" s="9"/>
      <c r="L8" s="9"/>
      <c r="M8" s="14"/>
    </row>
    <row r="9" spans="1:15" hidden="1">
      <c r="A9" s="2">
        <v>36342</v>
      </c>
      <c r="B9" s="90">
        <f>'[11]CoS 2017 Load History'!Q47</f>
        <v>13766070.739999998</v>
      </c>
      <c r="C9" s="9">
        <f>'Weather Data'!B105</f>
        <v>24.2</v>
      </c>
      <c r="D9" s="9">
        <f>'Weather Data'!C105</f>
        <v>59.3</v>
      </c>
      <c r="E9" s="9">
        <v>31</v>
      </c>
      <c r="F9" s="9">
        <v>0</v>
      </c>
      <c r="G9" s="18">
        <v>0</v>
      </c>
      <c r="H9" s="38">
        <v>109.33743109869688</v>
      </c>
      <c r="I9" s="218">
        <f>'[11]CoS 2017 Load History'!T47</f>
        <v>18</v>
      </c>
      <c r="J9" s="9">
        <v>336.28800000000001</v>
      </c>
      <c r="K9" s="9"/>
      <c r="L9" s="9"/>
      <c r="M9" s="14"/>
    </row>
    <row r="10" spans="1:15" hidden="1">
      <c r="A10" s="2">
        <v>36373</v>
      </c>
      <c r="B10" s="90">
        <f>'[11]CoS 2017 Load History'!Q48</f>
        <v>12805554.739999998</v>
      </c>
      <c r="C10" s="9">
        <f>'Weather Data'!B106</f>
        <v>74</v>
      </c>
      <c r="D10" s="9">
        <f>'Weather Data'!C106</f>
        <v>12.2</v>
      </c>
      <c r="E10" s="9">
        <v>31</v>
      </c>
      <c r="F10" s="9">
        <v>0</v>
      </c>
      <c r="G10" s="18">
        <v>0</v>
      </c>
      <c r="H10" s="38">
        <v>109.99944217123755</v>
      </c>
      <c r="I10" s="218">
        <f>'[11]CoS 2017 Load History'!T48</f>
        <v>18</v>
      </c>
      <c r="J10" s="9">
        <v>336.28800000000001</v>
      </c>
      <c r="K10" s="9"/>
      <c r="L10" s="9"/>
      <c r="M10" s="14"/>
    </row>
    <row r="11" spans="1:15" hidden="1">
      <c r="A11" s="2">
        <v>36404</v>
      </c>
      <c r="B11" s="90">
        <f>'[11]CoS 2017 Load History'!Q49</f>
        <v>12976915.74</v>
      </c>
      <c r="C11" s="9">
        <f>'Weather Data'!B107</f>
        <v>194</v>
      </c>
      <c r="D11" s="9">
        <f>'Weather Data'!C107</f>
        <v>5.7</v>
      </c>
      <c r="E11" s="9">
        <v>30</v>
      </c>
      <c r="F11" s="9">
        <v>1</v>
      </c>
      <c r="G11" s="18">
        <v>0</v>
      </c>
      <c r="H11" s="38">
        <v>110.66546155690358</v>
      </c>
      <c r="I11" s="218">
        <f>'[11]CoS 2017 Load History'!T49</f>
        <v>18</v>
      </c>
      <c r="J11" s="9">
        <v>336.24</v>
      </c>
      <c r="K11" s="9"/>
      <c r="L11" s="9"/>
      <c r="M11" s="14"/>
      <c r="N11" t="s">
        <v>277</v>
      </c>
    </row>
    <row r="12" spans="1:15" hidden="1">
      <c r="A12" s="2">
        <v>36434</v>
      </c>
      <c r="B12" s="90">
        <f>'[11]CoS 2017 Load History'!Q50</f>
        <v>14064243.83</v>
      </c>
      <c r="C12" s="9">
        <f>'Weather Data'!B108</f>
        <v>423.1</v>
      </c>
      <c r="D12" s="9">
        <f>'Weather Data'!C108</f>
        <v>0</v>
      </c>
      <c r="E12" s="9">
        <v>31</v>
      </c>
      <c r="F12" s="9">
        <v>1</v>
      </c>
      <c r="G12" s="18">
        <v>0</v>
      </c>
      <c r="H12" s="38">
        <v>111.33551352503846</v>
      </c>
      <c r="I12" s="218">
        <f>'[11]CoS 2017 Load History'!T50</f>
        <v>17</v>
      </c>
      <c r="J12" s="9">
        <v>319.92</v>
      </c>
      <c r="K12" s="9"/>
      <c r="L12" s="9"/>
      <c r="M12" s="14"/>
    </row>
    <row r="13" spans="1:15" hidden="1">
      <c r="A13" s="2">
        <v>36465</v>
      </c>
      <c r="B13" s="90">
        <f>'[11]CoS 2017 Load History'!Q51</f>
        <v>14094673.089999998</v>
      </c>
      <c r="C13" s="9">
        <f>'Weather Data'!B109</f>
        <v>500.7</v>
      </c>
      <c r="D13" s="9">
        <f>'Weather Data'!C109</f>
        <v>0</v>
      </c>
      <c r="E13" s="9">
        <v>30</v>
      </c>
      <c r="F13" s="9">
        <v>1</v>
      </c>
      <c r="G13" s="18">
        <v>0</v>
      </c>
      <c r="H13" s="38">
        <v>112.00962249193054</v>
      </c>
      <c r="I13" s="218">
        <f>'[11]CoS 2017 Load History'!T51</f>
        <v>17</v>
      </c>
      <c r="J13" s="9">
        <v>352.08</v>
      </c>
      <c r="K13" s="9"/>
      <c r="L13" s="9"/>
      <c r="M13" s="14"/>
      <c r="N13" s="53" t="s">
        <v>278</v>
      </c>
      <c r="O13" s="53"/>
    </row>
    <row r="14" spans="1:15" hidden="1">
      <c r="A14" s="2">
        <v>36495</v>
      </c>
      <c r="B14" s="90">
        <f>'[11]CoS 2017 Load History'!Q52</f>
        <v>14344112.389999999</v>
      </c>
      <c r="C14" s="9">
        <f>'Weather Data'!B110</f>
        <v>817.1</v>
      </c>
      <c r="D14" s="9">
        <f>'Weather Data'!C110</f>
        <v>0</v>
      </c>
      <c r="E14" s="9">
        <v>31</v>
      </c>
      <c r="F14" s="9">
        <v>0</v>
      </c>
      <c r="G14" s="18">
        <v>0</v>
      </c>
      <c r="H14" s="38">
        <v>112.68781302170287</v>
      </c>
      <c r="I14" s="218">
        <f>'[11]CoS 2017 Load History'!T52</f>
        <v>17</v>
      </c>
      <c r="J14" s="9">
        <v>336.28800000000001</v>
      </c>
      <c r="K14" s="9"/>
      <c r="L14" s="9"/>
      <c r="M14" s="14"/>
      <c r="N14" s="40" t="s">
        <v>279</v>
      </c>
      <c r="O14" s="40">
        <v>0.65349100288959461</v>
      </c>
    </row>
    <row r="15" spans="1:15" hidden="1">
      <c r="A15" s="2">
        <v>36526</v>
      </c>
      <c r="B15" s="90">
        <f>'[11]CoS 2017 Load History'!Q53</f>
        <v>13074780.039999999</v>
      </c>
      <c r="C15" s="9">
        <f>'Weather Data'!B111</f>
        <v>963.5</v>
      </c>
      <c r="D15" s="9">
        <f>'Weather Data'!C111</f>
        <v>0</v>
      </c>
      <c r="E15" s="9">
        <v>31</v>
      </c>
      <c r="F15" s="9">
        <v>0</v>
      </c>
      <c r="G15" s="18">
        <v>0</v>
      </c>
      <c r="H15" s="38">
        <v>113.20550742744629</v>
      </c>
      <c r="I15" s="218">
        <f>'[11]CoS 2017 Load History'!T53</f>
        <v>18</v>
      </c>
      <c r="J15" s="9">
        <v>319.92</v>
      </c>
      <c r="K15" s="9"/>
      <c r="L15" s="9"/>
      <c r="M15" s="14"/>
      <c r="N15" s="40" t="s">
        <v>280</v>
      </c>
      <c r="O15" s="40">
        <v>0.42705049085764812</v>
      </c>
    </row>
    <row r="16" spans="1:15" hidden="1">
      <c r="A16" s="2">
        <v>36557</v>
      </c>
      <c r="B16" s="90">
        <f>'[11]CoS 2017 Load History'!Q54</f>
        <v>11676878.9</v>
      </c>
      <c r="C16" s="9">
        <f>'Weather Data'!B112</f>
        <v>711.5</v>
      </c>
      <c r="D16" s="9">
        <f>'Weather Data'!C112</f>
        <v>0</v>
      </c>
      <c r="E16" s="9">
        <v>29</v>
      </c>
      <c r="F16" s="9">
        <v>0</v>
      </c>
      <c r="G16" s="18">
        <v>0</v>
      </c>
      <c r="H16" s="38">
        <v>113.72558015157706</v>
      </c>
      <c r="I16" s="218">
        <f>'[11]CoS 2017 Load History'!T54</f>
        <v>18</v>
      </c>
      <c r="J16" s="9">
        <v>336.16799999999995</v>
      </c>
      <c r="K16" s="9"/>
      <c r="L16" s="9"/>
      <c r="M16" s="14"/>
      <c r="N16" s="40" t="s">
        <v>280</v>
      </c>
      <c r="O16" s="40">
        <v>0.38575683254108223</v>
      </c>
    </row>
    <row r="17" spans="1:22" hidden="1">
      <c r="A17" s="2">
        <v>36586</v>
      </c>
      <c r="B17" s="90">
        <f>'[11]CoS 2017 Load History'!Q55</f>
        <v>12750067.079999996</v>
      </c>
      <c r="C17" s="9">
        <f>'Weather Data'!B113</f>
        <v>574.6</v>
      </c>
      <c r="D17" s="9">
        <f>'Weather Data'!C113</f>
        <v>0</v>
      </c>
      <c r="E17" s="9">
        <v>31</v>
      </c>
      <c r="F17" s="9">
        <v>1</v>
      </c>
      <c r="G17" s="18">
        <v>0</v>
      </c>
      <c r="H17" s="38">
        <v>114.24804212022897</v>
      </c>
      <c r="I17" s="218">
        <f>'[11]CoS 2017 Load History'!T55</f>
        <v>18</v>
      </c>
      <c r="J17" s="9">
        <v>368.28</v>
      </c>
      <c r="K17" s="9"/>
      <c r="L17" s="9"/>
      <c r="M17" s="14"/>
      <c r="N17" s="40" t="s">
        <v>281</v>
      </c>
      <c r="O17" s="40">
        <v>1548565.3832599595</v>
      </c>
    </row>
    <row r="18" spans="1:22" ht="15" hidden="1" customHeight="1">
      <c r="A18" s="2">
        <v>36617</v>
      </c>
      <c r="B18" s="90">
        <f>'[11]CoS 2017 Load History'!Q56</f>
        <v>13487172.91</v>
      </c>
      <c r="C18" s="9">
        <f>'Weather Data'!B114</f>
        <v>485.6</v>
      </c>
      <c r="D18" s="9">
        <f>'Weather Data'!C114</f>
        <v>0</v>
      </c>
      <c r="E18" s="9">
        <v>30</v>
      </c>
      <c r="F18" s="9">
        <v>1</v>
      </c>
      <c r="G18" s="18">
        <v>0</v>
      </c>
      <c r="H18" s="38">
        <v>114.77290430973115</v>
      </c>
      <c r="I18" s="218">
        <f>'[11]CoS 2017 Load History'!T56</f>
        <v>18</v>
      </c>
      <c r="J18" s="9">
        <v>303.83999999999997</v>
      </c>
      <c r="K18" s="9"/>
      <c r="L18" s="9"/>
      <c r="M18" s="14"/>
      <c r="N18" s="51" t="s">
        <v>21</v>
      </c>
      <c r="O18" s="51">
        <v>120</v>
      </c>
    </row>
    <row r="19" spans="1:22" hidden="1">
      <c r="A19" s="2">
        <v>36647</v>
      </c>
      <c r="B19" s="90">
        <f>'[11]CoS 2017 Load History'!Q57</f>
        <v>13794737.400000002</v>
      </c>
      <c r="C19" s="9">
        <f>'Weather Data'!B115</f>
        <v>260.5</v>
      </c>
      <c r="D19" s="9">
        <f>'Weather Data'!C115</f>
        <v>0</v>
      </c>
      <c r="E19" s="9">
        <v>31</v>
      </c>
      <c r="F19" s="9">
        <v>1</v>
      </c>
      <c r="G19" s="18">
        <v>0</v>
      </c>
      <c r="H19" s="38">
        <v>115.30017774683859</v>
      </c>
      <c r="I19" s="218">
        <f>'[11]CoS 2017 Load History'!T57</f>
        <v>18</v>
      </c>
      <c r="J19" s="9">
        <v>351.91199999999998</v>
      </c>
      <c r="K19" s="9"/>
      <c r="L19" s="9"/>
      <c r="M19" s="14"/>
    </row>
    <row r="20" spans="1:22" hidden="1">
      <c r="A20" s="2">
        <v>36678</v>
      </c>
      <c r="B20" s="90">
        <f>'[11]CoS 2017 Load History'!Q58</f>
        <v>13261985.689999998</v>
      </c>
      <c r="C20" s="9">
        <f>'Weather Data'!B116</f>
        <v>155.69999999999999</v>
      </c>
      <c r="D20" s="9">
        <f>'Weather Data'!C116</f>
        <v>2.2999999999999998</v>
      </c>
      <c r="E20" s="9">
        <v>30</v>
      </c>
      <c r="F20" s="9">
        <v>0</v>
      </c>
      <c r="G20" s="18">
        <v>0</v>
      </c>
      <c r="H20" s="38">
        <v>115.82987350896386</v>
      </c>
      <c r="I20" s="218">
        <f>'[11]CoS 2017 Load History'!T58</f>
        <v>18</v>
      </c>
      <c r="J20" s="9">
        <v>352.08</v>
      </c>
      <c r="K20" s="9"/>
      <c r="L20" s="9"/>
      <c r="M20" s="14"/>
      <c r="N20" t="s">
        <v>282</v>
      </c>
    </row>
    <row r="21" spans="1:22" hidden="1">
      <c r="A21" s="2">
        <v>36708</v>
      </c>
      <c r="B21" s="90">
        <f>'[11]CoS 2017 Load History'!Q59</f>
        <v>13635318.189999999</v>
      </c>
      <c r="C21" s="9">
        <f>'Weather Data'!B117</f>
        <v>55.7</v>
      </c>
      <c r="D21" s="9">
        <f>'Weather Data'!C117</f>
        <v>20.8</v>
      </c>
      <c r="E21" s="9">
        <v>31</v>
      </c>
      <c r="F21" s="9">
        <v>0</v>
      </c>
      <c r="G21" s="18">
        <v>0</v>
      </c>
      <c r="H21" s="38">
        <v>116.36200272440982</v>
      </c>
      <c r="I21" s="218">
        <f>'[11]CoS 2017 Load History'!T59</f>
        <v>18</v>
      </c>
      <c r="J21" s="9">
        <v>319.92</v>
      </c>
      <c r="K21" s="9"/>
      <c r="L21" s="9"/>
      <c r="M21" s="14"/>
      <c r="N21" s="52"/>
      <c r="O21" s="52" t="s">
        <v>286</v>
      </c>
      <c r="P21" s="52" t="s">
        <v>287</v>
      </c>
      <c r="Q21" s="52" t="s">
        <v>288</v>
      </c>
      <c r="R21" s="52" t="s">
        <v>29</v>
      </c>
      <c r="S21" s="52" t="s">
        <v>289</v>
      </c>
    </row>
    <row r="22" spans="1:22" hidden="1">
      <c r="A22" s="2">
        <v>36739</v>
      </c>
      <c r="B22" s="90">
        <f>'[11]CoS 2017 Load History'!Q60</f>
        <v>13527694.810000001</v>
      </c>
      <c r="C22" s="9">
        <f>'Weather Data'!B118</f>
        <v>63.4</v>
      </c>
      <c r="D22" s="9">
        <f>'Weather Data'!C118</f>
        <v>9.8000000000000007</v>
      </c>
      <c r="E22" s="9">
        <v>31</v>
      </c>
      <c r="F22" s="9">
        <v>0</v>
      </c>
      <c r="G22" s="18">
        <v>0</v>
      </c>
      <c r="H22" s="38">
        <v>116.89657657260338</v>
      </c>
      <c r="I22" s="218">
        <f>'[11]CoS 2017 Load History'!T60</f>
        <v>18</v>
      </c>
      <c r="J22" s="9">
        <v>351.91199999999998</v>
      </c>
      <c r="K22" s="9"/>
      <c r="L22" s="9"/>
      <c r="M22" s="14"/>
      <c r="N22" s="40" t="s">
        <v>283</v>
      </c>
      <c r="O22" s="40">
        <v>8</v>
      </c>
      <c r="P22" s="40">
        <v>198401497611201.34</v>
      </c>
      <c r="Q22" s="40">
        <v>24800187201400.168</v>
      </c>
      <c r="R22" s="40">
        <v>10.341793589315554</v>
      </c>
      <c r="S22" s="40">
        <v>9.9742081023055607E-11</v>
      </c>
    </row>
    <row r="23" spans="1:22" hidden="1">
      <c r="A23" s="2">
        <v>36770</v>
      </c>
      <c r="B23" s="90">
        <f>'[11]CoS 2017 Load History'!Q61</f>
        <v>12622703.469999999</v>
      </c>
      <c r="C23" s="9">
        <f>'Weather Data'!B119</f>
        <v>223.3</v>
      </c>
      <c r="D23" s="9">
        <f>'Weather Data'!C119</f>
        <v>0</v>
      </c>
      <c r="E23" s="9">
        <v>30</v>
      </c>
      <c r="F23" s="9">
        <v>1</v>
      </c>
      <c r="G23" s="18">
        <v>0</v>
      </c>
      <c r="H23" s="38">
        <v>117.43360628433041</v>
      </c>
      <c r="I23" s="218">
        <f>'[11]CoS 2017 Load History'!T61</f>
        <v>18</v>
      </c>
      <c r="J23" s="9">
        <v>319.68</v>
      </c>
      <c r="K23" s="9"/>
      <c r="L23" s="9"/>
      <c r="M23" s="14"/>
      <c r="N23" s="40" t="s">
        <v>284</v>
      </c>
      <c r="O23" s="40">
        <v>111</v>
      </c>
      <c r="P23" s="40">
        <v>266184076831648.28</v>
      </c>
      <c r="Q23" s="40">
        <v>2398054746231.0654</v>
      </c>
      <c r="R23" s="40"/>
      <c r="S23" s="40"/>
    </row>
    <row r="24" spans="1:22" ht="13.5" hidden="1" thickBot="1">
      <c r="A24" s="2">
        <v>36800</v>
      </c>
      <c r="B24" s="90">
        <f>'[11]CoS 2017 Load History'!Q62</f>
        <v>14258085.000000002</v>
      </c>
      <c r="C24" s="9">
        <f>'Weather Data'!B120</f>
        <v>372.2</v>
      </c>
      <c r="D24" s="9">
        <f>'Weather Data'!C120</f>
        <v>0</v>
      </c>
      <c r="E24" s="9">
        <v>31</v>
      </c>
      <c r="F24" s="9">
        <v>1</v>
      </c>
      <c r="G24" s="18">
        <v>0</v>
      </c>
      <c r="H24" s="38">
        <v>117.97310314197166</v>
      </c>
      <c r="I24" s="218">
        <f>'[11]CoS 2017 Load History'!T62</f>
        <v>18</v>
      </c>
      <c r="J24" s="9">
        <v>336.28800000000001</v>
      </c>
      <c r="K24" s="9"/>
      <c r="L24" s="9"/>
      <c r="M24" s="14"/>
      <c r="N24" s="51" t="s">
        <v>5</v>
      </c>
      <c r="O24" s="51">
        <v>119</v>
      </c>
      <c r="P24" s="51">
        <v>464585574442849.62</v>
      </c>
      <c r="Q24" s="51"/>
      <c r="R24" s="51"/>
      <c r="S24" s="51"/>
    </row>
    <row r="25" spans="1:22" hidden="1">
      <c r="A25" s="2">
        <v>36831</v>
      </c>
      <c r="B25" s="90">
        <f>'[11]CoS 2017 Load History'!Q63</f>
        <v>14599664.919999998</v>
      </c>
      <c r="C25" s="9">
        <f>'Weather Data'!B121</f>
        <v>561.6</v>
      </c>
      <c r="D25" s="9">
        <f>'Weather Data'!C121</f>
        <v>0</v>
      </c>
      <c r="E25" s="9">
        <v>30</v>
      </c>
      <c r="F25" s="9">
        <v>1</v>
      </c>
      <c r="G25" s="18">
        <v>0</v>
      </c>
      <c r="H25" s="38">
        <v>118.51507847973981</v>
      </c>
      <c r="I25" s="218">
        <f>'[11]CoS 2017 Load History'!T63</f>
        <v>18</v>
      </c>
      <c r="J25" s="9">
        <v>352.08</v>
      </c>
      <c r="K25" s="9"/>
      <c r="L25" s="9"/>
      <c r="M25" s="14"/>
    </row>
    <row r="26" spans="1:22" hidden="1">
      <c r="A26" s="2">
        <v>36861</v>
      </c>
      <c r="B26" s="90">
        <f>'[11]CoS 2017 Load History'!Q64</f>
        <v>15440779.390000001</v>
      </c>
      <c r="C26" s="9">
        <f>'Weather Data'!B122</f>
        <v>1041.3</v>
      </c>
      <c r="D26" s="9">
        <f>'Weather Data'!C122</f>
        <v>0</v>
      </c>
      <c r="E26" s="9">
        <v>31</v>
      </c>
      <c r="F26" s="9">
        <v>0</v>
      </c>
      <c r="G26" s="18">
        <v>0</v>
      </c>
      <c r="H26" s="38">
        <v>119.05954368391765</v>
      </c>
      <c r="I26" s="218">
        <f>'[11]CoS 2017 Load History'!T64</f>
        <v>18</v>
      </c>
      <c r="J26" s="9">
        <v>304.29599999999999</v>
      </c>
      <c r="K26" s="9"/>
      <c r="L26" s="9"/>
      <c r="M26" s="14"/>
      <c r="N26" s="52"/>
      <c r="O26" s="52" t="s">
        <v>31</v>
      </c>
      <c r="P26" s="52" t="s">
        <v>281</v>
      </c>
      <c r="Q26" s="52" t="s">
        <v>290</v>
      </c>
      <c r="R26" s="52" t="s">
        <v>291</v>
      </c>
      <c r="S26" s="52" t="s">
        <v>292</v>
      </c>
      <c r="T26" s="52" t="s">
        <v>293</v>
      </c>
      <c r="U26" s="52" t="s">
        <v>294</v>
      </c>
      <c r="V26" s="52" t="s">
        <v>295</v>
      </c>
    </row>
    <row r="27" spans="1:22" hidden="1">
      <c r="A27" s="2">
        <v>36892</v>
      </c>
      <c r="B27" s="90">
        <f>'[11]CoS 2017 Load History'!Q65</f>
        <v>13891930.359999999</v>
      </c>
      <c r="C27" s="9">
        <f>'Weather Data'!B123</f>
        <v>898.8</v>
      </c>
      <c r="D27" s="9">
        <f>'Weather Data'!C123</f>
        <v>0</v>
      </c>
      <c r="E27" s="9">
        <v>31</v>
      </c>
      <c r="F27" s="9">
        <v>0</v>
      </c>
      <c r="G27" s="18">
        <v>0</v>
      </c>
      <c r="H27" s="38">
        <v>119.23206305749976</v>
      </c>
      <c r="I27" s="218">
        <f>'[11]CoS 2017 Load History'!T65</f>
        <v>18</v>
      </c>
      <c r="J27" s="9">
        <v>351.91199999999998</v>
      </c>
      <c r="K27" s="9"/>
      <c r="L27" s="9"/>
      <c r="M27" s="14"/>
      <c r="N27" s="40" t="s">
        <v>285</v>
      </c>
      <c r="O27" s="40">
        <v>43569335.618447855</v>
      </c>
      <c r="P27" s="40">
        <v>9543051.9210378826</v>
      </c>
      <c r="Q27" s="40">
        <v>4.5655557550093828</v>
      </c>
      <c r="R27" s="40">
        <v>1.2952263041766316E-5</v>
      </c>
      <c r="S27" s="40">
        <v>24659141.170679413</v>
      </c>
      <c r="T27" s="40">
        <v>62479530.066216297</v>
      </c>
      <c r="U27" s="40">
        <v>24659141.170679413</v>
      </c>
      <c r="V27" s="40">
        <v>62479530.066216297</v>
      </c>
    </row>
    <row r="28" spans="1:22" hidden="1">
      <c r="A28" s="2">
        <v>36925</v>
      </c>
      <c r="B28" s="90">
        <f>'[11]CoS 2017 Load History'!Q66</f>
        <v>11609550.650000002</v>
      </c>
      <c r="C28" s="9">
        <f>'Weather Data'!B124</f>
        <v>918.9</v>
      </c>
      <c r="D28" s="9">
        <f>'Weather Data'!C124</f>
        <v>0</v>
      </c>
      <c r="E28" s="9">
        <v>28</v>
      </c>
      <c r="F28" s="9">
        <v>0</v>
      </c>
      <c r="G28" s="18">
        <v>0</v>
      </c>
      <c r="H28" s="38">
        <v>119.40483241468957</v>
      </c>
      <c r="I28" s="218">
        <f>'[11]CoS 2017 Load History'!T66</f>
        <v>18</v>
      </c>
      <c r="J28" s="9">
        <v>319.87200000000001</v>
      </c>
      <c r="K28" s="9"/>
      <c r="L28" s="9"/>
      <c r="M28" s="14"/>
      <c r="N28" s="40" t="s">
        <v>296</v>
      </c>
      <c r="O28" s="40">
        <v>-220.84861478006755</v>
      </c>
      <c r="P28" s="40">
        <v>573.12839941609309</v>
      </c>
      <c r="Q28" s="40">
        <v>-0.38533880890402489</v>
      </c>
      <c r="R28" s="40">
        <v>0.70072384952994571</v>
      </c>
      <c r="S28" s="40">
        <v>-1356.5407985985437</v>
      </c>
      <c r="T28" s="40">
        <v>914.84356903840865</v>
      </c>
      <c r="U28" s="40">
        <v>-1356.5407985985437</v>
      </c>
      <c r="V28" s="40">
        <v>914.84356903840865</v>
      </c>
    </row>
    <row r="29" spans="1:22" hidden="1">
      <c r="A29" s="2">
        <v>36958</v>
      </c>
      <c r="B29" s="90">
        <f>'[11]CoS 2017 Load History'!Q67</f>
        <v>12415213.91</v>
      </c>
      <c r="C29" s="9">
        <f>'Weather Data'!B125</f>
        <v>702.7</v>
      </c>
      <c r="D29" s="9">
        <f>'Weather Data'!C125</f>
        <v>0</v>
      </c>
      <c r="E29" s="9">
        <v>31</v>
      </c>
      <c r="F29" s="9">
        <v>1</v>
      </c>
      <c r="G29" s="18">
        <v>0</v>
      </c>
      <c r="H29" s="38">
        <v>119.57785211771773</v>
      </c>
      <c r="I29" s="218">
        <f>'[11]CoS 2017 Load History'!T67</f>
        <v>18</v>
      </c>
      <c r="J29" s="9">
        <v>351.91199999999998</v>
      </c>
      <c r="K29" s="9"/>
      <c r="L29" s="9"/>
      <c r="M29" s="14"/>
      <c r="N29" s="40" t="s">
        <v>297</v>
      </c>
      <c r="O29" s="40">
        <v>-6215.0387759072573</v>
      </c>
      <c r="P29" s="40">
        <v>13875.379677503819</v>
      </c>
      <c r="Q29" s="40">
        <v>-0.4479184656823274</v>
      </c>
      <c r="R29" s="40">
        <v>0.65508504379533627</v>
      </c>
      <c r="S29" s="40">
        <v>-33710.029886641481</v>
      </c>
      <c r="T29" s="40">
        <v>21279.952334826969</v>
      </c>
      <c r="U29" s="40">
        <v>-33710.029886641481</v>
      </c>
      <c r="V29" s="40">
        <v>21279.952334826969</v>
      </c>
    </row>
    <row r="30" spans="1:22" hidden="1">
      <c r="A30" s="2">
        <v>36991</v>
      </c>
      <c r="B30" s="90">
        <f>'[11]CoS 2017 Load History'!Q68</f>
        <v>13820066.210000001</v>
      </c>
      <c r="C30" s="9">
        <f>'Weather Data'!B126</f>
        <v>430.7</v>
      </c>
      <c r="D30" s="9">
        <f>'Weather Data'!C126</f>
        <v>0</v>
      </c>
      <c r="E30" s="9">
        <v>30</v>
      </c>
      <c r="F30" s="9">
        <v>1</v>
      </c>
      <c r="G30" s="18">
        <v>0</v>
      </c>
      <c r="H30" s="38">
        <v>119.75112252933975</v>
      </c>
      <c r="I30" s="218">
        <f>'[11]CoS 2017 Load History'!T68</f>
        <v>18</v>
      </c>
      <c r="J30" s="9">
        <v>319.68</v>
      </c>
      <c r="K30" s="9"/>
      <c r="L30" s="9"/>
      <c r="M30" s="14"/>
      <c r="N30" s="40" t="s">
        <v>298</v>
      </c>
      <c r="O30" s="40">
        <v>642818.13498407858</v>
      </c>
      <c r="P30" s="40">
        <v>203203.85806983968</v>
      </c>
      <c r="Q30" s="40">
        <v>3.1634150113584294</v>
      </c>
      <c r="R30" s="40">
        <v>2.0117913373523559E-3</v>
      </c>
      <c r="S30" s="40">
        <v>240156.12492351793</v>
      </c>
      <c r="T30" s="40">
        <v>1045480.1450446392</v>
      </c>
      <c r="U30" s="40">
        <v>240156.12492351793</v>
      </c>
      <c r="V30" s="40">
        <v>1045480.1450446392</v>
      </c>
    </row>
    <row r="31" spans="1:22" hidden="1">
      <c r="A31" s="2">
        <v>37024</v>
      </c>
      <c r="B31" s="90">
        <f>'[11]CoS 2017 Load History'!Q69</f>
        <v>13872111.880000001</v>
      </c>
      <c r="C31" s="9">
        <f>'Weather Data'!B127</f>
        <v>239.9</v>
      </c>
      <c r="D31" s="9">
        <f>'Weather Data'!C127</f>
        <v>0</v>
      </c>
      <c r="E31" s="9">
        <v>31</v>
      </c>
      <c r="F31" s="9">
        <v>1</v>
      </c>
      <c r="G31" s="18">
        <v>0</v>
      </c>
      <c r="H31" s="38">
        <v>119.92464401283681</v>
      </c>
      <c r="I31" s="218">
        <f>'[11]CoS 2017 Load History'!T69</f>
        <v>18</v>
      </c>
      <c r="J31" s="9">
        <v>351.91199999999998</v>
      </c>
      <c r="K31" s="9"/>
      <c r="L31" s="9"/>
      <c r="M31" s="14"/>
      <c r="N31" s="40" t="s">
        <v>299</v>
      </c>
      <c r="O31" s="40">
        <v>217133.29818684977</v>
      </c>
      <c r="P31" s="40">
        <v>340285.06801690266</v>
      </c>
      <c r="Q31" s="40">
        <v>0.63809234843082896</v>
      </c>
      <c r="R31" s="40">
        <v>0.5247277985668235</v>
      </c>
      <c r="S31" s="40">
        <v>-457164.28052441613</v>
      </c>
      <c r="T31" s="40">
        <v>891430.87689811573</v>
      </c>
      <c r="U31" s="40">
        <v>-457164.28052441613</v>
      </c>
      <c r="V31" s="40">
        <v>891430.87689811573</v>
      </c>
    </row>
    <row r="32" spans="1:22" hidden="1">
      <c r="A32" s="2">
        <v>37057</v>
      </c>
      <c r="B32" s="90">
        <f>'[11]CoS 2017 Load History'!Q70</f>
        <v>12867615.49</v>
      </c>
      <c r="C32" s="9">
        <f>'Weather Data'!B128</f>
        <v>114</v>
      </c>
      <c r="D32" s="9">
        <f>'Weather Data'!C128</f>
        <v>15.2</v>
      </c>
      <c r="E32" s="9">
        <v>30</v>
      </c>
      <c r="F32" s="9">
        <v>0</v>
      </c>
      <c r="G32" s="18">
        <v>0</v>
      </c>
      <c r="H32" s="38">
        <v>120.09841693201646</v>
      </c>
      <c r="I32" s="218">
        <f>'[11]CoS 2017 Load History'!T70</f>
        <v>18</v>
      </c>
      <c r="J32" s="9">
        <v>336.24</v>
      </c>
      <c r="K32" s="9"/>
      <c r="L32" s="9"/>
      <c r="M32" s="14"/>
      <c r="N32" s="40" t="s">
        <v>300</v>
      </c>
      <c r="O32" s="40">
        <v>4.848477705039687</v>
      </c>
      <c r="P32" s="40">
        <v>1.0854529472860459</v>
      </c>
      <c r="Q32" s="40">
        <v>4.4667783317207057</v>
      </c>
      <c r="R32" s="40">
        <v>1.9199080553684651E-5</v>
      </c>
      <c r="S32" s="40">
        <v>2.6975802283286838</v>
      </c>
      <c r="T32" s="40">
        <v>6.9993751817506897</v>
      </c>
      <c r="U32" s="40">
        <v>2.6975802283286838</v>
      </c>
      <c r="V32" s="40">
        <v>6.9993751817506897</v>
      </c>
    </row>
    <row r="33" spans="1:22" hidden="1">
      <c r="A33" s="2">
        <v>37090</v>
      </c>
      <c r="B33" s="90">
        <f>'[11]CoS 2017 Load History'!Q71</f>
        <v>13316769.34</v>
      </c>
      <c r="C33" s="9">
        <f>'Weather Data'!B129</f>
        <v>67.2</v>
      </c>
      <c r="D33" s="9">
        <f>'Weather Data'!C129</f>
        <v>29.7</v>
      </c>
      <c r="E33" s="9">
        <v>31</v>
      </c>
      <c r="F33" s="9">
        <v>0</v>
      </c>
      <c r="G33" s="18">
        <v>0</v>
      </c>
      <c r="H33" s="38">
        <v>120.27244165121344</v>
      </c>
      <c r="I33" s="218">
        <f>'[11]CoS 2017 Load History'!T71</f>
        <v>18</v>
      </c>
      <c r="J33" s="9">
        <v>336.28800000000001</v>
      </c>
      <c r="K33" s="9"/>
      <c r="L33" s="9"/>
      <c r="M33" s="14"/>
      <c r="N33" s="40" t="s">
        <v>301</v>
      </c>
      <c r="O33" s="40">
        <v>-257760.31721964327</v>
      </c>
      <c r="P33" s="40">
        <v>54902.105756033212</v>
      </c>
      <c r="Q33" s="40">
        <v>-4.6949076664753955</v>
      </c>
      <c r="R33" s="40">
        <v>7.6753391065104129E-6</v>
      </c>
      <c r="S33" s="40">
        <v>-366552.50487920927</v>
      </c>
      <c r="T33" s="40">
        <v>-148968.12956007727</v>
      </c>
      <c r="U33" s="40">
        <v>-366552.50487920927</v>
      </c>
      <c r="V33" s="40">
        <v>-148968.12956007727</v>
      </c>
    </row>
    <row r="34" spans="1:22" hidden="1">
      <c r="A34" s="2">
        <v>37123</v>
      </c>
      <c r="B34" s="90">
        <f>'[11]CoS 2017 Load History'!Q72</f>
        <v>13269121.989999998</v>
      </c>
      <c r="C34" s="9">
        <f>'Weather Data'!B130</f>
        <v>40.200000000000003</v>
      </c>
      <c r="D34" s="9">
        <f>'Weather Data'!C130</f>
        <v>56.1</v>
      </c>
      <c r="E34" s="9">
        <v>31</v>
      </c>
      <c r="F34" s="9">
        <v>0</v>
      </c>
      <c r="G34" s="18">
        <v>0</v>
      </c>
      <c r="H34" s="38">
        <v>120.4467185352904</v>
      </c>
      <c r="I34" s="218">
        <f>'[11]CoS 2017 Load History'!T72</f>
        <v>18</v>
      </c>
      <c r="J34" s="9">
        <v>351.91199999999998</v>
      </c>
      <c r="K34" s="9"/>
      <c r="L34" s="9"/>
      <c r="M34" s="14"/>
      <c r="N34" s="40" t="s">
        <v>302</v>
      </c>
      <c r="O34" s="40">
        <v>-778293.01026930136</v>
      </c>
      <c r="P34" s="40">
        <v>133495.24519846568</v>
      </c>
      <c r="Q34" s="40">
        <v>-5.83011783762203</v>
      </c>
      <c r="R34" s="40">
        <v>5.5289792722045904E-8</v>
      </c>
      <c r="S34" s="40">
        <v>-1042822.7503821438</v>
      </c>
      <c r="T34" s="40">
        <v>-513763.27015645901</v>
      </c>
      <c r="U34" s="40">
        <v>-1042822.7503821438</v>
      </c>
      <c r="V34" s="40">
        <v>-513763.27015645901</v>
      </c>
    </row>
    <row r="35" spans="1:22" ht="13.5" hidden="1" thickBot="1">
      <c r="A35" s="2">
        <v>37156</v>
      </c>
      <c r="B35" s="90">
        <f>'[11]CoS 2017 Load History'!Q73</f>
        <v>12321111.48</v>
      </c>
      <c r="C35" s="9">
        <f>'Weather Data'!B131</f>
        <v>187.7</v>
      </c>
      <c r="D35" s="9">
        <f>'Weather Data'!C131</f>
        <v>6.8</v>
      </c>
      <c r="E35" s="9">
        <v>30</v>
      </c>
      <c r="F35" s="9">
        <v>1</v>
      </c>
      <c r="G35" s="18">
        <v>0</v>
      </c>
      <c r="H35" s="38">
        <v>120.62124794963869</v>
      </c>
      <c r="I35" s="218">
        <f>'[11]CoS 2017 Load History'!T73</f>
        <v>18</v>
      </c>
      <c r="J35" s="9">
        <v>303.83999999999997</v>
      </c>
      <c r="K35" s="9"/>
      <c r="L35" s="9"/>
      <c r="M35" s="14"/>
      <c r="N35" s="51" t="s">
        <v>303</v>
      </c>
      <c r="O35" s="51">
        <v>5253.4124263164076</v>
      </c>
      <c r="P35" s="51">
        <v>9286.9897430892725</v>
      </c>
      <c r="Q35" s="51">
        <v>0.56567440813915293</v>
      </c>
      <c r="R35" s="51">
        <v>0.57275685622641892</v>
      </c>
      <c r="S35" s="51">
        <v>-13149.37772188487</v>
      </c>
      <c r="T35" s="51">
        <v>23656.202574517687</v>
      </c>
      <c r="U35" s="51">
        <v>-13149.37772188487</v>
      </c>
      <c r="V35" s="51">
        <v>23656.202574517687</v>
      </c>
    </row>
    <row r="36" spans="1:22" hidden="1">
      <c r="A36" s="2">
        <v>37189</v>
      </c>
      <c r="B36" s="90">
        <f>'[11]CoS 2017 Load History'!Q74</f>
        <v>13259993.019999998</v>
      </c>
      <c r="C36" s="9">
        <f>'Weather Data'!B132</f>
        <v>408.6</v>
      </c>
      <c r="D36" s="9">
        <f>'Weather Data'!C132</f>
        <v>0</v>
      </c>
      <c r="E36" s="9">
        <v>31</v>
      </c>
      <c r="F36" s="9">
        <v>1</v>
      </c>
      <c r="G36" s="18">
        <v>0</v>
      </c>
      <c r="H36" s="38">
        <v>120.79603026017911</v>
      </c>
      <c r="I36" s="218">
        <f>'[11]CoS 2017 Load History'!T74</f>
        <v>18</v>
      </c>
      <c r="J36" s="9">
        <v>351.91199999999998</v>
      </c>
      <c r="K36" s="9"/>
      <c r="L36" s="9"/>
      <c r="M36" s="14"/>
    </row>
    <row r="37" spans="1:22" hidden="1">
      <c r="A37" s="2">
        <v>37222</v>
      </c>
      <c r="B37" s="90">
        <f>'[11]CoS 2017 Load History'!Q75</f>
        <v>14150359.510000002</v>
      </c>
      <c r="C37" s="9">
        <f>'Weather Data'!B133</f>
        <v>458.8</v>
      </c>
      <c r="D37" s="9">
        <f>'Weather Data'!C133</f>
        <v>0</v>
      </c>
      <c r="E37" s="9">
        <v>30</v>
      </c>
      <c r="F37" s="9">
        <v>1</v>
      </c>
      <c r="G37" s="18">
        <v>0</v>
      </c>
      <c r="H37" s="38">
        <v>120.9710658333627</v>
      </c>
      <c r="I37" s="218">
        <f>'[11]CoS 2017 Load History'!T75</f>
        <v>18</v>
      </c>
      <c r="J37" s="9">
        <v>352.08</v>
      </c>
      <c r="K37" s="9"/>
      <c r="L37" s="9"/>
      <c r="M37" s="14"/>
    </row>
    <row r="38" spans="1:22" hidden="1">
      <c r="A38" s="2">
        <v>37255</v>
      </c>
      <c r="B38" s="90">
        <f>'[11]CoS 2017 Load History'!Q76</f>
        <v>13320894.790000003</v>
      </c>
      <c r="C38" s="9">
        <f>'Weather Data'!B134</f>
        <v>716.4</v>
      </c>
      <c r="D38" s="9">
        <f>'Weather Data'!C134</f>
        <v>0</v>
      </c>
      <c r="E38" s="9">
        <v>31</v>
      </c>
      <c r="F38" s="9">
        <v>0</v>
      </c>
      <c r="G38" s="18">
        <v>0</v>
      </c>
      <c r="H38" s="38">
        <v>121.1463550361714</v>
      </c>
      <c r="I38" s="218">
        <f>'[11]CoS 2017 Load History'!T76</f>
        <v>18</v>
      </c>
      <c r="J38" s="9">
        <v>304.29599999999999</v>
      </c>
      <c r="K38" s="9"/>
      <c r="L38" s="9"/>
      <c r="M38" s="14"/>
    </row>
    <row r="39" spans="1:22" hidden="1">
      <c r="A39" s="13">
        <v>37275</v>
      </c>
      <c r="B39" s="90">
        <f>'[11]CoS 2017 Load History'!Q77</f>
        <v>11877508.939999999</v>
      </c>
      <c r="C39" s="9">
        <f>'Weather Data'!B135</f>
        <v>873.9</v>
      </c>
      <c r="D39" s="9">
        <f>'Weather Data'!C135</f>
        <v>0</v>
      </c>
      <c r="E39" s="9">
        <v>31</v>
      </c>
      <c r="F39" s="9">
        <v>0</v>
      </c>
      <c r="G39" s="18">
        <v>0</v>
      </c>
      <c r="H39" s="38">
        <v>121.50450639216388</v>
      </c>
      <c r="I39" s="218">
        <f>'[11]CoS 2017 Load History'!T77</f>
        <v>17</v>
      </c>
      <c r="J39" s="9">
        <v>351.91199999999998</v>
      </c>
      <c r="K39" s="9"/>
      <c r="L39" s="9"/>
      <c r="M39" s="14"/>
    </row>
    <row r="40" spans="1:22" hidden="1">
      <c r="A40" s="2">
        <v>37308</v>
      </c>
      <c r="B40" s="90">
        <f>'[11]CoS 2017 Load History'!Q78</f>
        <v>10349953.170000002</v>
      </c>
      <c r="C40" s="9">
        <f>'Weather Data'!B136</f>
        <v>733</v>
      </c>
      <c r="D40" s="9">
        <f>'Weather Data'!C136</f>
        <v>0</v>
      </c>
      <c r="E40" s="9">
        <v>28</v>
      </c>
      <c r="F40" s="9">
        <v>0</v>
      </c>
      <c r="G40" s="18">
        <v>0</v>
      </c>
      <c r="H40" s="38">
        <v>121.86371656989111</v>
      </c>
      <c r="I40" s="218">
        <f>'[11]CoS 2017 Load History'!T78</f>
        <v>17</v>
      </c>
      <c r="J40" s="9">
        <v>319.87200000000001</v>
      </c>
      <c r="K40" s="9"/>
      <c r="L40" s="9"/>
      <c r="M40" s="14"/>
    </row>
    <row r="41" spans="1:22" hidden="1">
      <c r="A41" s="2">
        <v>37341</v>
      </c>
      <c r="B41" s="90">
        <f>'[11]CoS 2017 Load History'!Q79</f>
        <v>11650421.59</v>
      </c>
      <c r="C41" s="9">
        <f>'Weather Data'!B137</f>
        <v>804.7</v>
      </c>
      <c r="D41" s="9">
        <f>'Weather Data'!C137</f>
        <v>0</v>
      </c>
      <c r="E41" s="9">
        <v>31</v>
      </c>
      <c r="F41" s="9">
        <v>1</v>
      </c>
      <c r="G41" s="18">
        <v>0</v>
      </c>
      <c r="H41" s="38">
        <v>122.22398869960362</v>
      </c>
      <c r="I41" s="218">
        <f>'[11]CoS 2017 Load History'!T79</f>
        <v>18</v>
      </c>
      <c r="J41" s="9">
        <v>319.92</v>
      </c>
      <c r="K41" s="9"/>
      <c r="L41" s="9"/>
      <c r="M41" s="14"/>
    </row>
    <row r="42" spans="1:22" hidden="1">
      <c r="A42" s="2">
        <v>37374</v>
      </c>
      <c r="B42" s="90">
        <f>'[11]CoS 2017 Load History'!Q80</f>
        <v>13238007.189999999</v>
      </c>
      <c r="C42" s="9">
        <f>'Weather Data'!B138</f>
        <v>462.3</v>
      </c>
      <c r="D42" s="9">
        <f>'Weather Data'!C138</f>
        <v>0</v>
      </c>
      <c r="E42" s="9">
        <v>30</v>
      </c>
      <c r="F42" s="9">
        <v>1</v>
      </c>
      <c r="G42" s="18">
        <v>0</v>
      </c>
      <c r="H42" s="38">
        <v>122.58532592080604</v>
      </c>
      <c r="I42" s="218">
        <f>'[11]CoS 2017 Load History'!T80</f>
        <v>17</v>
      </c>
      <c r="J42" s="9">
        <v>352.08</v>
      </c>
      <c r="K42" s="9"/>
      <c r="L42" s="9"/>
      <c r="M42" s="14"/>
    </row>
    <row r="43" spans="1:22" hidden="1">
      <c r="A43" s="2">
        <v>37407</v>
      </c>
      <c r="B43" s="90">
        <f>'[11]CoS 2017 Load History'!Q81</f>
        <v>12587530.52</v>
      </c>
      <c r="C43" s="9">
        <f>'Weather Data'!B139</f>
        <v>335</v>
      </c>
      <c r="D43" s="9">
        <f>'Weather Data'!C139</f>
        <v>0.5</v>
      </c>
      <c r="E43" s="9">
        <v>31</v>
      </c>
      <c r="F43" s="9">
        <v>1</v>
      </c>
      <c r="G43" s="18">
        <v>0</v>
      </c>
      <c r="H43" s="38">
        <v>122.9477313822845</v>
      </c>
      <c r="I43" s="218">
        <f>'[11]CoS 2017 Load History'!T81</f>
        <v>16</v>
      </c>
      <c r="J43" s="9">
        <v>351.91199999999998</v>
      </c>
      <c r="K43" s="9"/>
      <c r="L43" s="9"/>
      <c r="M43" s="14"/>
    </row>
    <row r="44" spans="1:22" hidden="1">
      <c r="A44" s="2">
        <v>37408</v>
      </c>
      <c r="B44" s="90">
        <f>'[11]CoS 2017 Load History'!Q82</f>
        <v>12153449.079999998</v>
      </c>
      <c r="C44" s="9">
        <f>'Weather Data'!B140</f>
        <v>114.4</v>
      </c>
      <c r="D44" s="9">
        <f>'Weather Data'!C140</f>
        <v>14.2</v>
      </c>
      <c r="E44" s="9">
        <v>30</v>
      </c>
      <c r="F44" s="9">
        <v>0</v>
      </c>
      <c r="G44" s="18">
        <v>0</v>
      </c>
      <c r="H44" s="38">
        <v>123.31120824213403</v>
      </c>
      <c r="I44" s="218">
        <f>'[11]CoS 2017 Load History'!T82</f>
        <v>16</v>
      </c>
      <c r="J44" s="9">
        <v>319.68</v>
      </c>
      <c r="K44" s="9"/>
      <c r="L44" s="9"/>
      <c r="M44" s="14"/>
    </row>
    <row r="45" spans="1:22" hidden="1">
      <c r="A45" s="2">
        <v>37440</v>
      </c>
      <c r="B45" s="90">
        <f>'[11]CoS 2017 Load History'!Q83</f>
        <v>13198009.07</v>
      </c>
      <c r="C45" s="9">
        <f>'Weather Data'!B141</f>
        <v>17.899999999999999</v>
      </c>
      <c r="D45" s="9">
        <f>'Weather Data'!C141</f>
        <v>79.3</v>
      </c>
      <c r="E45" s="9">
        <v>31</v>
      </c>
      <c r="F45" s="9">
        <v>0</v>
      </c>
      <c r="G45" s="18">
        <v>0</v>
      </c>
      <c r="H45" s="38">
        <v>123.67575966778612</v>
      </c>
      <c r="I45" s="218">
        <f>'[11]CoS 2017 Load History'!T83</f>
        <v>17</v>
      </c>
      <c r="J45" s="9">
        <v>351.91199999999998</v>
      </c>
      <c r="K45" s="9"/>
      <c r="L45" s="9"/>
      <c r="M45" s="14"/>
    </row>
    <row r="46" spans="1:22" hidden="1">
      <c r="A46" s="2">
        <v>37473</v>
      </c>
      <c r="B46" s="90">
        <f>'[11]CoS 2017 Load History'!Q84</f>
        <v>12691872.970000001</v>
      </c>
      <c r="C46" s="9">
        <f>'Weather Data'!B142</f>
        <v>49.7</v>
      </c>
      <c r="D46" s="9">
        <f>'Weather Data'!C142</f>
        <v>15.5</v>
      </c>
      <c r="E46" s="9">
        <v>31</v>
      </c>
      <c r="F46" s="9">
        <v>0</v>
      </c>
      <c r="G46" s="18">
        <v>0</v>
      </c>
      <c r="H46" s="38">
        <v>124.04138883603632</v>
      </c>
      <c r="I46" s="218">
        <f>'[11]CoS 2017 Load History'!T84</f>
        <v>17</v>
      </c>
      <c r="J46" s="9">
        <v>336.28800000000001</v>
      </c>
      <c r="K46" s="9"/>
      <c r="L46" s="9"/>
      <c r="M46" s="14"/>
    </row>
    <row r="47" spans="1:22" hidden="1">
      <c r="A47" s="2">
        <v>37506</v>
      </c>
      <c r="B47" s="90">
        <f>'[11]CoS 2017 Load History'!Q85</f>
        <v>12870996</v>
      </c>
      <c r="C47" s="9">
        <f>'Weather Data'!B143</f>
        <v>143.5</v>
      </c>
      <c r="D47" s="9">
        <f>'Weather Data'!C143</f>
        <v>20.9</v>
      </c>
      <c r="E47" s="9">
        <v>30</v>
      </c>
      <c r="F47" s="9">
        <v>1</v>
      </c>
      <c r="G47" s="18">
        <v>0</v>
      </c>
      <c r="H47" s="38">
        <v>124.40809893307186</v>
      </c>
      <c r="I47" s="218">
        <f>'[11]CoS 2017 Load History'!T85</f>
        <v>18</v>
      </c>
      <c r="J47" s="9">
        <v>319.68</v>
      </c>
      <c r="K47" s="9"/>
      <c r="L47" s="9"/>
      <c r="M47" s="14"/>
    </row>
    <row r="48" spans="1:22" hidden="1">
      <c r="A48" s="2">
        <v>37539</v>
      </c>
      <c r="B48" s="90">
        <f>'[11]CoS 2017 Load History'!Q86</f>
        <v>13603641.65</v>
      </c>
      <c r="C48" s="9">
        <f>'Weather Data'!B144</f>
        <v>510.1</v>
      </c>
      <c r="D48" s="9">
        <f>'Weather Data'!C144</f>
        <v>0</v>
      </c>
      <c r="E48" s="9">
        <v>31</v>
      </c>
      <c r="F48" s="9">
        <v>1</v>
      </c>
      <c r="G48" s="18">
        <v>0</v>
      </c>
      <c r="H48" s="38">
        <v>124.7758931544995</v>
      </c>
      <c r="I48" s="218">
        <f>'[11]CoS 2017 Load History'!T86</f>
        <v>18</v>
      </c>
      <c r="J48" s="9">
        <v>351.91199999999998</v>
      </c>
      <c r="K48" s="9"/>
      <c r="L48" s="9"/>
      <c r="M48" s="14"/>
    </row>
    <row r="49" spans="1:13" hidden="1">
      <c r="A49" s="2">
        <v>37572</v>
      </c>
      <c r="B49" s="90">
        <f>'[11]CoS 2017 Load History'!Q87</f>
        <v>14298273.840000002</v>
      </c>
      <c r="C49" s="9">
        <f>'Weather Data'!B145</f>
        <v>668</v>
      </c>
      <c r="D49" s="9">
        <f>'Weather Data'!C145</f>
        <v>0</v>
      </c>
      <c r="E49" s="9">
        <v>30</v>
      </c>
      <c r="F49" s="9">
        <v>1</v>
      </c>
      <c r="G49" s="18">
        <v>0</v>
      </c>
      <c r="H49" s="38">
        <v>125.14477470537335</v>
      </c>
      <c r="I49" s="218">
        <f>'[11]CoS 2017 Load History'!T87</f>
        <v>20</v>
      </c>
      <c r="J49" s="9">
        <v>336.24</v>
      </c>
      <c r="K49" s="9"/>
      <c r="L49" s="9"/>
      <c r="M49" s="14"/>
    </row>
    <row r="50" spans="1:13" hidden="1">
      <c r="A50" s="34">
        <v>37605</v>
      </c>
      <c r="B50" s="90">
        <f>'[11]CoS 2017 Load History'!Q88</f>
        <v>13591167.870000001</v>
      </c>
      <c r="C50" s="9">
        <f>'Weather Data'!B146</f>
        <v>785.6</v>
      </c>
      <c r="D50" s="9">
        <f>'Weather Data'!C146</f>
        <v>0</v>
      </c>
      <c r="E50" s="18">
        <v>31</v>
      </c>
      <c r="F50" s="18">
        <v>0</v>
      </c>
      <c r="G50" s="18">
        <v>0</v>
      </c>
      <c r="H50" s="39">
        <v>125.51474680022261</v>
      </c>
      <c r="I50" s="218">
        <f>'[11]CoS 2017 Load History'!T88</f>
        <v>20</v>
      </c>
      <c r="J50" s="9">
        <v>319.92</v>
      </c>
      <c r="K50" s="9"/>
      <c r="L50" s="9"/>
      <c r="M50" s="33"/>
    </row>
    <row r="51" spans="1:13" hidden="1">
      <c r="A51" s="2">
        <v>37622</v>
      </c>
      <c r="B51" s="90">
        <f>'[11]CoS 2017 Load History'!Q89</f>
        <v>12551559.93</v>
      </c>
      <c r="C51" s="9">
        <f>'Weather Data'!B147</f>
        <v>907.4</v>
      </c>
      <c r="D51" s="9">
        <f>'Weather Data'!C147</f>
        <v>0</v>
      </c>
      <c r="E51" s="9">
        <v>31</v>
      </c>
      <c r="F51" s="9">
        <v>0</v>
      </c>
      <c r="G51" s="18">
        <v>0</v>
      </c>
      <c r="H51" s="38">
        <v>125.66024937363977</v>
      </c>
      <c r="I51" s="218">
        <f>'[11]CoS 2017 Load History'!T89</f>
        <v>14</v>
      </c>
      <c r="J51" s="9">
        <v>351.91199999999998</v>
      </c>
      <c r="K51" s="9"/>
      <c r="L51" s="9"/>
      <c r="M51" s="14"/>
    </row>
    <row r="52" spans="1:13" hidden="1">
      <c r="A52" s="2">
        <v>37653</v>
      </c>
      <c r="B52" s="90">
        <f>'[11]CoS 2017 Load History'!Q90</f>
        <v>11398199.959999999</v>
      </c>
      <c r="C52" s="9">
        <f>'Weather Data'!B148</f>
        <v>969.6</v>
      </c>
      <c r="D52" s="9">
        <f>'Weather Data'!C148</f>
        <v>0</v>
      </c>
      <c r="E52" s="9">
        <v>28</v>
      </c>
      <c r="F52" s="9">
        <v>0</v>
      </c>
      <c r="G52" s="18">
        <v>0</v>
      </c>
      <c r="H52" s="38">
        <v>125.80592062045517</v>
      </c>
      <c r="I52" s="218">
        <f>'[11]CoS 2017 Load History'!T90</f>
        <v>14</v>
      </c>
      <c r="J52" s="9">
        <v>319.87200000000001</v>
      </c>
      <c r="K52" s="9"/>
      <c r="L52" s="9"/>
      <c r="M52" s="14"/>
    </row>
    <row r="53" spans="1:13" hidden="1">
      <c r="A53" s="2">
        <v>37681</v>
      </c>
      <c r="B53" s="90">
        <f>'[11]CoS 2017 Load History'!Q91</f>
        <v>12575641.660000002</v>
      </c>
      <c r="C53" s="9">
        <f>'Weather Data'!B149</f>
        <v>765.1</v>
      </c>
      <c r="D53" s="9">
        <f>'Weather Data'!C149</f>
        <v>0</v>
      </c>
      <c r="E53" s="9">
        <v>31</v>
      </c>
      <c r="F53" s="9">
        <v>1</v>
      </c>
      <c r="G53" s="18">
        <v>0</v>
      </c>
      <c r="H53" s="38">
        <v>125.9517607362029</v>
      </c>
      <c r="I53" s="218">
        <f>'[11]CoS 2017 Load History'!T91</f>
        <v>14</v>
      </c>
      <c r="J53" s="9">
        <v>336.28800000000001</v>
      </c>
      <c r="K53" s="9"/>
      <c r="L53" s="9"/>
      <c r="M53" s="14"/>
    </row>
    <row r="54" spans="1:13" hidden="1">
      <c r="A54" s="2">
        <v>37712</v>
      </c>
      <c r="B54" s="90">
        <f>'[11]CoS 2017 Load History'!Q92</f>
        <v>13219777.799999999</v>
      </c>
      <c r="C54" s="9">
        <f>'Weather Data'!B150</f>
        <v>499.3</v>
      </c>
      <c r="D54" s="9">
        <f>'Weather Data'!C150</f>
        <v>0</v>
      </c>
      <c r="E54" s="9">
        <v>30</v>
      </c>
      <c r="F54" s="9">
        <v>1</v>
      </c>
      <c r="G54" s="18">
        <v>0</v>
      </c>
      <c r="H54" s="38">
        <v>126.09776991664374</v>
      </c>
      <c r="I54" s="218">
        <f>'[11]CoS 2017 Load History'!T92</f>
        <v>14</v>
      </c>
      <c r="J54" s="9">
        <v>336.24</v>
      </c>
      <c r="K54" s="9"/>
      <c r="L54" s="9"/>
      <c r="M54" s="14"/>
    </row>
    <row r="55" spans="1:13" hidden="1">
      <c r="A55" s="2">
        <v>37742</v>
      </c>
      <c r="B55" s="90">
        <f>'[11]CoS 2017 Load History'!Q93</f>
        <v>12878786.009999998</v>
      </c>
      <c r="C55" s="9">
        <f>'Weather Data'!B151</f>
        <v>276.39999999999998</v>
      </c>
      <c r="D55" s="9">
        <f>'Weather Data'!C151</f>
        <v>0</v>
      </c>
      <c r="E55" s="9">
        <v>31</v>
      </c>
      <c r="F55" s="9">
        <v>1</v>
      </c>
      <c r="G55" s="18">
        <v>0</v>
      </c>
      <c r="H55" s="38">
        <v>126.2439483577654</v>
      </c>
      <c r="I55" s="218">
        <f>'[11]CoS 2017 Load History'!T93</f>
        <v>14</v>
      </c>
      <c r="J55" s="9">
        <v>336.28800000000001</v>
      </c>
      <c r="K55" s="9"/>
      <c r="L55" s="9"/>
      <c r="M55" s="14"/>
    </row>
    <row r="56" spans="1:13" hidden="1">
      <c r="A56" s="2">
        <v>37773</v>
      </c>
      <c r="B56" s="90">
        <f>'[11]CoS 2017 Load History'!Q94</f>
        <v>12041382.300000001</v>
      </c>
      <c r="C56" s="9">
        <f>'Weather Data'!B152</f>
        <v>129.30000000000001</v>
      </c>
      <c r="D56" s="9">
        <f>'Weather Data'!C152</f>
        <v>0</v>
      </c>
      <c r="E56" s="9">
        <v>30</v>
      </c>
      <c r="F56" s="9">
        <v>0</v>
      </c>
      <c r="G56" s="18">
        <v>0</v>
      </c>
      <c r="H56" s="38">
        <v>126.3902962557828</v>
      </c>
      <c r="I56" s="218">
        <f>'[11]CoS 2017 Load History'!T94</f>
        <v>14</v>
      </c>
      <c r="J56" s="9">
        <v>336.24</v>
      </c>
      <c r="K56" s="9"/>
      <c r="L56" s="9"/>
      <c r="M56" s="14"/>
    </row>
    <row r="57" spans="1:13" hidden="1">
      <c r="A57" s="2">
        <v>37803</v>
      </c>
      <c r="B57" s="90">
        <f>'[11]CoS 2017 Load History'!Q95</f>
        <v>13513526.199999999</v>
      </c>
      <c r="C57" s="9">
        <f>'Weather Data'!B153</f>
        <v>29.9</v>
      </c>
      <c r="D57" s="9">
        <f>'Weather Data'!C153</f>
        <v>18.2</v>
      </c>
      <c r="E57" s="9">
        <v>31</v>
      </c>
      <c r="F57" s="9">
        <v>0</v>
      </c>
      <c r="G57" s="18">
        <v>0</v>
      </c>
      <c r="H57" s="38">
        <v>126.5368138071383</v>
      </c>
      <c r="I57" s="218">
        <f>'[11]CoS 2017 Load History'!T95</f>
        <v>14</v>
      </c>
      <c r="J57" s="9">
        <v>351.91199999999998</v>
      </c>
      <c r="K57" s="9"/>
      <c r="L57" s="9"/>
      <c r="M57" s="14"/>
    </row>
    <row r="58" spans="1:13" hidden="1">
      <c r="A58" s="2">
        <v>37834</v>
      </c>
      <c r="B58" s="90">
        <f>'[11]CoS 2017 Load History'!Q96</f>
        <v>14005988.789999999</v>
      </c>
      <c r="C58" s="9">
        <f>'Weather Data'!B154</f>
        <v>35.6</v>
      </c>
      <c r="D58" s="9">
        <f>'Weather Data'!C154</f>
        <v>50.9</v>
      </c>
      <c r="E58" s="9">
        <v>31</v>
      </c>
      <c r="F58" s="9">
        <v>0</v>
      </c>
      <c r="G58" s="18">
        <v>0</v>
      </c>
      <c r="H58" s="38">
        <v>126.68350120850199</v>
      </c>
      <c r="I58" s="218">
        <f>'[11]CoS 2017 Load History'!T96</f>
        <v>14</v>
      </c>
      <c r="J58" s="9">
        <v>319.92</v>
      </c>
      <c r="K58" s="9"/>
      <c r="L58" s="9"/>
      <c r="M58" s="14"/>
    </row>
    <row r="59" spans="1:13" hidden="1">
      <c r="A59" s="2">
        <v>37865</v>
      </c>
      <c r="B59" s="90">
        <f>'[11]CoS 2017 Load History'!Q97</f>
        <v>13917831.9</v>
      </c>
      <c r="C59" s="9">
        <f>'Weather Data'!B155</f>
        <v>164</v>
      </c>
      <c r="D59" s="9">
        <f>'Weather Data'!C155</f>
        <v>6.7</v>
      </c>
      <c r="E59" s="9">
        <v>30</v>
      </c>
      <c r="F59" s="9">
        <v>1</v>
      </c>
      <c r="G59" s="18">
        <v>0</v>
      </c>
      <c r="H59" s="38">
        <v>126.83035865677196</v>
      </c>
      <c r="I59" s="218">
        <f>'[11]CoS 2017 Load History'!T97</f>
        <v>14</v>
      </c>
      <c r="J59" s="9">
        <v>336.24</v>
      </c>
      <c r="K59" s="9"/>
      <c r="L59" s="9"/>
      <c r="M59" s="14"/>
    </row>
    <row r="60" spans="1:13" hidden="1">
      <c r="A60" s="2">
        <v>37895</v>
      </c>
      <c r="B60" s="90">
        <f>'[11]CoS 2017 Load History'!Q98</f>
        <v>14280475.5</v>
      </c>
      <c r="C60" s="9">
        <f>'Weather Data'!B156</f>
        <v>414.2</v>
      </c>
      <c r="D60" s="9">
        <f>'Weather Data'!C156</f>
        <v>0</v>
      </c>
      <c r="E60" s="9">
        <v>31</v>
      </c>
      <c r="F60" s="9">
        <v>1</v>
      </c>
      <c r="G60" s="18">
        <v>0</v>
      </c>
      <c r="H60" s="38">
        <v>126.97738634907456</v>
      </c>
      <c r="I60" s="218">
        <f>'[11]CoS 2017 Load History'!T98</f>
        <v>14</v>
      </c>
      <c r="J60" s="9">
        <v>351.91199999999998</v>
      </c>
      <c r="K60" s="9"/>
      <c r="L60" s="9"/>
      <c r="M60" s="14"/>
    </row>
    <row r="61" spans="1:13" hidden="1">
      <c r="A61" s="2">
        <v>37926</v>
      </c>
      <c r="B61" s="90">
        <f>'[11]CoS 2017 Load History'!Q99</f>
        <v>14573776.199999999</v>
      </c>
      <c r="C61" s="9">
        <f>'Weather Data'!B157</f>
        <v>632.9</v>
      </c>
      <c r="D61" s="9">
        <f>'Weather Data'!C157</f>
        <v>0</v>
      </c>
      <c r="E61" s="9">
        <v>30</v>
      </c>
      <c r="F61" s="9">
        <v>1</v>
      </c>
      <c r="G61" s="18">
        <v>0</v>
      </c>
      <c r="H61" s="38">
        <v>127.12458448276465</v>
      </c>
      <c r="I61" s="218">
        <f>'[11]CoS 2017 Load History'!T99</f>
        <v>14</v>
      </c>
      <c r="J61" s="9">
        <v>319.68</v>
      </c>
      <c r="K61" s="9"/>
      <c r="L61" s="9"/>
      <c r="M61" s="14"/>
    </row>
    <row r="62" spans="1:13" hidden="1">
      <c r="A62" s="2">
        <v>37956</v>
      </c>
      <c r="B62" s="90">
        <f>'[11]CoS 2017 Load History'!Q100</f>
        <v>14885940.530000001</v>
      </c>
      <c r="C62" s="9">
        <f>'Weather Data'!B158</f>
        <v>785.9</v>
      </c>
      <c r="D62" s="9">
        <f>'Weather Data'!C158</f>
        <v>0</v>
      </c>
      <c r="E62" s="9">
        <v>31</v>
      </c>
      <c r="F62" s="9">
        <v>0</v>
      </c>
      <c r="G62" s="18">
        <v>0</v>
      </c>
      <c r="H62" s="38">
        <v>127.27195325542573</v>
      </c>
      <c r="I62" s="218">
        <f>'[11]CoS 2017 Load History'!T100</f>
        <v>14</v>
      </c>
      <c r="J62" s="9">
        <v>336.28800000000001</v>
      </c>
      <c r="K62" s="9"/>
      <c r="L62" s="9"/>
      <c r="M62" s="14"/>
    </row>
    <row r="63" spans="1:13" hidden="1">
      <c r="A63" s="2">
        <v>37987</v>
      </c>
      <c r="B63" s="90">
        <f>'[11]CoS 2017 Load History'!Q101</f>
        <v>14147914.230000002</v>
      </c>
      <c r="C63" s="9">
        <f>'Weather Data'!B159</f>
        <v>1140.5999999999999</v>
      </c>
      <c r="D63" s="9">
        <f>'Weather Data'!C159</f>
        <v>0</v>
      </c>
      <c r="E63" s="9">
        <v>31</v>
      </c>
      <c r="F63" s="9">
        <v>0</v>
      </c>
      <c r="G63" s="18">
        <v>0</v>
      </c>
      <c r="H63" s="38">
        <v>127.53411264087498</v>
      </c>
      <c r="I63" s="218">
        <f>'[11]CoS 2017 Load History'!T101</f>
        <v>14</v>
      </c>
      <c r="J63" s="9">
        <v>336.28800000000001</v>
      </c>
      <c r="K63" s="9"/>
      <c r="L63" s="9"/>
      <c r="M63" s="14"/>
    </row>
    <row r="64" spans="1:13" hidden="1">
      <c r="A64" s="2">
        <v>38018</v>
      </c>
      <c r="B64" s="90">
        <f>'[11]CoS 2017 Load History'!Q102</f>
        <v>12581957.98</v>
      </c>
      <c r="C64" s="9">
        <f>'Weather Data'!B160</f>
        <v>778.3</v>
      </c>
      <c r="D64" s="9">
        <f>'Weather Data'!C160</f>
        <v>0</v>
      </c>
      <c r="E64" s="9">
        <v>29</v>
      </c>
      <c r="F64" s="9">
        <v>0</v>
      </c>
      <c r="G64" s="18">
        <v>0</v>
      </c>
      <c r="H64" s="38">
        <v>127.79681203173486</v>
      </c>
      <c r="I64" s="218">
        <f>'[11]CoS 2017 Load History'!T102</f>
        <v>15</v>
      </c>
      <c r="J64" s="9">
        <v>320.16000000000003</v>
      </c>
      <c r="K64" s="9"/>
      <c r="L64" s="9"/>
      <c r="M64" s="14"/>
    </row>
    <row r="65" spans="1:47" hidden="1">
      <c r="A65" s="2">
        <v>38047</v>
      </c>
      <c r="B65" s="90">
        <f>'[11]CoS 2017 Load History'!Q103</f>
        <v>13298627.379999999</v>
      </c>
      <c r="C65" s="9">
        <f>'Weather Data'!B161</f>
        <v>684.3</v>
      </c>
      <c r="D65" s="9">
        <f>'Weather Data'!C161</f>
        <v>0</v>
      </c>
      <c r="E65" s="9">
        <v>31</v>
      </c>
      <c r="F65" s="9">
        <v>1</v>
      </c>
      <c r="G65" s="18">
        <v>0</v>
      </c>
      <c r="H65" s="38">
        <v>128.06005254032812</v>
      </c>
      <c r="I65" s="218">
        <f>'[11]CoS 2017 Load History'!T103</f>
        <v>14</v>
      </c>
      <c r="J65" s="9">
        <v>368.28</v>
      </c>
      <c r="K65" s="9"/>
      <c r="L65" s="9"/>
      <c r="M65" s="14"/>
    </row>
    <row r="66" spans="1:47" hidden="1">
      <c r="A66" s="2">
        <v>38078</v>
      </c>
      <c r="B66" s="90">
        <f>'[11]CoS 2017 Load History'!Q104</f>
        <v>13633390.199999999</v>
      </c>
      <c r="C66" s="9">
        <f>'Weather Data'!B162</f>
        <v>472.4</v>
      </c>
      <c r="D66" s="9">
        <f>'Weather Data'!C162</f>
        <v>0</v>
      </c>
      <c r="E66" s="9">
        <v>30</v>
      </c>
      <c r="F66" s="9">
        <v>1</v>
      </c>
      <c r="G66" s="18">
        <v>0</v>
      </c>
      <c r="H66" s="38">
        <v>128.32383528126866</v>
      </c>
      <c r="I66" s="218">
        <f>'[11]CoS 2017 Load History'!T104</f>
        <v>19</v>
      </c>
      <c r="J66" s="9">
        <v>336.24</v>
      </c>
      <c r="K66" s="9"/>
      <c r="L66" s="9"/>
      <c r="M66" s="14"/>
    </row>
    <row r="67" spans="1:47" hidden="1">
      <c r="A67" s="2">
        <v>38108</v>
      </c>
      <c r="B67" s="90">
        <f>'[11]CoS 2017 Load History'!Q105</f>
        <v>13794108.129999999</v>
      </c>
      <c r="C67" s="9">
        <f>'Weather Data'!B163</f>
        <v>333.2</v>
      </c>
      <c r="D67" s="9">
        <f>'Weather Data'!C163</f>
        <v>0</v>
      </c>
      <c r="E67" s="9">
        <v>31</v>
      </c>
      <c r="F67" s="9">
        <v>1</v>
      </c>
      <c r="G67" s="18">
        <v>0</v>
      </c>
      <c r="H67" s="38">
        <v>128.58816137146633</v>
      </c>
      <c r="I67" s="218">
        <f>'[11]CoS 2017 Load History'!T105</f>
        <v>20</v>
      </c>
      <c r="J67" s="9">
        <v>319.92</v>
      </c>
      <c r="K67" s="9"/>
      <c r="L67" s="9"/>
      <c r="M67" s="14"/>
    </row>
    <row r="68" spans="1:47" hidden="1">
      <c r="A68" s="2">
        <v>38139</v>
      </c>
      <c r="B68" s="90">
        <f>'[11]CoS 2017 Load History'!Q106</f>
        <v>14171598.299999999</v>
      </c>
      <c r="C68" s="9">
        <f>'Weather Data'!B164</f>
        <v>145.80000000000001</v>
      </c>
      <c r="D68" s="9">
        <f>'Weather Data'!C164</f>
        <v>3.1</v>
      </c>
      <c r="E68" s="9">
        <v>30</v>
      </c>
      <c r="F68" s="9">
        <v>0</v>
      </c>
      <c r="G68" s="18">
        <v>0</v>
      </c>
      <c r="H68" s="38">
        <v>128.85303193013166</v>
      </c>
      <c r="I68" s="218">
        <f>'[11]CoS 2017 Load History'!T106</f>
        <v>20</v>
      </c>
      <c r="J68" s="9">
        <v>352.08</v>
      </c>
      <c r="K68" s="9"/>
      <c r="L68" s="9"/>
      <c r="M68" s="14"/>
    </row>
    <row r="69" spans="1:47" hidden="1">
      <c r="A69" s="2">
        <v>38169</v>
      </c>
      <c r="B69" s="90">
        <f>'[11]CoS 2017 Load History'!Q107</f>
        <v>13676605.42</v>
      </c>
      <c r="C69" s="9">
        <f>'Weather Data'!B165</f>
        <v>67.400000000000006</v>
      </c>
      <c r="D69" s="9">
        <f>'Weather Data'!C165</f>
        <v>22</v>
      </c>
      <c r="E69" s="9">
        <v>31</v>
      </c>
      <c r="F69" s="9">
        <v>0</v>
      </c>
      <c r="G69" s="18">
        <v>0</v>
      </c>
      <c r="H69" s="38">
        <v>129.11844807878055</v>
      </c>
      <c r="I69" s="218">
        <f>'[11]CoS 2017 Load History'!T107</f>
        <v>20</v>
      </c>
      <c r="J69" s="9">
        <v>336.28800000000001</v>
      </c>
      <c r="K69" s="9"/>
      <c r="L69" s="9"/>
      <c r="M69" s="14"/>
    </row>
    <row r="70" spans="1:47" hidden="1">
      <c r="A70" s="2">
        <v>38200</v>
      </c>
      <c r="B70" s="90">
        <f>'[11]CoS 2017 Load History'!Q108</f>
        <v>13645223.500000004</v>
      </c>
      <c r="C70" s="9">
        <f>'Weather Data'!B166</f>
        <v>123</v>
      </c>
      <c r="D70" s="9">
        <f>'Weather Data'!C166</f>
        <v>1.8</v>
      </c>
      <c r="E70" s="9">
        <v>31</v>
      </c>
      <c r="F70" s="9">
        <v>0</v>
      </c>
      <c r="G70" s="18">
        <v>0</v>
      </c>
      <c r="H70" s="38">
        <v>129.38441094123903</v>
      </c>
      <c r="I70" s="218">
        <f>'[11]CoS 2017 Load History'!T108</f>
        <v>20</v>
      </c>
      <c r="J70" s="9">
        <v>336.28800000000001</v>
      </c>
      <c r="K70" s="9"/>
      <c r="L70" s="9"/>
      <c r="M70" s="14"/>
    </row>
    <row r="71" spans="1:47" hidden="1">
      <c r="A71" s="2">
        <v>38231</v>
      </c>
      <c r="B71" s="90">
        <f>'[11]CoS 2017 Load History'!Q109</f>
        <v>13189320</v>
      </c>
      <c r="C71" s="9">
        <f>'Weather Data'!B167</f>
        <v>132.9</v>
      </c>
      <c r="D71" s="9">
        <f>'Weather Data'!C167</f>
        <v>4.7</v>
      </c>
      <c r="E71" s="9">
        <v>30</v>
      </c>
      <c r="F71" s="9">
        <v>1</v>
      </c>
      <c r="G71" s="18">
        <v>0</v>
      </c>
      <c r="H71" s="38">
        <v>129.65092164364802</v>
      </c>
      <c r="I71" s="218">
        <f>'[11]CoS 2017 Load History'!T109</f>
        <v>20</v>
      </c>
      <c r="J71" s="9">
        <v>336.24</v>
      </c>
      <c r="K71" s="9"/>
      <c r="L71" s="9"/>
      <c r="M71" s="14"/>
    </row>
    <row r="72" spans="1:47" hidden="1">
      <c r="A72" s="2">
        <v>38261</v>
      </c>
      <c r="B72" s="90">
        <f>'[11]CoS 2017 Load History'!Q110</f>
        <v>13474484.18</v>
      </c>
      <c r="C72" s="9">
        <f>'Weather Data'!B168</f>
        <v>372.7</v>
      </c>
      <c r="D72" s="9">
        <f>'Weather Data'!C168</f>
        <v>0</v>
      </c>
      <c r="E72" s="9">
        <v>31</v>
      </c>
      <c r="F72" s="9">
        <v>1</v>
      </c>
      <c r="G72" s="18">
        <v>0</v>
      </c>
      <c r="H72" s="38">
        <v>129.91798131446814</v>
      </c>
      <c r="I72" s="218">
        <f>'[11]CoS 2017 Load History'!T110</f>
        <v>20</v>
      </c>
      <c r="J72" s="9">
        <v>319.92</v>
      </c>
      <c r="K72" s="9"/>
      <c r="L72" s="9"/>
      <c r="M72" s="14"/>
    </row>
    <row r="73" spans="1:47" hidden="1">
      <c r="A73" s="2">
        <v>38292</v>
      </c>
      <c r="B73" s="90">
        <f>'[11]CoS 2017 Load History'!Q111</f>
        <v>13913794.199999999</v>
      </c>
      <c r="C73" s="9">
        <f>'Weather Data'!B169</f>
        <v>554.9</v>
      </c>
      <c r="D73" s="9">
        <f>'Weather Data'!C169</f>
        <v>0</v>
      </c>
      <c r="E73" s="9">
        <v>30</v>
      </c>
      <c r="F73" s="9">
        <v>1</v>
      </c>
      <c r="G73" s="18">
        <v>0</v>
      </c>
      <c r="H73" s="38">
        <v>130.18559108448443</v>
      </c>
      <c r="I73" s="218">
        <f>'[11]CoS 2017 Load History'!T111</f>
        <v>20</v>
      </c>
      <c r="J73" s="9">
        <v>352.08</v>
      </c>
      <c r="K73" s="9"/>
      <c r="L73" s="9"/>
      <c r="M73" s="14"/>
    </row>
    <row r="74" spans="1:47" hidden="1">
      <c r="A74" s="2">
        <v>38322</v>
      </c>
      <c r="B74" s="90">
        <f>'[11]CoS 2017 Load History'!Q112</f>
        <v>14413243.850000001</v>
      </c>
      <c r="C74" s="9">
        <f>'Weather Data'!B170</f>
        <v>926.6</v>
      </c>
      <c r="D74" s="9">
        <f>'Weather Data'!C170</f>
        <v>0</v>
      </c>
      <c r="E74" s="9">
        <v>31</v>
      </c>
      <c r="F74" s="9">
        <v>0</v>
      </c>
      <c r="G74" s="18">
        <v>0</v>
      </c>
      <c r="H74" s="38">
        <v>130.45375208681136</v>
      </c>
      <c r="I74" s="218">
        <f>'[11]CoS 2017 Load History'!T112</f>
        <v>20</v>
      </c>
      <c r="J74" s="9">
        <v>336.28800000000001</v>
      </c>
      <c r="K74" s="9"/>
      <c r="L74" s="9"/>
      <c r="M74" s="14"/>
    </row>
    <row r="75" spans="1:47" hidden="1">
      <c r="A75" s="2">
        <v>38353</v>
      </c>
      <c r="B75" s="90">
        <f>'[11]CoS 2017 Load History'!Q113</f>
        <v>15812201.93</v>
      </c>
      <c r="C75" s="9">
        <f>'Weather Data'!B171</f>
        <v>1084.3</v>
      </c>
      <c r="D75" s="9">
        <f>'Weather Data'!C171</f>
        <v>0</v>
      </c>
      <c r="E75" s="9">
        <v>31</v>
      </c>
      <c r="F75" s="9">
        <v>0</v>
      </c>
      <c r="G75" s="18">
        <v>0</v>
      </c>
      <c r="H75" s="38">
        <v>130.74370215685079</v>
      </c>
      <c r="I75" s="218">
        <f>'[11]CoS 2017 Load History'!T113</f>
        <v>21</v>
      </c>
      <c r="J75" s="9">
        <v>319.92</v>
      </c>
      <c r="K75" s="9"/>
      <c r="L75" s="9"/>
      <c r="M75" s="14"/>
    </row>
    <row r="76" spans="1:47" s="15" customFormat="1" hidden="1">
      <c r="A76" s="2">
        <v>38384</v>
      </c>
      <c r="B76" s="90">
        <f>'[11]CoS 2017 Load History'!Q114</f>
        <v>13734200.199999999</v>
      </c>
      <c r="C76" s="9">
        <f>'Weather Data'!B172</f>
        <v>755.9</v>
      </c>
      <c r="D76" s="9">
        <f>'Weather Data'!C172</f>
        <v>0</v>
      </c>
      <c r="E76" s="9">
        <v>28</v>
      </c>
      <c r="F76" s="9">
        <v>0</v>
      </c>
      <c r="G76" s="18">
        <v>0</v>
      </c>
      <c r="H76" s="38">
        <v>131.0342966778299</v>
      </c>
      <c r="I76" s="218">
        <f>'[11]CoS 2017 Load History'!T114</f>
        <v>21</v>
      </c>
      <c r="J76" s="9">
        <v>319.87200000000001</v>
      </c>
      <c r="K76" s="9"/>
      <c r="L76" s="9"/>
      <c r="M76" s="14"/>
      <c r="N76"/>
      <c r="O76"/>
      <c r="P76"/>
      <c r="Q76"/>
      <c r="R76"/>
      <c r="S76"/>
      <c r="T76"/>
      <c r="U76"/>
      <c r="V76"/>
      <c r="W76"/>
      <c r="X76"/>
      <c r="Y76"/>
      <c r="Z76"/>
      <c r="AA76"/>
      <c r="AB76"/>
      <c r="AC76"/>
      <c r="AD76"/>
      <c r="AE76"/>
      <c r="AF76"/>
      <c r="AG76"/>
      <c r="AH76"/>
      <c r="AI76"/>
      <c r="AJ76"/>
      <c r="AK76"/>
      <c r="AL76"/>
      <c r="AM76"/>
      <c r="AN76"/>
      <c r="AO76"/>
      <c r="AP76"/>
      <c r="AQ76"/>
      <c r="AR76"/>
      <c r="AS76"/>
      <c r="AT76"/>
      <c r="AU76"/>
    </row>
    <row r="77" spans="1:47" hidden="1">
      <c r="A77" s="2">
        <v>38412</v>
      </c>
      <c r="B77" s="90">
        <f>'[11]CoS 2017 Load History'!Q115</f>
        <v>14727440.32</v>
      </c>
      <c r="C77" s="9">
        <f>'Weather Data'!B173</f>
        <v>814.1</v>
      </c>
      <c r="D77" s="9">
        <f>'Weather Data'!C173</f>
        <v>0</v>
      </c>
      <c r="E77" s="9">
        <v>31</v>
      </c>
      <c r="F77" s="9">
        <v>1</v>
      </c>
      <c r="G77" s="18">
        <v>0</v>
      </c>
      <c r="H77" s="38">
        <v>131.32553708212293</v>
      </c>
      <c r="I77" s="218">
        <f>'[11]CoS 2017 Load History'!T115</f>
        <v>16</v>
      </c>
      <c r="J77" s="9">
        <v>351.91199999999998</v>
      </c>
      <c r="K77" s="9"/>
      <c r="L77" s="9"/>
      <c r="M77" s="14"/>
    </row>
    <row r="78" spans="1:47" hidden="1">
      <c r="A78" s="2">
        <v>38443</v>
      </c>
      <c r="B78" s="90">
        <f>'[11]CoS 2017 Load History'!Q116</f>
        <v>15291128.100000001</v>
      </c>
      <c r="C78" s="9">
        <f>'Weather Data'!B174</f>
        <v>408.1</v>
      </c>
      <c r="D78" s="9">
        <f>'Weather Data'!C174</f>
        <v>0</v>
      </c>
      <c r="E78" s="9">
        <v>30</v>
      </c>
      <c r="F78" s="9">
        <v>1</v>
      </c>
      <c r="G78" s="18">
        <v>0</v>
      </c>
      <c r="H78" s="38">
        <v>131.61742480528775</v>
      </c>
      <c r="I78" s="218">
        <f>'[11]CoS 2017 Load History'!T116</f>
        <v>17</v>
      </c>
      <c r="J78" s="9">
        <v>336.24</v>
      </c>
      <c r="K78" s="9"/>
      <c r="L78" s="9"/>
      <c r="M78" s="14"/>
    </row>
    <row r="79" spans="1:47" hidden="1">
      <c r="A79" s="2">
        <v>38473</v>
      </c>
      <c r="B79" s="90">
        <f>'[11]CoS 2017 Load History'!Q117</f>
        <v>15244296.5</v>
      </c>
      <c r="C79" s="9">
        <f>'Weather Data'!B175</f>
        <v>306.2</v>
      </c>
      <c r="D79" s="9">
        <f>'Weather Data'!C175</f>
        <v>0</v>
      </c>
      <c r="E79" s="9">
        <v>31</v>
      </c>
      <c r="F79" s="9">
        <v>1</v>
      </c>
      <c r="G79" s="18">
        <v>0</v>
      </c>
      <c r="H79" s="38">
        <v>131.90996128607298</v>
      </c>
      <c r="I79" s="218">
        <f>'[11]CoS 2017 Load History'!T117</f>
        <v>17</v>
      </c>
      <c r="J79" s="9">
        <v>336.28800000000001</v>
      </c>
      <c r="K79" s="9"/>
      <c r="L79" s="9"/>
      <c r="M79" s="14"/>
    </row>
    <row r="80" spans="1:47" hidden="1">
      <c r="A80" s="2">
        <v>38504</v>
      </c>
      <c r="B80" s="90">
        <f>'[11]CoS 2017 Load History'!Q118</f>
        <v>15657520.199999999</v>
      </c>
      <c r="C80" s="9">
        <f>'Weather Data'!B176</f>
        <v>72.599999999999994</v>
      </c>
      <c r="D80" s="9">
        <f>'Weather Data'!C176</f>
        <v>16.8</v>
      </c>
      <c r="E80" s="9">
        <v>30</v>
      </c>
      <c r="F80" s="9">
        <v>0</v>
      </c>
      <c r="G80" s="18">
        <v>0</v>
      </c>
      <c r="H80" s="38">
        <v>132.20314796642501</v>
      </c>
      <c r="I80" s="218">
        <f>'[11]CoS 2017 Load History'!T118</f>
        <v>17</v>
      </c>
      <c r="J80" s="9">
        <v>352.08</v>
      </c>
      <c r="K80" s="9"/>
      <c r="L80" s="9"/>
      <c r="M80" s="14"/>
    </row>
    <row r="81" spans="1:47" hidden="1">
      <c r="A81" s="2">
        <v>38534</v>
      </c>
      <c r="B81" s="90">
        <f>'[11]CoS 2017 Load History'!Q119</f>
        <v>15943991.919999998</v>
      </c>
      <c r="C81" s="9">
        <f>'Weather Data'!B177</f>
        <v>45.3</v>
      </c>
      <c r="D81" s="9">
        <f>'Weather Data'!C177</f>
        <v>53</v>
      </c>
      <c r="E81" s="9">
        <v>31</v>
      </c>
      <c r="F81" s="9">
        <v>0</v>
      </c>
      <c r="G81" s="18">
        <v>0</v>
      </c>
      <c r="H81" s="38">
        <v>132.49698629149512</v>
      </c>
      <c r="I81" s="218">
        <f>'[11]CoS 2017 Load History'!T119</f>
        <v>17</v>
      </c>
      <c r="J81" s="9">
        <v>319.92</v>
      </c>
      <c r="K81" s="9"/>
      <c r="L81" s="9"/>
      <c r="M81" s="14"/>
    </row>
    <row r="82" spans="1:47" hidden="1">
      <c r="A82" s="2">
        <v>38565</v>
      </c>
      <c r="B82" s="90">
        <f>'[11]CoS 2017 Load History'!Q120</f>
        <v>16351055.710000003</v>
      </c>
      <c r="C82" s="9">
        <f>'Weather Data'!B178</f>
        <v>46.3</v>
      </c>
      <c r="D82" s="9">
        <f>'Weather Data'!C178</f>
        <v>29.6</v>
      </c>
      <c r="E82" s="9">
        <v>31</v>
      </c>
      <c r="F82" s="9">
        <v>0</v>
      </c>
      <c r="G82" s="18">
        <v>0</v>
      </c>
      <c r="H82" s="38">
        <v>132.79147770964664</v>
      </c>
      <c r="I82" s="218">
        <f>'[11]CoS 2017 Load History'!T120</f>
        <v>17</v>
      </c>
      <c r="J82" s="9">
        <v>351.91199999999998</v>
      </c>
      <c r="K82" s="9"/>
      <c r="L82" s="9"/>
      <c r="M82" s="14"/>
    </row>
    <row r="83" spans="1:47" hidden="1">
      <c r="A83" s="2">
        <v>38596</v>
      </c>
      <c r="B83" s="90">
        <f>'[11]CoS 2017 Load History'!Q121</f>
        <v>15705419.700000003</v>
      </c>
      <c r="C83" s="9">
        <f>'Weather Data'!B179</f>
        <v>148.80000000000001</v>
      </c>
      <c r="D83" s="9">
        <f>'Weather Data'!C179</f>
        <v>15.2</v>
      </c>
      <c r="E83" s="9">
        <v>30</v>
      </c>
      <c r="F83" s="9">
        <v>1</v>
      </c>
      <c r="G83" s="18">
        <v>0</v>
      </c>
      <c r="H83" s="38">
        <v>133.08662367246211</v>
      </c>
      <c r="I83" s="218">
        <f>'[11]CoS 2017 Load History'!T121</f>
        <v>17</v>
      </c>
      <c r="J83" s="9">
        <v>336.24</v>
      </c>
      <c r="K83" s="9"/>
      <c r="L83" s="9"/>
      <c r="M83" s="14"/>
    </row>
    <row r="84" spans="1:47" hidden="1">
      <c r="A84" s="2">
        <v>38626</v>
      </c>
      <c r="B84" s="90">
        <f>'[11]CoS 2017 Load History'!Q122</f>
        <v>17105784.100000001</v>
      </c>
      <c r="C84" s="9">
        <f>'Weather Data'!B180</f>
        <v>347.3</v>
      </c>
      <c r="D84" s="9">
        <f>'Weather Data'!C180</f>
        <v>0</v>
      </c>
      <c r="E84" s="9">
        <v>31</v>
      </c>
      <c r="F84" s="9">
        <v>1</v>
      </c>
      <c r="G84" s="18">
        <v>0</v>
      </c>
      <c r="H84" s="38">
        <v>133.38242563475035</v>
      </c>
      <c r="I84" s="218">
        <f>'[11]CoS 2017 Load History'!T122</f>
        <v>17</v>
      </c>
      <c r="J84" s="9">
        <v>319.92</v>
      </c>
      <c r="K84" s="9"/>
      <c r="L84" s="9"/>
      <c r="M84" s="14"/>
    </row>
    <row r="85" spans="1:47" hidden="1">
      <c r="A85" s="2">
        <v>38657</v>
      </c>
      <c r="B85" s="90">
        <f>'[11]CoS 2017 Load History'!Q123</f>
        <v>17367799.609999999</v>
      </c>
      <c r="C85" s="9">
        <f>'Weather Data'!B181</f>
        <v>606.9</v>
      </c>
      <c r="D85" s="9">
        <f>'Weather Data'!C181</f>
        <v>0</v>
      </c>
      <c r="E85" s="9">
        <v>30</v>
      </c>
      <c r="F85" s="9">
        <v>1</v>
      </c>
      <c r="G85" s="18">
        <v>0</v>
      </c>
      <c r="H85" s="38">
        <v>133.67888505455369</v>
      </c>
      <c r="I85" s="218">
        <f>'[11]CoS 2017 Load History'!T123</f>
        <v>17</v>
      </c>
      <c r="J85" s="9">
        <v>352.08</v>
      </c>
      <c r="K85" s="9"/>
      <c r="L85" s="9"/>
      <c r="M85" s="14"/>
    </row>
    <row r="86" spans="1:47" hidden="1">
      <c r="A86" s="2">
        <v>38687</v>
      </c>
      <c r="B86" s="90">
        <f>'[11]CoS 2017 Load History'!Q124</f>
        <v>17536509.350000001</v>
      </c>
      <c r="C86" s="9">
        <f>'Weather Data'!B182</f>
        <v>833.4</v>
      </c>
      <c r="D86" s="9">
        <f>'Weather Data'!C182</f>
        <v>0</v>
      </c>
      <c r="E86" s="9">
        <v>31</v>
      </c>
      <c r="F86" s="9">
        <v>0</v>
      </c>
      <c r="G86" s="18">
        <v>0</v>
      </c>
      <c r="H86" s="38">
        <v>133.97600339315525</v>
      </c>
      <c r="I86" s="218">
        <f>'[11]CoS 2017 Load History'!T124</f>
        <v>17</v>
      </c>
      <c r="J86" s="9">
        <v>319.92</v>
      </c>
      <c r="K86" s="9"/>
      <c r="L86" s="9"/>
      <c r="M86" s="14"/>
    </row>
    <row r="87" spans="1:47" s="35" customFormat="1">
      <c r="A87" s="2">
        <v>38718</v>
      </c>
      <c r="B87" s="90">
        <f>'[11]CoS 2017 Load History'!Q125</f>
        <v>17691106.350000001</v>
      </c>
      <c r="C87" s="9">
        <f>'Weather Data'!B183</f>
        <v>797</v>
      </c>
      <c r="D87" s="9">
        <f>'Weather Data'!C183</f>
        <v>0</v>
      </c>
      <c r="E87" s="9">
        <v>31</v>
      </c>
      <c r="F87" s="9">
        <v>0</v>
      </c>
      <c r="G87" s="18">
        <f>'CDM Activity'!AA19</f>
        <v>0</v>
      </c>
      <c r="H87" s="38">
        <v>134.25197202423305</v>
      </c>
      <c r="I87" s="218">
        <f>'[11]CoS 2017 Load History'!T125</f>
        <v>17</v>
      </c>
      <c r="J87" s="9">
        <v>336.28800000000001</v>
      </c>
      <c r="K87" s="9"/>
      <c r="L87" s="9"/>
      <c r="M87" s="14"/>
      <c r="N87" t="s">
        <v>15</v>
      </c>
      <c r="O87"/>
      <c r="P87"/>
      <c r="Q87"/>
      <c r="R87"/>
      <c r="S87"/>
      <c r="T87"/>
      <c r="U87"/>
      <c r="V87"/>
      <c r="W87"/>
      <c r="X87"/>
      <c r="Y87"/>
      <c r="Z87"/>
      <c r="AA87"/>
      <c r="AB87"/>
      <c r="AC87"/>
      <c r="AD87"/>
      <c r="AE87"/>
      <c r="AF87"/>
      <c r="AG87"/>
      <c r="AH87"/>
      <c r="AI87"/>
      <c r="AJ87"/>
      <c r="AK87"/>
      <c r="AL87"/>
      <c r="AM87"/>
      <c r="AN87"/>
      <c r="AO87"/>
      <c r="AP87"/>
      <c r="AQ87"/>
      <c r="AR87"/>
      <c r="AS87"/>
      <c r="AT87"/>
      <c r="AU87"/>
    </row>
    <row r="88" spans="1:47" ht="13.5" thickBot="1">
      <c r="A88" s="2">
        <v>38749</v>
      </c>
      <c r="B88" s="90">
        <f>'[11]CoS 2017 Load History'!Q126</f>
        <v>15452181.919999994</v>
      </c>
      <c r="C88" s="9">
        <f>'Weather Data'!B184</f>
        <v>873.4</v>
      </c>
      <c r="D88" s="9">
        <f>'Weather Data'!C184</f>
        <v>0</v>
      </c>
      <c r="E88" s="9">
        <v>28</v>
      </c>
      <c r="F88" s="9">
        <v>0</v>
      </c>
      <c r="G88" s="18">
        <f>'CDM Activity'!AA20</f>
        <v>0</v>
      </c>
      <c r="H88" s="38">
        <v>134.52850910550649</v>
      </c>
      <c r="I88" s="218">
        <f>'[11]CoS 2017 Load History'!T126</f>
        <v>17</v>
      </c>
      <c r="J88" s="9">
        <v>319.87200000000001</v>
      </c>
      <c r="K88" s="9"/>
      <c r="L88" s="9"/>
      <c r="M88" s="14"/>
    </row>
    <row r="89" spans="1:47">
      <c r="A89" s="2">
        <v>38777</v>
      </c>
      <c r="B89" s="90">
        <f>'[11]CoS 2017 Load History'!Q127</f>
        <v>17657250.319999997</v>
      </c>
      <c r="C89" s="9">
        <f>'Weather Data'!B185</f>
        <v>659</v>
      </c>
      <c r="D89" s="9">
        <f>'Weather Data'!C185</f>
        <v>0</v>
      </c>
      <c r="E89" s="9">
        <v>31</v>
      </c>
      <c r="F89" s="9">
        <v>1</v>
      </c>
      <c r="G89" s="18">
        <f>'CDM Activity'!AA21</f>
        <v>0</v>
      </c>
      <c r="H89" s="38">
        <v>134.80561580788986</v>
      </c>
      <c r="I89" s="218">
        <f>'[11]CoS 2017 Load History'!T127</f>
        <v>17</v>
      </c>
      <c r="J89" s="9">
        <v>368.28</v>
      </c>
      <c r="K89" s="9"/>
      <c r="L89" s="9"/>
      <c r="M89" s="14"/>
      <c r="N89" s="53" t="s">
        <v>16</v>
      </c>
      <c r="O89" s="53"/>
    </row>
    <row r="90" spans="1:47">
      <c r="A90" s="2">
        <v>38808</v>
      </c>
      <c r="B90" s="90">
        <f>'[11]CoS 2017 Load History'!Q128</f>
        <v>17486841.899999999</v>
      </c>
      <c r="C90" s="9">
        <f>'Weather Data'!B186</f>
        <v>366</v>
      </c>
      <c r="D90" s="9">
        <f>'Weather Data'!C186</f>
        <v>0</v>
      </c>
      <c r="E90" s="9">
        <v>30</v>
      </c>
      <c r="F90" s="9">
        <v>1</v>
      </c>
      <c r="G90" s="18">
        <f>'CDM Activity'!AA22</f>
        <v>0</v>
      </c>
      <c r="H90" s="38">
        <v>135.08329330470943</v>
      </c>
      <c r="I90" s="218">
        <f>'[11]CoS 2017 Load History'!T128</f>
        <v>17</v>
      </c>
      <c r="J90" s="9">
        <v>303.83999999999997</v>
      </c>
      <c r="K90" s="9"/>
      <c r="L90" s="9"/>
      <c r="M90" s="14"/>
      <c r="N90" s="40" t="s">
        <v>17</v>
      </c>
      <c r="O90" s="56">
        <v>0.65655265229935689</v>
      </c>
    </row>
    <row r="91" spans="1:47">
      <c r="A91" s="2">
        <v>38838</v>
      </c>
      <c r="B91" s="90">
        <f>'[11]CoS 2017 Load History'!Q129</f>
        <v>18441116.319999997</v>
      </c>
      <c r="C91" s="9">
        <f>'Weather Data'!B187</f>
        <v>241.5</v>
      </c>
      <c r="D91" s="9">
        <f>'Weather Data'!C187</f>
        <v>2.4</v>
      </c>
      <c r="E91" s="9">
        <v>31</v>
      </c>
      <c r="F91" s="9">
        <v>1</v>
      </c>
      <c r="G91" s="18">
        <f>'CDM Activity'!AA23</f>
        <v>0</v>
      </c>
      <c r="H91" s="38">
        <v>135.36154277170829</v>
      </c>
      <c r="I91" s="218">
        <f>'[11]CoS 2017 Load History'!T129</f>
        <v>17</v>
      </c>
      <c r="J91" s="9">
        <v>351.91199999999998</v>
      </c>
      <c r="K91" s="9"/>
      <c r="L91" s="9"/>
      <c r="M91" s="14"/>
      <c r="N91" s="40" t="s">
        <v>18</v>
      </c>
      <c r="O91" s="56">
        <v>0.43106138524132026</v>
      </c>
    </row>
    <row r="92" spans="1:47">
      <c r="A92" s="2">
        <v>38869</v>
      </c>
      <c r="B92" s="90">
        <f>'[11]CoS 2017 Load History'!Q130</f>
        <v>18070989.899999999</v>
      </c>
      <c r="C92" s="9">
        <f>'Weather Data'!B188</f>
        <v>81.5</v>
      </c>
      <c r="D92" s="9">
        <f>'Weather Data'!C188</f>
        <v>9.3000000000000007</v>
      </c>
      <c r="E92" s="9">
        <v>30</v>
      </c>
      <c r="F92" s="9">
        <v>0</v>
      </c>
      <c r="G92" s="18">
        <f>'CDM Activity'!AA24</f>
        <v>0</v>
      </c>
      <c r="H92" s="38">
        <v>135.64036538705133</v>
      </c>
      <c r="I92" s="218">
        <f>'[11]CoS 2017 Load History'!T130</f>
        <v>17</v>
      </c>
      <c r="J92" s="9">
        <v>352.08</v>
      </c>
      <c r="K92" s="9"/>
      <c r="L92" s="9"/>
      <c r="M92" s="14"/>
      <c r="N92" s="40" t="s">
        <v>19</v>
      </c>
      <c r="O92" s="56">
        <v>0.39005680039384782</v>
      </c>
    </row>
    <row r="93" spans="1:47">
      <c r="A93" s="2">
        <v>38899</v>
      </c>
      <c r="B93" s="90">
        <f>'[11]CoS 2017 Load History'!Q131</f>
        <v>18594098.529999997</v>
      </c>
      <c r="C93" s="9">
        <f>'Weather Data'!B189</f>
        <v>23.2</v>
      </c>
      <c r="D93" s="9">
        <f>'Weather Data'!C189</f>
        <v>70.099999999999994</v>
      </c>
      <c r="E93" s="9">
        <v>31</v>
      </c>
      <c r="F93" s="9">
        <v>0</v>
      </c>
      <c r="G93" s="18">
        <f>'CDM Activity'!AA25</f>
        <v>0</v>
      </c>
      <c r="H93" s="38">
        <v>135.9197623313303</v>
      </c>
      <c r="I93" s="218">
        <f>'[11]CoS 2017 Load History'!T131</f>
        <v>17</v>
      </c>
      <c r="J93" s="9">
        <v>319.92</v>
      </c>
      <c r="K93" s="9"/>
      <c r="L93" s="9"/>
      <c r="M93" s="14"/>
      <c r="N93" s="40" t="s">
        <v>20</v>
      </c>
      <c r="O93" s="63">
        <v>1543135.5500309078</v>
      </c>
    </row>
    <row r="94" spans="1:47" ht="13.5" thickBot="1">
      <c r="A94" s="2">
        <v>38930</v>
      </c>
      <c r="B94" s="90">
        <f>'[11]CoS 2017 Load History'!Q132</f>
        <v>18765961.600000005</v>
      </c>
      <c r="C94" s="9">
        <f>'Weather Data'!B190</f>
        <v>57.7</v>
      </c>
      <c r="D94" s="9">
        <f>'Weather Data'!C190</f>
        <v>31.7</v>
      </c>
      <c r="E94" s="9">
        <v>31</v>
      </c>
      <c r="F94" s="9">
        <v>0</v>
      </c>
      <c r="G94" s="18">
        <f>'CDM Activity'!AA26</f>
        <v>0</v>
      </c>
      <c r="H94" s="38">
        <v>136.19973478756879</v>
      </c>
      <c r="I94" s="218">
        <f>'[11]CoS 2017 Load History'!T132</f>
        <v>17</v>
      </c>
      <c r="J94" s="9">
        <v>351.91199999999998</v>
      </c>
      <c r="K94" s="9"/>
      <c r="L94" s="9"/>
      <c r="M94" s="14"/>
      <c r="N94" s="51" t="s">
        <v>21</v>
      </c>
      <c r="O94" s="51">
        <v>120</v>
      </c>
    </row>
    <row r="95" spans="1:47">
      <c r="A95" s="2">
        <v>38961</v>
      </c>
      <c r="B95" s="90">
        <f>'[11]CoS 2017 Load History'!Q133</f>
        <v>17415884.100000001</v>
      </c>
      <c r="C95" s="9">
        <f>'Weather Data'!B191</f>
        <v>210.5</v>
      </c>
      <c r="D95" s="9">
        <f>'Weather Data'!C191</f>
        <v>1.2</v>
      </c>
      <c r="E95" s="9">
        <v>30</v>
      </c>
      <c r="F95" s="9">
        <v>1</v>
      </c>
      <c r="G95" s="18">
        <f>'CDM Activity'!AA27</f>
        <v>0</v>
      </c>
      <c r="H95" s="38">
        <v>136.48028394122719</v>
      </c>
      <c r="I95" s="218">
        <f>'[11]CoS 2017 Load History'!T133</f>
        <v>17</v>
      </c>
      <c r="J95" s="9">
        <v>319.68</v>
      </c>
      <c r="K95" s="9"/>
      <c r="L95" s="9"/>
      <c r="M95" s="14"/>
    </row>
    <row r="96" spans="1:47" ht="13.5" thickBot="1">
      <c r="A96" s="2">
        <v>38991</v>
      </c>
      <c r="B96" s="90">
        <f>'[11]CoS 2017 Load History'!Q134</f>
        <v>18804253.73</v>
      </c>
      <c r="C96" s="9">
        <f>'Weather Data'!B192</f>
        <v>440.9</v>
      </c>
      <c r="D96" s="9">
        <f>'Weather Data'!C192</f>
        <v>0</v>
      </c>
      <c r="E96" s="9">
        <v>31</v>
      </c>
      <c r="F96" s="9">
        <v>1</v>
      </c>
      <c r="G96" s="18">
        <f>'CDM Activity'!AA28</f>
        <v>0</v>
      </c>
      <c r="H96" s="38">
        <v>136.76141098020776</v>
      </c>
      <c r="I96" s="218">
        <f>'[11]CoS 2017 Load History'!T134</f>
        <v>17</v>
      </c>
      <c r="J96" s="9">
        <v>336.28800000000001</v>
      </c>
      <c r="K96" s="9"/>
      <c r="L96" s="9"/>
      <c r="M96" s="14"/>
      <c r="N96" t="s">
        <v>22</v>
      </c>
    </row>
    <row r="97" spans="1:20">
      <c r="A97" s="2">
        <v>39022</v>
      </c>
      <c r="B97" s="90">
        <f>'[11]CoS 2017 Load History'!Q135</f>
        <v>19335232.199999999</v>
      </c>
      <c r="C97" s="9">
        <f>'Weather Data'!B193</f>
        <v>540.4</v>
      </c>
      <c r="D97" s="9">
        <f>'Weather Data'!C193</f>
        <v>0</v>
      </c>
      <c r="E97" s="9">
        <v>30</v>
      </c>
      <c r="F97" s="9">
        <v>1</v>
      </c>
      <c r="G97" s="18">
        <f>'CDM Activity'!AA29</f>
        <v>0</v>
      </c>
      <c r="H97" s="38">
        <v>137.04311709485967</v>
      </c>
      <c r="I97" s="218">
        <f>'[11]CoS 2017 Load History'!T135</f>
        <v>17</v>
      </c>
      <c r="J97" s="9">
        <v>352.08</v>
      </c>
      <c r="K97" s="9"/>
      <c r="L97" s="9"/>
      <c r="M97" s="14"/>
      <c r="N97" s="52"/>
      <c r="O97" s="52" t="s">
        <v>26</v>
      </c>
      <c r="P97" s="52" t="s">
        <v>27</v>
      </c>
      <c r="Q97" s="52" t="s">
        <v>28</v>
      </c>
      <c r="R97" s="52" t="s">
        <v>29</v>
      </c>
      <c r="S97" s="52" t="s">
        <v>30</v>
      </c>
    </row>
    <row r="98" spans="1:20">
      <c r="A98" s="2">
        <v>39052</v>
      </c>
      <c r="B98" s="90">
        <f>'[11]CoS 2017 Load History'!Q136</f>
        <v>18495169.470000003</v>
      </c>
      <c r="C98" s="9">
        <f>'Weather Data'!B194</f>
        <v>747.4</v>
      </c>
      <c r="D98" s="9">
        <f>'Weather Data'!C194</f>
        <v>0</v>
      </c>
      <c r="E98" s="9">
        <v>31</v>
      </c>
      <c r="F98" s="9">
        <v>0</v>
      </c>
      <c r="G98" s="18">
        <f>'CDM Activity'!AA30</f>
        <v>0</v>
      </c>
      <c r="H98" s="38">
        <v>137.32540347798411</v>
      </c>
      <c r="I98" s="218">
        <f>'[11]CoS 2017 Load History'!T136</f>
        <v>17</v>
      </c>
      <c r="J98" s="9">
        <v>304.29599999999999</v>
      </c>
      <c r="K98" s="9"/>
      <c r="L98" s="9"/>
      <c r="M98" s="14"/>
      <c r="N98" s="40" t="s">
        <v>23</v>
      </c>
      <c r="O98" s="40">
        <v>8</v>
      </c>
      <c r="P98" s="40">
        <v>200264901282469.28</v>
      </c>
      <c r="Q98" s="40">
        <v>25033112660308.66</v>
      </c>
      <c r="R98" s="40">
        <v>10.51251675501091</v>
      </c>
      <c r="S98" s="40">
        <v>6.9377445050499883E-11</v>
      </c>
    </row>
    <row r="99" spans="1:20">
      <c r="A99" s="2">
        <v>39083</v>
      </c>
      <c r="B99" s="90">
        <f>'[11]CoS 2017 Load History'!Q137</f>
        <v>18444795.820000004</v>
      </c>
      <c r="C99" s="9">
        <f>'Weather Data'!B195</f>
        <v>913.4</v>
      </c>
      <c r="D99" s="9">
        <f>'Weather Data'!C195</f>
        <v>0</v>
      </c>
      <c r="E99" s="9">
        <v>31</v>
      </c>
      <c r="F99" s="9">
        <v>0</v>
      </c>
      <c r="G99" s="18">
        <f>'CDM Activity'!AA31</f>
        <v>0</v>
      </c>
      <c r="H99" s="38">
        <v>137.552207546647</v>
      </c>
      <c r="I99" s="218">
        <f>'[11]CoS 2017 Load History'!T137</f>
        <v>17</v>
      </c>
      <c r="J99" s="9">
        <v>351.91199999999998</v>
      </c>
      <c r="K99" s="9"/>
      <c r="L99" s="9"/>
      <c r="M99" s="14"/>
      <c r="N99" s="40" t="s">
        <v>24</v>
      </c>
      <c r="O99" s="40">
        <v>111</v>
      </c>
      <c r="P99" s="40">
        <v>264320673160380.34</v>
      </c>
      <c r="Q99" s="40">
        <v>2381267325769.1924</v>
      </c>
      <c r="R99" s="40"/>
      <c r="S99" s="40"/>
    </row>
    <row r="100" spans="1:20" ht="13.5" thickBot="1">
      <c r="A100" s="2">
        <v>39114</v>
      </c>
      <c r="B100" s="90">
        <f>'[11]CoS 2017 Load History'!Q138</f>
        <v>16548944.210000001</v>
      </c>
      <c r="C100" s="9">
        <f>'Weather Data'!B196</f>
        <v>924.7</v>
      </c>
      <c r="D100" s="9">
        <f>'Weather Data'!C196</f>
        <v>0</v>
      </c>
      <c r="E100" s="9">
        <v>28</v>
      </c>
      <c r="F100" s="9">
        <v>0</v>
      </c>
      <c r="G100" s="18">
        <f>'CDM Activity'!AA32</f>
        <v>0</v>
      </c>
      <c r="H100" s="38">
        <v>137.77938620066888</v>
      </c>
      <c r="I100" s="218">
        <f>'[11]CoS 2017 Load History'!T138</f>
        <v>17</v>
      </c>
      <c r="J100" s="9">
        <v>319.87200000000001</v>
      </c>
      <c r="K100" s="9"/>
      <c r="L100" s="9"/>
      <c r="M100" s="14"/>
      <c r="N100" s="51" t="s">
        <v>5</v>
      </c>
      <c r="O100" s="51">
        <v>119</v>
      </c>
      <c r="P100" s="51">
        <v>464585574442849.62</v>
      </c>
      <c r="Q100" s="51"/>
      <c r="R100" s="51"/>
      <c r="S100" s="51"/>
    </row>
    <row r="101" spans="1:20" ht="13.5" thickBot="1">
      <c r="A101" s="2">
        <v>39142</v>
      </c>
      <c r="B101" s="90">
        <f>'[11]CoS 2017 Load History'!Q139</f>
        <v>18208968.48</v>
      </c>
      <c r="C101" s="9">
        <f>'Weather Data'!B197</f>
        <v>665</v>
      </c>
      <c r="D101" s="9">
        <f>'Weather Data'!C197</f>
        <v>0</v>
      </c>
      <c r="E101" s="9">
        <v>31</v>
      </c>
      <c r="F101" s="9">
        <v>1</v>
      </c>
      <c r="G101" s="18">
        <f>'CDM Activity'!AA33</f>
        <v>0</v>
      </c>
      <c r="H101" s="38">
        <v>138.00694005870795</v>
      </c>
      <c r="I101" s="218">
        <f>'[11]CoS 2017 Load History'!T139</f>
        <v>17</v>
      </c>
      <c r="J101" s="9">
        <v>351.91199999999998</v>
      </c>
      <c r="K101" s="9"/>
      <c r="L101" s="9"/>
      <c r="M101" s="14"/>
    </row>
    <row r="102" spans="1:20">
      <c r="A102" s="2">
        <v>39173</v>
      </c>
      <c r="B102" s="90">
        <f>'[11]CoS 2017 Load History'!Q140</f>
        <v>18525051.899999999</v>
      </c>
      <c r="C102" s="9">
        <f>'Weather Data'!B198</f>
        <v>474.1</v>
      </c>
      <c r="D102" s="9">
        <f>'Weather Data'!C198</f>
        <v>0</v>
      </c>
      <c r="E102" s="9">
        <v>30</v>
      </c>
      <c r="F102" s="9">
        <v>1</v>
      </c>
      <c r="G102" s="18">
        <f>'CDM Activity'!AA34</f>
        <v>0</v>
      </c>
      <c r="H102" s="38">
        <v>138.23486974044414</v>
      </c>
      <c r="I102" s="218">
        <f>'[11]CoS 2017 Load History'!T140</f>
        <v>17</v>
      </c>
      <c r="J102" s="9">
        <v>319.68</v>
      </c>
      <c r="K102" s="9"/>
      <c r="L102" s="9"/>
      <c r="M102" s="14"/>
      <c r="N102" s="52"/>
      <c r="O102" s="52" t="s">
        <v>31</v>
      </c>
      <c r="P102" s="52" t="s">
        <v>20</v>
      </c>
      <c r="Q102" s="52" t="s">
        <v>32</v>
      </c>
      <c r="R102" s="52" t="s">
        <v>33</v>
      </c>
      <c r="S102" s="52" t="s">
        <v>34</v>
      </c>
      <c r="T102" s="52" t="s">
        <v>35</v>
      </c>
    </row>
    <row r="103" spans="1:20">
      <c r="A103" s="2">
        <v>39203</v>
      </c>
      <c r="B103" s="90">
        <f>'[11]CoS 2017 Load History'!Q141</f>
        <v>18887712.240000002</v>
      </c>
      <c r="C103" s="9">
        <f>'Weather Data'!B199</f>
        <v>250.9</v>
      </c>
      <c r="D103" s="9">
        <f>'Weather Data'!C199</f>
        <v>0.6</v>
      </c>
      <c r="E103" s="9">
        <v>31</v>
      </c>
      <c r="F103" s="9">
        <v>1</v>
      </c>
      <c r="G103" s="18">
        <f>'CDM Activity'!AA35</f>
        <v>0</v>
      </c>
      <c r="H103" s="38">
        <v>138.46317586658083</v>
      </c>
      <c r="I103" s="218">
        <f>'[11]CoS 2017 Load History'!T141</f>
        <v>18</v>
      </c>
      <c r="J103" s="9">
        <v>351.91199999999998</v>
      </c>
      <c r="K103" s="9"/>
      <c r="L103" s="9"/>
      <c r="M103" s="14"/>
      <c r="N103" s="40" t="s">
        <v>25</v>
      </c>
      <c r="O103" s="63">
        <v>38565289.573353641</v>
      </c>
      <c r="P103" s="40">
        <v>8650676.0329397488</v>
      </c>
      <c r="Q103" s="54">
        <v>4.4580665634114665</v>
      </c>
      <c r="R103" s="40">
        <v>1.9872210749217498E-5</v>
      </c>
      <c r="S103" s="63">
        <v>21423397.520255655</v>
      </c>
      <c r="T103" s="63">
        <v>55707181.626451626</v>
      </c>
    </row>
    <row r="104" spans="1:20">
      <c r="A104" s="2">
        <v>39234</v>
      </c>
      <c r="B104" s="90">
        <f>'[11]CoS 2017 Load History'!Q142</f>
        <v>16968325.600000001</v>
      </c>
      <c r="C104" s="9">
        <f>'Weather Data'!B200</f>
        <v>96.7</v>
      </c>
      <c r="D104" s="9">
        <f>'Weather Data'!C200</f>
        <v>6.5</v>
      </c>
      <c r="E104" s="9">
        <v>30</v>
      </c>
      <c r="F104" s="9">
        <v>0</v>
      </c>
      <c r="G104" s="18">
        <f>'CDM Activity'!AA36</f>
        <v>0</v>
      </c>
      <c r="H104" s="38">
        <v>138.69185905884657</v>
      </c>
      <c r="I104" s="218">
        <f>'[11]CoS 2017 Load History'!T142</f>
        <v>18</v>
      </c>
      <c r="J104" s="9">
        <v>336.24</v>
      </c>
      <c r="K104" s="9"/>
      <c r="L104" s="9"/>
      <c r="M104" s="14"/>
      <c r="N104" s="40" t="s">
        <v>1</v>
      </c>
      <c r="O104" s="63">
        <v>-125.75848378171973</v>
      </c>
      <c r="P104" s="40">
        <v>571.93471466172048</v>
      </c>
      <c r="Q104" s="54">
        <v>-0.21988258547324149</v>
      </c>
      <c r="R104" s="40">
        <v>0.826366470178024</v>
      </c>
      <c r="S104" s="63">
        <v>-1259.0853015725038</v>
      </c>
      <c r="T104" s="63">
        <v>1007.5683340090644</v>
      </c>
    </row>
    <row r="105" spans="1:20">
      <c r="A105" s="2">
        <v>39264</v>
      </c>
      <c r="B105" s="90">
        <f>'[11]CoS 2017 Load History'!Q143</f>
        <v>16940072.219999999</v>
      </c>
      <c r="C105" s="9">
        <f>'Weather Data'!B201</f>
        <v>40.200000000000003</v>
      </c>
      <c r="D105" s="9">
        <f>'Weather Data'!C201</f>
        <v>51.8</v>
      </c>
      <c r="E105" s="9">
        <v>31</v>
      </c>
      <c r="F105" s="9">
        <v>0</v>
      </c>
      <c r="G105" s="18">
        <f>'CDM Activity'!AA37</f>
        <v>0</v>
      </c>
      <c r="H105" s="38">
        <v>138.92091993999671</v>
      </c>
      <c r="I105" s="218">
        <f>'[11]CoS 2017 Load History'!T143</f>
        <v>18</v>
      </c>
      <c r="J105" s="9">
        <v>336.28800000000001</v>
      </c>
      <c r="K105" s="9"/>
      <c r="L105" s="9"/>
      <c r="M105" s="14"/>
      <c r="N105" s="40" t="s">
        <v>2</v>
      </c>
      <c r="O105" s="63">
        <v>-8357.1123601106337</v>
      </c>
      <c r="P105" s="40">
        <v>13814.270743850409</v>
      </c>
      <c r="Q105" s="54">
        <v>-0.60496225353270305</v>
      </c>
      <c r="R105" s="40">
        <v>0.54643883821688211</v>
      </c>
      <c r="S105" s="63">
        <v>-35731.012039356967</v>
      </c>
      <c r="T105" s="63">
        <v>19016.787319135703</v>
      </c>
    </row>
    <row r="106" spans="1:20">
      <c r="A106" s="2">
        <v>39295</v>
      </c>
      <c r="B106" s="90">
        <f>'[11]CoS 2017 Load History'!Q144</f>
        <v>16301017.990000002</v>
      </c>
      <c r="C106" s="9">
        <f>'Weather Data'!B202</f>
        <v>62.9</v>
      </c>
      <c r="D106" s="9">
        <f>'Weather Data'!C202</f>
        <v>22.1</v>
      </c>
      <c r="E106" s="9">
        <v>31</v>
      </c>
      <c r="F106" s="9">
        <v>0</v>
      </c>
      <c r="G106" s="18">
        <f>'CDM Activity'!AA38</f>
        <v>0</v>
      </c>
      <c r="H106" s="38">
        <v>139.15035913381516</v>
      </c>
      <c r="I106" s="218">
        <f>'[11]CoS 2017 Load History'!T144</f>
        <v>18</v>
      </c>
      <c r="J106" s="9">
        <v>351.91199999999998</v>
      </c>
      <c r="K106" s="9"/>
      <c r="L106" s="9"/>
      <c r="M106" s="14"/>
      <c r="N106" s="40" t="s">
        <v>3</v>
      </c>
      <c r="O106" s="63">
        <v>650609.13631989353</v>
      </c>
      <c r="P106" s="40">
        <v>202516.42108346234</v>
      </c>
      <c r="Q106" s="54">
        <v>3.2126241064262162</v>
      </c>
      <c r="R106" s="40">
        <v>1.721639198746232E-3</v>
      </c>
      <c r="S106" s="63">
        <v>249309.32853912195</v>
      </c>
      <c r="T106" s="63">
        <v>1051908.9441006652</v>
      </c>
    </row>
    <row r="107" spans="1:20">
      <c r="A107" s="2">
        <v>39326</v>
      </c>
      <c r="B107" s="90">
        <f>'[11]CoS 2017 Load History'!Q145</f>
        <v>15425880</v>
      </c>
      <c r="C107" s="9">
        <f>'Weather Data'!B203</f>
        <v>164.7</v>
      </c>
      <c r="D107" s="9">
        <f>'Weather Data'!C203</f>
        <v>9.6</v>
      </c>
      <c r="E107" s="9">
        <v>30</v>
      </c>
      <c r="F107" s="9">
        <v>1</v>
      </c>
      <c r="G107" s="18">
        <f>'CDM Activity'!AA39</f>
        <v>0</v>
      </c>
      <c r="H107" s="38">
        <v>139.38017726511606</v>
      </c>
      <c r="I107" s="218">
        <f>'[11]CoS 2017 Load History'!T145</f>
        <v>18</v>
      </c>
      <c r="J107" s="9">
        <v>303.83999999999997</v>
      </c>
      <c r="K107" s="9"/>
      <c r="L107" s="9"/>
      <c r="M107" s="14"/>
      <c r="N107" s="40" t="s">
        <v>14</v>
      </c>
      <c r="O107" s="63">
        <v>174185.02305400532</v>
      </c>
      <c r="P107" s="40">
        <v>338672.71358111256</v>
      </c>
      <c r="Q107" s="54">
        <v>0.51431667231817824</v>
      </c>
      <c r="R107" s="40">
        <v>0.608053089221958</v>
      </c>
      <c r="S107" s="63">
        <v>-496917.56770667667</v>
      </c>
      <c r="T107" s="63">
        <v>845287.61381468736</v>
      </c>
    </row>
    <row r="108" spans="1:20">
      <c r="A108" s="2">
        <v>39356</v>
      </c>
      <c r="B108" s="90">
        <f>'[11]CoS 2017 Load History'!Q146</f>
        <v>17277462.809999999</v>
      </c>
      <c r="C108" s="9">
        <f>'Weather Data'!B204</f>
        <v>310.60000000000002</v>
      </c>
      <c r="D108" s="9">
        <f>'Weather Data'!C204</f>
        <v>0</v>
      </c>
      <c r="E108" s="9">
        <v>31</v>
      </c>
      <c r="F108" s="9">
        <v>1</v>
      </c>
      <c r="G108" s="18">
        <f>'CDM Activity'!AA40</f>
        <v>0</v>
      </c>
      <c r="H108" s="38">
        <v>139.61037495974546</v>
      </c>
      <c r="I108" s="218">
        <f>'[11]CoS 2017 Load History'!T146</f>
        <v>18</v>
      </c>
      <c r="J108" s="9">
        <v>351.91199999999998</v>
      </c>
      <c r="K108" s="9"/>
      <c r="L108" s="9"/>
      <c r="M108" s="14"/>
      <c r="N108" s="40" t="s">
        <v>56</v>
      </c>
      <c r="O108" s="54">
        <v>2.8769648450504404</v>
      </c>
      <c r="P108" s="40">
        <v>0.62967763425423839</v>
      </c>
      <c r="Q108" s="54">
        <v>4.5689487581336552</v>
      </c>
      <c r="R108" s="40">
        <v>1.2777140453188827E-5</v>
      </c>
      <c r="S108" s="54">
        <v>1.6292165773386735</v>
      </c>
      <c r="T108" s="54">
        <v>4.1247131127622074</v>
      </c>
    </row>
    <row r="109" spans="1:20">
      <c r="A109" s="2">
        <v>39387</v>
      </c>
      <c r="B109" s="90">
        <f>'[11]CoS 2017 Load History'!Q147</f>
        <v>16688817.899999999</v>
      </c>
      <c r="C109" s="9">
        <f>'Weather Data'!B205</f>
        <v>620.29999999999995</v>
      </c>
      <c r="D109" s="9">
        <f>'Weather Data'!C205</f>
        <v>0</v>
      </c>
      <c r="E109" s="9">
        <v>30</v>
      </c>
      <c r="F109" s="9">
        <v>1</v>
      </c>
      <c r="G109" s="18">
        <f>'CDM Activity'!AA41</f>
        <v>0</v>
      </c>
      <c r="H109" s="38">
        <v>139.84095284458306</v>
      </c>
      <c r="I109" s="218">
        <f>'[11]CoS 2017 Load History'!T147</f>
        <v>18</v>
      </c>
      <c r="J109" s="9">
        <v>352.08</v>
      </c>
      <c r="K109" s="9"/>
      <c r="L109" s="9"/>
      <c r="M109" s="14"/>
      <c r="N109" s="40" t="s">
        <v>4</v>
      </c>
      <c r="O109" s="54">
        <v>-224682.29093314143</v>
      </c>
      <c r="P109" s="40">
        <v>48262.819204866842</v>
      </c>
      <c r="Q109" s="54">
        <v>-4.6553909331198868</v>
      </c>
      <c r="R109" s="40">
        <v>9.0141525280886045E-6</v>
      </c>
      <c r="S109" s="54">
        <v>-320318.28907222167</v>
      </c>
      <c r="T109" s="54">
        <v>-129046.29279406118</v>
      </c>
    </row>
    <row r="110" spans="1:20">
      <c r="A110" s="2">
        <v>39417</v>
      </c>
      <c r="B110" s="90">
        <f>'[11]CoS 2017 Load History'!Q148</f>
        <v>16425525.790000003</v>
      </c>
      <c r="C110" s="9">
        <f>'Weather Data'!B206</f>
        <v>925.8</v>
      </c>
      <c r="D110" s="9">
        <f>'Weather Data'!C206</f>
        <v>0</v>
      </c>
      <c r="E110" s="9">
        <v>31</v>
      </c>
      <c r="F110" s="9">
        <v>0</v>
      </c>
      <c r="G110" s="18">
        <f>'CDM Activity'!AA42</f>
        <v>0</v>
      </c>
      <c r="H110" s="38">
        <v>140.07191154754381</v>
      </c>
      <c r="I110" s="218">
        <f>'[11]CoS 2017 Load History'!T148</f>
        <v>18</v>
      </c>
      <c r="J110" s="9">
        <v>304.29599999999999</v>
      </c>
      <c r="K110" s="9"/>
      <c r="L110" s="9"/>
      <c r="M110" s="14"/>
      <c r="N110" s="40" t="s">
        <v>49</v>
      </c>
      <c r="O110" s="54">
        <v>-743420.35445320792</v>
      </c>
      <c r="P110" s="40">
        <v>130196.04577250803</v>
      </c>
      <c r="Q110" s="54">
        <v>-5.7100071668243189</v>
      </c>
      <c r="R110" s="40">
        <v>9.5645460397021913E-8</v>
      </c>
      <c r="S110" s="54">
        <v>-1001412.510658612</v>
      </c>
      <c r="T110" s="54">
        <v>-485428.19824780384</v>
      </c>
    </row>
    <row r="111" spans="1:20" ht="13.5" thickBot="1">
      <c r="A111" s="2">
        <v>39448</v>
      </c>
      <c r="B111" s="90">
        <f>'[11]CoS 2017 Load History'!Q149</f>
        <v>15433819.340000002</v>
      </c>
      <c r="C111" s="9">
        <f>'Weather Data'!B207</f>
        <v>934.70000000000016</v>
      </c>
      <c r="D111" s="9">
        <f>'Weather Data'!C207</f>
        <v>0</v>
      </c>
      <c r="E111" s="9">
        <v>31</v>
      </c>
      <c r="F111" s="9">
        <v>0</v>
      </c>
      <c r="G111" s="18">
        <f>'CDM Activity'!AA43</f>
        <v>0</v>
      </c>
      <c r="H111" s="37">
        <v>139.96642175819056</v>
      </c>
      <c r="I111" s="218">
        <f>'[11]CoS 2017 Load History'!T149</f>
        <v>18</v>
      </c>
      <c r="J111" s="1">
        <v>352</v>
      </c>
      <c r="K111" s="9"/>
      <c r="L111" s="9"/>
      <c r="N111" s="227" t="str">
        <f>J2</f>
        <v>Number of Peak Hours</v>
      </c>
      <c r="O111" s="55">
        <v>4043.386337882248</v>
      </c>
      <c r="P111" s="51">
        <v>9253.3801234854272</v>
      </c>
      <c r="Q111" s="55">
        <v>0.43696317279995678</v>
      </c>
      <c r="R111" s="51">
        <v>0.66298694488179821</v>
      </c>
      <c r="S111" s="55">
        <v>-14292.804105394118</v>
      </c>
      <c r="T111" s="55">
        <v>22379.576781158612</v>
      </c>
    </row>
    <row r="112" spans="1:20">
      <c r="A112" s="2">
        <v>39479</v>
      </c>
      <c r="B112" s="90">
        <f>'[11]CoS 2017 Load History'!Q150</f>
        <v>13552462.119999997</v>
      </c>
      <c r="C112" s="9">
        <f>'Weather Data'!B208</f>
        <v>921.50000000000011</v>
      </c>
      <c r="D112" s="9">
        <f>'Weather Data'!C208</f>
        <v>0</v>
      </c>
      <c r="E112" s="9">
        <v>29</v>
      </c>
      <c r="F112" s="9">
        <v>0</v>
      </c>
      <c r="G112" s="18">
        <f>'CDM Activity'!AA44</f>
        <v>0</v>
      </c>
      <c r="H112" s="37">
        <v>139.86101141442734</v>
      </c>
      <c r="I112" s="218">
        <f>'[11]CoS 2017 Load History'!T150</f>
        <v>18</v>
      </c>
      <c r="J112" s="1">
        <v>320</v>
      </c>
      <c r="K112" s="9"/>
      <c r="L112" s="9"/>
    </row>
    <row r="113" spans="1:13">
      <c r="A113" s="2">
        <v>39508</v>
      </c>
      <c r="B113" s="90">
        <f>'[11]CoS 2017 Load History'!Q151</f>
        <v>14076207.82</v>
      </c>
      <c r="C113" s="9">
        <f>'Weather Data'!B209</f>
        <v>791.9</v>
      </c>
      <c r="D113" s="9">
        <f>'Weather Data'!C209</f>
        <v>0</v>
      </c>
      <c r="E113" s="9">
        <v>31</v>
      </c>
      <c r="F113" s="9">
        <v>1</v>
      </c>
      <c r="G113" s="18">
        <f>'CDM Activity'!AA45</f>
        <v>0</v>
      </c>
      <c r="H113" s="37">
        <v>139.75568045642274</v>
      </c>
      <c r="I113" s="218">
        <f>'[11]CoS 2017 Load History'!T151</f>
        <v>18</v>
      </c>
      <c r="J113" s="1">
        <v>304</v>
      </c>
      <c r="K113" s="9"/>
      <c r="L113" s="9"/>
    </row>
    <row r="114" spans="1:13">
      <c r="A114" s="2">
        <v>39539</v>
      </c>
      <c r="B114" s="90">
        <f>'[11]CoS 2017 Load History'!Q152</f>
        <v>14985288</v>
      </c>
      <c r="C114" s="9">
        <f>'Weather Data'!B210</f>
        <v>456.89999999999986</v>
      </c>
      <c r="D114" s="9">
        <f>'Weather Data'!C210</f>
        <v>0</v>
      </c>
      <c r="E114" s="9">
        <v>30</v>
      </c>
      <c r="F114" s="9">
        <v>1</v>
      </c>
      <c r="G114" s="18">
        <f>'CDM Activity'!AA46</f>
        <v>0</v>
      </c>
      <c r="H114" s="37">
        <v>139.65042882439042</v>
      </c>
      <c r="I114" s="218">
        <f>'[11]CoS 2017 Load History'!T152</f>
        <v>18</v>
      </c>
      <c r="J114" s="1">
        <v>352</v>
      </c>
      <c r="K114" s="9"/>
      <c r="L114" s="9"/>
    </row>
    <row r="115" spans="1:13">
      <c r="A115" s="2">
        <v>39569</v>
      </c>
      <c r="B115" s="90">
        <f>'[11]CoS 2017 Load History'!Q153</f>
        <v>15583445.800000001</v>
      </c>
      <c r="C115" s="9">
        <f>'Weather Data'!B211</f>
        <v>327.7</v>
      </c>
      <c r="D115" s="9">
        <f>'Weather Data'!C211</f>
        <v>0</v>
      </c>
      <c r="E115" s="9">
        <v>31</v>
      </c>
      <c r="F115" s="9">
        <v>1</v>
      </c>
      <c r="G115" s="18">
        <f>'CDM Activity'!AA47</f>
        <v>0</v>
      </c>
      <c r="H115" s="37">
        <v>139.54525645858905</v>
      </c>
      <c r="I115" s="218">
        <f>'[11]CoS 2017 Load History'!T153</f>
        <v>18</v>
      </c>
      <c r="J115" s="1">
        <v>336</v>
      </c>
      <c r="K115" s="9"/>
      <c r="L115" s="9"/>
    </row>
    <row r="116" spans="1:13">
      <c r="A116" s="2">
        <v>39600</v>
      </c>
      <c r="B116" s="90">
        <f>'[11]CoS 2017 Load History'!Q154</f>
        <v>15296954.100000001</v>
      </c>
      <c r="C116" s="9">
        <f>'Weather Data'!B212</f>
        <v>109.89999999999998</v>
      </c>
      <c r="D116" s="9">
        <f>'Weather Data'!C212</f>
        <v>4.5999999999999996</v>
      </c>
      <c r="E116" s="9">
        <v>30</v>
      </c>
      <c r="F116" s="9">
        <v>0</v>
      </c>
      <c r="G116" s="18">
        <f>'CDM Activity'!AA48</f>
        <v>0</v>
      </c>
      <c r="H116" s="37">
        <v>139.44016329932234</v>
      </c>
      <c r="I116" s="218">
        <f>'[11]CoS 2017 Load History'!T154</f>
        <v>18</v>
      </c>
      <c r="J116" s="1">
        <v>336</v>
      </c>
      <c r="K116" s="9"/>
      <c r="L116" s="9"/>
    </row>
    <row r="117" spans="1:13">
      <c r="A117" s="2">
        <v>39630</v>
      </c>
      <c r="B117" s="90">
        <f>'[11]CoS 2017 Load History'!Q155</f>
        <v>15596493.390000002</v>
      </c>
      <c r="C117" s="9">
        <f>'Weather Data'!B213</f>
        <v>34.700000000000003</v>
      </c>
      <c r="D117" s="9">
        <f>'Weather Data'!C213</f>
        <v>22.1</v>
      </c>
      <c r="E117" s="9">
        <v>31</v>
      </c>
      <c r="F117" s="9">
        <v>0</v>
      </c>
      <c r="G117" s="18">
        <f>'CDM Activity'!AA49</f>
        <v>0</v>
      </c>
      <c r="H117" s="37">
        <v>139.3351492869389</v>
      </c>
      <c r="I117" s="218">
        <f>'[11]CoS 2017 Load History'!T155</f>
        <v>18</v>
      </c>
      <c r="J117" s="1">
        <v>352</v>
      </c>
      <c r="K117" s="9"/>
      <c r="L117" s="9"/>
    </row>
    <row r="118" spans="1:13">
      <c r="A118" s="2">
        <v>39661</v>
      </c>
      <c r="B118" s="90">
        <f>'[11]CoS 2017 Load History'!Q156</f>
        <v>14364401.57</v>
      </c>
      <c r="C118" s="9">
        <f>'Weather Data'!B214</f>
        <v>50.400000000000006</v>
      </c>
      <c r="D118" s="9">
        <f>'Weather Data'!C214</f>
        <v>22.200000000000003</v>
      </c>
      <c r="E118" s="9">
        <v>31</v>
      </c>
      <c r="F118" s="9">
        <v>0</v>
      </c>
      <c r="G118" s="18">
        <f>'CDM Activity'!AA50</f>
        <v>0</v>
      </c>
      <c r="H118" s="37">
        <v>139.23021436183228</v>
      </c>
      <c r="I118" s="218">
        <f>'[11]CoS 2017 Load History'!T156</f>
        <v>18</v>
      </c>
      <c r="J118" s="1">
        <v>320</v>
      </c>
      <c r="K118" s="9"/>
      <c r="L118" s="9"/>
    </row>
    <row r="119" spans="1:13">
      <c r="A119" s="2">
        <v>39692</v>
      </c>
      <c r="B119" s="90">
        <f>'[11]CoS 2017 Load History'!Q157</f>
        <v>14397393.9</v>
      </c>
      <c r="C119" s="9">
        <f>'Weather Data'!B215</f>
        <v>193.29999999999998</v>
      </c>
      <c r="D119" s="9">
        <f>'Weather Data'!C215</f>
        <v>7</v>
      </c>
      <c r="E119" s="9">
        <v>30</v>
      </c>
      <c r="F119" s="9">
        <v>1</v>
      </c>
      <c r="G119" s="18">
        <f>'CDM Activity'!AA51</f>
        <v>0</v>
      </c>
      <c r="H119" s="37">
        <v>139.12535846444095</v>
      </c>
      <c r="I119" s="218">
        <f>'[11]CoS 2017 Load History'!T157</f>
        <v>18</v>
      </c>
      <c r="J119" s="1">
        <v>336</v>
      </c>
      <c r="K119" s="9"/>
      <c r="L119" s="9"/>
    </row>
    <row r="120" spans="1:13">
      <c r="A120" s="2">
        <v>39722</v>
      </c>
      <c r="B120" s="90">
        <f>'[11]CoS 2017 Load History'!Q158</f>
        <v>15502425.75</v>
      </c>
      <c r="C120" s="9">
        <f>'Weather Data'!B216</f>
        <v>373.09999999999997</v>
      </c>
      <c r="D120" s="9">
        <f>'Weather Data'!C216</f>
        <v>0</v>
      </c>
      <c r="E120" s="9">
        <v>31</v>
      </c>
      <c r="F120" s="9">
        <v>1</v>
      </c>
      <c r="G120" s="18">
        <f>'CDM Activity'!AA52</f>
        <v>0</v>
      </c>
      <c r="H120" s="37">
        <v>139.02058153524823</v>
      </c>
      <c r="I120" s="218">
        <f>'[11]CoS 2017 Load History'!T158</f>
        <v>18</v>
      </c>
      <c r="J120" s="1">
        <v>352</v>
      </c>
      <c r="K120" s="9"/>
      <c r="L120" s="9"/>
    </row>
    <row r="121" spans="1:13">
      <c r="A121" s="2">
        <v>39753</v>
      </c>
      <c r="B121" s="90">
        <f>'[11]CoS 2017 Load History'!Q159</f>
        <v>16120384.199999999</v>
      </c>
      <c r="C121" s="9">
        <f>'Weather Data'!B217</f>
        <v>591.00000000000011</v>
      </c>
      <c r="D121" s="9">
        <f>'Weather Data'!C217</f>
        <v>0</v>
      </c>
      <c r="E121" s="9">
        <v>30</v>
      </c>
      <c r="F121" s="9">
        <v>1</v>
      </c>
      <c r="G121" s="18">
        <f>'CDM Activity'!AA53</f>
        <v>0</v>
      </c>
      <c r="H121" s="37">
        <v>138.91588351478222</v>
      </c>
      <c r="I121" s="218">
        <f>'[11]CoS 2017 Load History'!T159</f>
        <v>18</v>
      </c>
      <c r="J121" s="1">
        <v>304</v>
      </c>
      <c r="K121" s="9"/>
      <c r="L121" s="9"/>
    </row>
    <row r="122" spans="1:13">
      <c r="A122" s="2">
        <v>39783</v>
      </c>
      <c r="B122" s="90">
        <f>'[11]CoS 2017 Load History'!Q160</f>
        <v>16570154.409999998</v>
      </c>
      <c r="C122" s="9">
        <f>'Weather Data'!B218</f>
        <v>1033.7999999999997</v>
      </c>
      <c r="D122" s="9">
        <f>'Weather Data'!C218</f>
        <v>0</v>
      </c>
      <c r="E122" s="9">
        <v>31</v>
      </c>
      <c r="F122" s="9">
        <v>0</v>
      </c>
      <c r="G122" s="18">
        <f>'CDM Activity'!AA54</f>
        <v>0</v>
      </c>
      <c r="H122" s="37">
        <v>138.8112643436159</v>
      </c>
      <c r="I122" s="218">
        <f>'[11]CoS 2017 Load History'!T160</f>
        <v>18</v>
      </c>
      <c r="J122" s="1">
        <v>336</v>
      </c>
      <c r="K122" s="9"/>
      <c r="L122" s="9"/>
      <c r="M122" s="24"/>
    </row>
    <row r="123" spans="1:13">
      <c r="A123" s="2">
        <v>39814</v>
      </c>
      <c r="B123" s="90">
        <f>'[11]CoS 2017 Load History'!Q161</f>
        <v>14444840.290000001</v>
      </c>
      <c r="C123" s="9">
        <f>'Weather Data'!B219</f>
        <v>1093.3999999999996</v>
      </c>
      <c r="D123" s="9">
        <f>'Weather Data'!C219</f>
        <v>0</v>
      </c>
      <c r="E123" s="9">
        <v>31</v>
      </c>
      <c r="F123" s="9">
        <v>0</v>
      </c>
      <c r="G123" s="18">
        <f>'CDM Activity'!AA55</f>
        <v>71.949125060016001</v>
      </c>
      <c r="H123" s="37">
        <v>138.43555825854429</v>
      </c>
      <c r="I123" s="218">
        <f>'[11]CoS 2017 Load History'!T161</f>
        <v>19</v>
      </c>
      <c r="J123" s="1">
        <v>336</v>
      </c>
      <c r="K123" s="9"/>
      <c r="L123" s="9"/>
    </row>
    <row r="124" spans="1:13">
      <c r="A124" s="2">
        <v>39845</v>
      </c>
      <c r="B124" s="90">
        <f>'[11]CoS 2017 Load History'!Q162</f>
        <v>12291525.680000002</v>
      </c>
      <c r="C124" s="9">
        <f>'Weather Data'!B220</f>
        <v>838.90000000000009</v>
      </c>
      <c r="D124" s="9">
        <f>'Weather Data'!C220</f>
        <v>0</v>
      </c>
      <c r="E124" s="9">
        <v>28</v>
      </c>
      <c r="F124" s="9">
        <v>0</v>
      </c>
      <c r="G124" s="18">
        <f>'CDM Activity'!AA56</f>
        <v>143.898250120032</v>
      </c>
      <c r="H124" s="37">
        <v>138.06086905825526</v>
      </c>
      <c r="I124" s="218">
        <f>'[11]CoS 2017 Load History'!T162</f>
        <v>19</v>
      </c>
      <c r="J124" s="1">
        <v>304</v>
      </c>
      <c r="K124" s="9"/>
      <c r="L124" s="9"/>
    </row>
    <row r="125" spans="1:13">
      <c r="A125" s="2">
        <v>39873</v>
      </c>
      <c r="B125" s="90">
        <f>'[11]CoS 2017 Load History'!Q163</f>
        <v>14077612.120000003</v>
      </c>
      <c r="C125" s="9">
        <f>'Weather Data'!B221</f>
        <v>762.3</v>
      </c>
      <c r="D125" s="9">
        <f>'Weather Data'!C221</f>
        <v>0</v>
      </c>
      <c r="E125" s="9">
        <v>31</v>
      </c>
      <c r="F125" s="9">
        <v>1</v>
      </c>
      <c r="G125" s="18">
        <f>'CDM Activity'!AA57</f>
        <v>215.847375180048</v>
      </c>
      <c r="H125" s="37">
        <v>137.68719399045199</v>
      </c>
      <c r="I125" s="218">
        <f>'[11]CoS 2017 Load History'!T163</f>
        <v>20</v>
      </c>
      <c r="J125" s="1">
        <v>352</v>
      </c>
      <c r="K125" s="9"/>
      <c r="L125" s="9"/>
    </row>
    <row r="126" spans="1:13">
      <c r="A126" s="2">
        <v>39904</v>
      </c>
      <c r="B126" s="90">
        <f>'[11]CoS 2017 Load History'!Q164</f>
        <v>15547303.799999997</v>
      </c>
      <c r="C126" s="9">
        <f>'Weather Data'!B222</f>
        <v>453.2</v>
      </c>
      <c r="D126" s="9">
        <f>'Weather Data'!C222</f>
        <v>0</v>
      </c>
      <c r="E126" s="9">
        <v>30</v>
      </c>
      <c r="F126" s="9">
        <v>1</v>
      </c>
      <c r="G126" s="18">
        <f>'CDM Activity'!AA58</f>
        <v>287.79650024006401</v>
      </c>
      <c r="H126" s="37">
        <v>137.31453031028698</v>
      </c>
      <c r="I126" s="218">
        <f>'[11]CoS 2017 Load History'!T164</f>
        <v>21</v>
      </c>
      <c r="J126" s="1">
        <v>320</v>
      </c>
      <c r="K126" s="9"/>
      <c r="L126" s="9"/>
      <c r="M126" s="49"/>
    </row>
    <row r="127" spans="1:13">
      <c r="A127" s="2">
        <v>39934</v>
      </c>
      <c r="B127" s="90">
        <f>'[11]CoS 2017 Load History'!Q165</f>
        <v>14916341.92</v>
      </c>
      <c r="C127" s="9">
        <f>'Weather Data'!B223</f>
        <v>319.8</v>
      </c>
      <c r="D127" s="9">
        <f>'Weather Data'!C223</f>
        <v>0</v>
      </c>
      <c r="E127" s="9">
        <v>31</v>
      </c>
      <c r="F127" s="9">
        <v>1</v>
      </c>
      <c r="G127" s="18">
        <f>'CDM Activity'!AA59</f>
        <v>359.74562530008001</v>
      </c>
      <c r="H127" s="37">
        <v>136.94287528034204</v>
      </c>
      <c r="I127" s="218">
        <f>'[11]CoS 2017 Load History'!T165</f>
        <v>20</v>
      </c>
      <c r="J127" s="1">
        <v>320</v>
      </c>
      <c r="K127" s="9"/>
      <c r="L127" s="9"/>
    </row>
    <row r="128" spans="1:13">
      <c r="A128" s="2">
        <v>39965</v>
      </c>
      <c r="B128" s="90">
        <f>'[11]CoS 2017 Load History'!Q166</f>
        <v>15107454.6</v>
      </c>
      <c r="C128" s="9">
        <f>'Weather Data'!B224</f>
        <v>141.80000000000001</v>
      </c>
      <c r="D128" s="9">
        <f>'Weather Data'!C224</f>
        <v>13.7</v>
      </c>
      <c r="E128" s="9">
        <v>30</v>
      </c>
      <c r="F128" s="9">
        <v>0</v>
      </c>
      <c r="G128" s="18">
        <f>'CDM Activity'!AA60</f>
        <v>431.69475036009601</v>
      </c>
      <c r="H128" s="37">
        <v>136.57222617060793</v>
      </c>
      <c r="I128" s="218">
        <f>'[11]CoS 2017 Load History'!T166</f>
        <v>20</v>
      </c>
      <c r="J128" s="1">
        <v>352</v>
      </c>
      <c r="K128" s="9"/>
      <c r="L128" s="9"/>
    </row>
    <row r="129" spans="1:12">
      <c r="A129" s="2">
        <v>39995</v>
      </c>
      <c r="B129" s="90">
        <f>'[11]CoS 2017 Load History'!Q167</f>
        <v>14562083.399999999</v>
      </c>
      <c r="C129" s="9">
        <f>'Weather Data'!B225</f>
        <v>74.5</v>
      </c>
      <c r="D129" s="9">
        <f>'Weather Data'!C225</f>
        <v>2</v>
      </c>
      <c r="E129" s="9">
        <v>31</v>
      </c>
      <c r="F129" s="9">
        <v>0</v>
      </c>
      <c r="G129" s="18">
        <f>'CDM Activity'!AA61</f>
        <v>503.64387542011201</v>
      </c>
      <c r="H129" s="37">
        <v>136.20258025846454</v>
      </c>
      <c r="I129" s="218">
        <f>'[11]CoS 2017 Load History'!T167</f>
        <v>22</v>
      </c>
      <c r="J129" s="1">
        <v>352</v>
      </c>
      <c r="K129" s="9"/>
      <c r="L129" s="9"/>
    </row>
    <row r="130" spans="1:12">
      <c r="A130" s="2">
        <v>40026</v>
      </c>
      <c r="B130" s="90">
        <f>'[11]CoS 2017 Load History'!Q168</f>
        <v>13555899.17</v>
      </c>
      <c r="C130" s="9">
        <f>'Weather Data'!B226</f>
        <v>84.2</v>
      </c>
      <c r="D130" s="9">
        <f>'Weather Data'!C226</f>
        <v>14.2</v>
      </c>
      <c r="E130" s="9">
        <v>31</v>
      </c>
      <c r="F130" s="9">
        <v>0</v>
      </c>
      <c r="G130" s="18">
        <f>'CDM Activity'!AA62</f>
        <v>575.59300048012801</v>
      </c>
      <c r="H130" s="37">
        <v>135.83393482866074</v>
      </c>
      <c r="I130" s="218">
        <f>'[11]CoS 2017 Load History'!T168</f>
        <v>20</v>
      </c>
      <c r="J130" s="1">
        <v>320</v>
      </c>
      <c r="K130" s="9"/>
      <c r="L130" s="9"/>
    </row>
    <row r="131" spans="1:12">
      <c r="A131" s="2">
        <v>40057</v>
      </c>
      <c r="B131" s="90">
        <f>'[11]CoS 2017 Load History'!Q169</f>
        <v>13666422.830000002</v>
      </c>
      <c r="C131" s="9">
        <f>'Weather Data'!B227</f>
        <v>102.8</v>
      </c>
      <c r="D131" s="9">
        <f>'Weather Data'!C227</f>
        <v>3.5</v>
      </c>
      <c r="E131" s="9">
        <v>30</v>
      </c>
      <c r="F131" s="9">
        <v>1</v>
      </c>
      <c r="G131" s="18">
        <f>'CDM Activity'!AA63</f>
        <v>647.54212554014407</v>
      </c>
      <c r="H131" s="37">
        <v>135.46628717329455</v>
      </c>
      <c r="I131" s="218">
        <f>'[11]CoS 2017 Load History'!T169</f>
        <v>21</v>
      </c>
      <c r="J131" s="1">
        <v>336</v>
      </c>
      <c r="K131" s="9"/>
      <c r="L131" s="9"/>
    </row>
    <row r="132" spans="1:12">
      <c r="A132" s="2">
        <v>40087</v>
      </c>
      <c r="B132" s="90">
        <f>'[11]CoS 2017 Load History'!Q170</f>
        <v>14129966.779999997</v>
      </c>
      <c r="C132" s="9">
        <f>'Weather Data'!B228</f>
        <v>451.40000000000003</v>
      </c>
      <c r="D132" s="9">
        <f>'Weather Data'!C228</f>
        <v>0</v>
      </c>
      <c r="E132" s="9">
        <v>31</v>
      </c>
      <c r="F132" s="9">
        <v>1</v>
      </c>
      <c r="G132" s="18">
        <f>'CDM Activity'!AA64</f>
        <v>719.49125060016013</v>
      </c>
      <c r="H132" s="37">
        <v>135.09963459179312</v>
      </c>
      <c r="I132" s="218">
        <f>'[11]CoS 2017 Load History'!T170</f>
        <v>20</v>
      </c>
      <c r="J132" s="1">
        <v>336</v>
      </c>
      <c r="K132" s="9"/>
      <c r="L132" s="9"/>
    </row>
    <row r="133" spans="1:12">
      <c r="A133" s="2">
        <v>40118</v>
      </c>
      <c r="B133" s="90">
        <f>'[11]CoS 2017 Load History'!Q171</f>
        <v>13430216.1</v>
      </c>
      <c r="C133" s="9">
        <f>'Weather Data'!B229</f>
        <v>473.49999999999994</v>
      </c>
      <c r="D133" s="9">
        <f>'Weather Data'!C229</f>
        <v>0</v>
      </c>
      <c r="E133" s="9">
        <v>30</v>
      </c>
      <c r="F133" s="9">
        <v>1</v>
      </c>
      <c r="G133" s="18">
        <f>'CDM Activity'!AA65</f>
        <v>791.44037566017619</v>
      </c>
      <c r="H133" s="37">
        <v>134.733974390893</v>
      </c>
      <c r="I133" s="218">
        <f>'[11]CoS 2017 Load History'!T171</f>
        <v>20</v>
      </c>
      <c r="J133" s="1">
        <v>320</v>
      </c>
      <c r="K133" s="9"/>
      <c r="L133" s="9"/>
    </row>
    <row r="134" spans="1:12">
      <c r="A134" s="2">
        <v>40148</v>
      </c>
      <c r="B134" s="90">
        <f>'[11]CoS 2017 Load History'!Q172</f>
        <v>14895935.549999999</v>
      </c>
      <c r="C134" s="9">
        <f>'Weather Data'!B230</f>
        <v>914.89999999999986</v>
      </c>
      <c r="D134" s="9">
        <f>'Weather Data'!C230</f>
        <v>0</v>
      </c>
      <c r="E134" s="9">
        <v>31</v>
      </c>
      <c r="F134" s="9">
        <v>0</v>
      </c>
      <c r="G134" s="18">
        <f>'CDM Activity'!AA66</f>
        <v>863.38950072019225</v>
      </c>
      <c r="H134" s="37">
        <v>134.36930388462019</v>
      </c>
      <c r="I134" s="218">
        <f>'[11]CoS 2017 Load History'!T172</f>
        <v>19</v>
      </c>
      <c r="J134" s="1">
        <v>352</v>
      </c>
      <c r="K134" s="9"/>
      <c r="L134" s="9"/>
    </row>
    <row r="135" spans="1:12">
      <c r="A135" s="2">
        <v>40179</v>
      </c>
      <c r="B135" s="90">
        <f>'[11]CoS 2017 Load History'!Q173</f>
        <v>13529933.879999995</v>
      </c>
      <c r="C135" s="9">
        <f>'Weather Data'!B231</f>
        <v>900.20000000000027</v>
      </c>
      <c r="D135" s="9">
        <f>'Weather Data'!C231</f>
        <v>0</v>
      </c>
      <c r="E135" s="9">
        <v>31</v>
      </c>
      <c r="F135" s="9">
        <v>0</v>
      </c>
      <c r="G135" s="18">
        <f>'CDM Activity'!AA67</f>
        <v>974.35635081318765</v>
      </c>
      <c r="H135" s="37">
        <v>134.73334561620703</v>
      </c>
      <c r="I135" s="218">
        <f>'[11]CoS 2017 Load History'!T173</f>
        <v>20</v>
      </c>
      <c r="J135" s="9">
        <v>320</v>
      </c>
      <c r="K135" s="9"/>
      <c r="L135" s="9"/>
    </row>
    <row r="136" spans="1:12">
      <c r="A136" s="2">
        <v>40210</v>
      </c>
      <c r="B136" s="90">
        <f>'[11]CoS 2017 Load History'!Q174</f>
        <v>11123740.600000001</v>
      </c>
      <c r="C136" s="9">
        <f>'Weather Data'!B232</f>
        <v>778.39999999999975</v>
      </c>
      <c r="D136" s="9">
        <f>'Weather Data'!C232</f>
        <v>0</v>
      </c>
      <c r="E136" s="9">
        <v>28</v>
      </c>
      <c r="F136" s="9">
        <v>0</v>
      </c>
      <c r="G136" s="18">
        <f>'CDM Activity'!AA68</f>
        <v>1085.323200906183</v>
      </c>
      <c r="H136" s="37">
        <v>135.09837363244745</v>
      </c>
      <c r="I136" s="218">
        <f>'[11]CoS 2017 Load History'!T174</f>
        <v>20</v>
      </c>
      <c r="J136" s="9">
        <v>304</v>
      </c>
      <c r="K136" s="9"/>
      <c r="L136" s="9"/>
    </row>
    <row r="137" spans="1:12">
      <c r="A137" s="2">
        <v>40238</v>
      </c>
      <c r="B137" s="90">
        <f>'[11]CoS 2017 Load History'!Q175</f>
        <v>12140260.609999999</v>
      </c>
      <c r="C137" s="9">
        <f>'Weather Data'!B233</f>
        <v>514.4</v>
      </c>
      <c r="D137" s="9">
        <f>'Weather Data'!C233</f>
        <v>0</v>
      </c>
      <c r="E137" s="9">
        <v>31</v>
      </c>
      <c r="F137" s="9">
        <v>1</v>
      </c>
      <c r="G137" s="18">
        <f>'CDM Activity'!AA69</f>
        <v>1196.2900509991784</v>
      </c>
      <c r="H137" s="37">
        <v>135.46439060544563</v>
      </c>
      <c r="I137" s="218">
        <f>'[11]CoS 2017 Load History'!T175</f>
        <v>20</v>
      </c>
      <c r="J137" s="9">
        <v>368</v>
      </c>
      <c r="K137" s="9"/>
      <c r="L137" s="9"/>
    </row>
    <row r="138" spans="1:12">
      <c r="A138" s="2">
        <v>40269</v>
      </c>
      <c r="B138" s="90">
        <f>'[11]CoS 2017 Load History'!Q176</f>
        <v>12903896.700000001</v>
      </c>
      <c r="C138" s="9">
        <f>'Weather Data'!B234</f>
        <v>358.00000000000011</v>
      </c>
      <c r="D138" s="9">
        <f>'Weather Data'!C234</f>
        <v>0</v>
      </c>
      <c r="E138" s="9">
        <v>30</v>
      </c>
      <c r="F138" s="9">
        <v>1</v>
      </c>
      <c r="G138" s="18">
        <f>'CDM Activity'!AA70</f>
        <v>1307.2569010921738</v>
      </c>
      <c r="H138" s="37">
        <v>135.83139921454512</v>
      </c>
      <c r="I138" s="218">
        <f>'[11]CoS 2017 Load History'!T176</f>
        <v>20</v>
      </c>
      <c r="J138" s="9">
        <v>320</v>
      </c>
      <c r="K138" s="9"/>
      <c r="L138" s="9"/>
    </row>
    <row r="139" spans="1:12">
      <c r="A139" s="2">
        <v>40299</v>
      </c>
      <c r="B139" s="90">
        <f>'[11]CoS 2017 Load History'!Q177</f>
        <v>12874149.650000002</v>
      </c>
      <c r="C139" s="9">
        <f>'Weather Data'!B235</f>
        <v>212.40000000000003</v>
      </c>
      <c r="D139" s="9">
        <f>'Weather Data'!C235</f>
        <v>0.6</v>
      </c>
      <c r="E139" s="9">
        <v>31</v>
      </c>
      <c r="F139" s="9">
        <v>1</v>
      </c>
      <c r="G139" s="18">
        <f>'CDM Activity'!AA71</f>
        <v>1418.2237511851692</v>
      </c>
      <c r="H139" s="37">
        <v>136.19940214634852</v>
      </c>
      <c r="I139" s="218">
        <f>'[11]CoS 2017 Load History'!T177</f>
        <v>20</v>
      </c>
      <c r="J139" s="9">
        <v>320</v>
      </c>
      <c r="K139" s="9"/>
      <c r="L139" s="9"/>
    </row>
    <row r="140" spans="1:12">
      <c r="A140" s="2">
        <v>40330</v>
      </c>
      <c r="B140" s="90">
        <f>'[11]CoS 2017 Load History'!Q178</f>
        <v>12606339.299999999</v>
      </c>
      <c r="C140" s="9">
        <f>'Weather Data'!B236</f>
        <v>106.30000000000003</v>
      </c>
      <c r="D140" s="9">
        <f>'Weather Data'!C236</f>
        <v>3.0000000000000004</v>
      </c>
      <c r="E140" s="9">
        <v>30</v>
      </c>
      <c r="F140" s="9">
        <v>0</v>
      </c>
      <c r="G140" s="18">
        <f>'CDM Activity'!AA72</f>
        <v>1529.1906012781646</v>
      </c>
      <c r="H140" s="37">
        <v>136.56840209473719</v>
      </c>
      <c r="I140" s="218">
        <f>'[11]CoS 2017 Load History'!T178</f>
        <v>19</v>
      </c>
      <c r="J140" s="9">
        <v>352</v>
      </c>
      <c r="K140" s="9"/>
      <c r="L140" s="9"/>
    </row>
    <row r="141" spans="1:12">
      <c r="A141" s="2">
        <v>40360</v>
      </c>
      <c r="B141" s="90">
        <f>'[11]CoS 2017 Load History'!Q179</f>
        <v>13126032.389999999</v>
      </c>
      <c r="C141" s="9">
        <f>'Weather Data'!B237</f>
        <v>14.5</v>
      </c>
      <c r="D141" s="9">
        <f>'Weather Data'!C237</f>
        <v>52</v>
      </c>
      <c r="E141" s="9">
        <v>31</v>
      </c>
      <c r="F141" s="9">
        <v>0</v>
      </c>
      <c r="G141" s="18">
        <f>'CDM Activity'!AA73</f>
        <v>1640.1574513711601</v>
      </c>
      <c r="H141" s="37">
        <v>136.93840176089088</v>
      </c>
      <c r="I141" s="218">
        <f>'[11]CoS 2017 Load History'!T179</f>
        <v>18</v>
      </c>
      <c r="J141" s="9">
        <v>336</v>
      </c>
      <c r="K141" s="9"/>
      <c r="L141" s="9"/>
    </row>
    <row r="142" spans="1:12">
      <c r="A142" s="2">
        <v>40391</v>
      </c>
      <c r="B142" s="90">
        <f>'[11]CoS 2017 Load History'!Q180</f>
        <v>12411729.469999999</v>
      </c>
      <c r="C142" s="9">
        <f>'Weather Data'!B238</f>
        <v>37.9</v>
      </c>
      <c r="D142" s="9">
        <f>'Weather Data'!C238</f>
        <v>55.8</v>
      </c>
      <c r="E142" s="9">
        <v>31</v>
      </c>
      <c r="F142" s="9">
        <v>0</v>
      </c>
      <c r="G142" s="18">
        <f>'CDM Activity'!AA74</f>
        <v>1751.1243014641555</v>
      </c>
      <c r="H142" s="37">
        <v>137.30940385330757</v>
      </c>
      <c r="I142" s="218">
        <f>'[11]CoS 2017 Load History'!T180</f>
        <v>18</v>
      </c>
      <c r="J142" s="9">
        <v>336</v>
      </c>
      <c r="K142" s="9"/>
      <c r="L142" s="9"/>
    </row>
    <row r="143" spans="1:12">
      <c r="A143" s="2">
        <v>40422</v>
      </c>
      <c r="B143" s="90">
        <f>'[11]CoS 2017 Load History'!Q181</f>
        <v>11756478.059999999</v>
      </c>
      <c r="C143" s="9">
        <f>'Weather Data'!B239</f>
        <v>231.1</v>
      </c>
      <c r="D143" s="9">
        <f>'Weather Data'!C239</f>
        <v>0</v>
      </c>
      <c r="E143" s="9">
        <v>30</v>
      </c>
      <c r="F143" s="9">
        <v>1</v>
      </c>
      <c r="G143" s="18">
        <f>'CDM Activity'!AA75</f>
        <v>1862.0911515571509</v>
      </c>
      <c r="H143" s="37">
        <v>137.68141108782325</v>
      </c>
      <c r="I143" s="218">
        <f>'[11]CoS 2017 Load History'!T181</f>
        <v>18</v>
      </c>
      <c r="J143" s="9">
        <v>336</v>
      </c>
      <c r="K143" s="9"/>
      <c r="L143" s="9"/>
    </row>
    <row r="144" spans="1:12">
      <c r="A144" s="2">
        <v>40452</v>
      </c>
      <c r="B144" s="90">
        <f>'[11]CoS 2017 Load History'!Q182</f>
        <v>12590356.120000001</v>
      </c>
      <c r="C144" s="9">
        <f>'Weather Data'!B240</f>
        <v>355.49999999999989</v>
      </c>
      <c r="D144" s="9">
        <f>'Weather Data'!C240</f>
        <v>0</v>
      </c>
      <c r="E144" s="9">
        <v>31</v>
      </c>
      <c r="F144" s="9">
        <v>1</v>
      </c>
      <c r="G144" s="18">
        <f>'CDM Activity'!AA76</f>
        <v>1973.0580016501463</v>
      </c>
      <c r="H144" s="37">
        <v>138.0544261876318</v>
      </c>
      <c r="I144" s="218">
        <f>'[11]CoS 2017 Load History'!T182</f>
        <v>18</v>
      </c>
      <c r="J144" s="9">
        <v>320</v>
      </c>
      <c r="K144" s="9"/>
      <c r="L144" s="9"/>
    </row>
    <row r="145" spans="1:12">
      <c r="A145" s="2">
        <v>40483</v>
      </c>
      <c r="B145" s="90">
        <f>'[11]CoS 2017 Load History'!Q183</f>
        <v>13710651.659999998</v>
      </c>
      <c r="C145" s="9">
        <f>'Weather Data'!B241</f>
        <v>549.40000000000009</v>
      </c>
      <c r="D145" s="9">
        <f>'Weather Data'!C241</f>
        <v>0</v>
      </c>
      <c r="E145" s="9">
        <v>30</v>
      </c>
      <c r="F145" s="9">
        <v>1</v>
      </c>
      <c r="G145" s="18">
        <f>'CDM Activity'!AA77</f>
        <v>2084.0248517431414</v>
      </c>
      <c r="H145" s="37">
        <v>138.42845188330503</v>
      </c>
      <c r="I145" s="218">
        <f>'[11]CoS 2017 Load History'!T183</f>
        <v>19</v>
      </c>
      <c r="J145" s="9">
        <v>336</v>
      </c>
      <c r="K145" s="9"/>
      <c r="L145" s="9"/>
    </row>
    <row r="146" spans="1:12">
      <c r="A146" s="2">
        <v>40513</v>
      </c>
      <c r="B146" s="90">
        <f>'[11]CoS 2017 Load History'!Q184</f>
        <v>14504849.16</v>
      </c>
      <c r="C146" s="9">
        <f>'Weather Data'!B242</f>
        <v>879.0999999999998</v>
      </c>
      <c r="D146" s="9">
        <f>'Weather Data'!C242</f>
        <v>0</v>
      </c>
      <c r="E146" s="9">
        <v>31</v>
      </c>
      <c r="F146" s="9">
        <v>0</v>
      </c>
      <c r="G146" s="18">
        <f>'CDM Activity'!AA78</f>
        <v>2194.9917018361366</v>
      </c>
      <c r="H146" s="37">
        <v>138.80349091281266</v>
      </c>
      <c r="I146" s="218">
        <f>'[11]CoS 2017 Load History'!T184</f>
        <v>17</v>
      </c>
      <c r="J146" s="9">
        <v>368</v>
      </c>
      <c r="K146" s="9"/>
      <c r="L146" s="9"/>
    </row>
    <row r="147" spans="1:12">
      <c r="A147" s="2">
        <v>40544</v>
      </c>
      <c r="B147" s="90">
        <f>'[11]CoS 2017 Load History'!Q185</f>
        <v>12920321.049999999</v>
      </c>
      <c r="C147" s="9">
        <f>'Weather Data'!B243</f>
        <v>1077.9000000000003</v>
      </c>
      <c r="D147" s="9">
        <f>'Weather Data'!C243</f>
        <v>0</v>
      </c>
      <c r="E147" s="49">
        <v>31</v>
      </c>
      <c r="F147" s="9">
        <v>0</v>
      </c>
      <c r="G147" s="18">
        <f>'CDM Activity'!AA79</f>
        <v>2928.0437033901194</v>
      </c>
      <c r="H147" s="37">
        <v>139.10070640604135</v>
      </c>
      <c r="I147" s="218">
        <f>'[11]CoS 2017 Load History'!T185</f>
        <v>17</v>
      </c>
      <c r="J147" s="9">
        <v>336</v>
      </c>
      <c r="K147" s="9"/>
      <c r="L147" s="9"/>
    </row>
    <row r="148" spans="1:12">
      <c r="A148" s="2">
        <v>40575</v>
      </c>
      <c r="B148" s="90">
        <f>'[11]CoS 2017 Load History'!Q186</f>
        <v>10892440.440000001</v>
      </c>
      <c r="C148" s="9">
        <f>'Weather Data'!B244</f>
        <v>826.9</v>
      </c>
      <c r="D148" s="9">
        <f>'Weather Data'!C244</f>
        <v>0</v>
      </c>
      <c r="E148" s="49">
        <v>28</v>
      </c>
      <c r="F148" s="9">
        <v>0</v>
      </c>
      <c r="G148" s="18">
        <f>'CDM Activity'!AA80</f>
        <v>3661.0957049441022</v>
      </c>
      <c r="H148" s="37">
        <v>139.39855831733732</v>
      </c>
      <c r="I148" s="218">
        <f>'[11]CoS 2017 Load History'!T186</f>
        <v>17</v>
      </c>
      <c r="J148" s="9">
        <v>304</v>
      </c>
      <c r="K148" s="9"/>
      <c r="L148" s="9"/>
    </row>
    <row r="149" spans="1:12">
      <c r="A149" s="2">
        <v>40603</v>
      </c>
      <c r="B149" s="90">
        <f>'[11]CoS 2017 Load History'!Q187</f>
        <v>12257636.48</v>
      </c>
      <c r="C149" s="9">
        <f>'Weather Data'!B245</f>
        <v>749.9</v>
      </c>
      <c r="D149" s="9">
        <f>'Weather Data'!C245</f>
        <v>0</v>
      </c>
      <c r="E149" s="49">
        <v>31</v>
      </c>
      <c r="F149" s="9">
        <v>1</v>
      </c>
      <c r="G149" s="18">
        <f>'CDM Activity'!AA81</f>
        <v>4394.1477064980854</v>
      </c>
      <c r="H149" s="37">
        <v>139.69704800944226</v>
      </c>
      <c r="I149" s="218">
        <f>'[11]CoS 2017 Load History'!T187</f>
        <v>18</v>
      </c>
      <c r="J149" s="9">
        <v>368</v>
      </c>
      <c r="K149" s="9"/>
      <c r="L149" s="9"/>
    </row>
    <row r="150" spans="1:12">
      <c r="A150" s="2">
        <v>40634</v>
      </c>
      <c r="B150" s="90">
        <f>'[11]CoS 2017 Load History'!Q188</f>
        <v>12658528.499999998</v>
      </c>
      <c r="C150" s="9">
        <f>'Weather Data'!B246</f>
        <v>482.30000000000007</v>
      </c>
      <c r="D150" s="9">
        <f>'Weather Data'!C246</f>
        <v>0</v>
      </c>
      <c r="E150" s="49">
        <v>30</v>
      </c>
      <c r="F150" s="9">
        <v>1</v>
      </c>
      <c r="G150" s="18">
        <f>'CDM Activity'!AA82</f>
        <v>5127.1997080520687</v>
      </c>
      <c r="H150" s="37">
        <v>139.99617684801592</v>
      </c>
      <c r="I150" s="218">
        <f>'[11]CoS 2017 Load History'!T188</f>
        <v>18</v>
      </c>
      <c r="J150" s="9">
        <v>320</v>
      </c>
      <c r="K150" s="9"/>
      <c r="L150" s="9"/>
    </row>
    <row r="151" spans="1:12">
      <c r="A151" s="2">
        <v>40664</v>
      </c>
      <c r="B151" s="90">
        <f>'[11]CoS 2017 Load History'!Q189</f>
        <v>13172900.730000002</v>
      </c>
      <c r="C151" s="9">
        <f>'Weather Data'!B247</f>
        <v>266.99999999999994</v>
      </c>
      <c r="D151" s="9">
        <f>'Weather Data'!C247</f>
        <v>0</v>
      </c>
      <c r="E151" s="49">
        <v>31</v>
      </c>
      <c r="F151" s="9">
        <v>1</v>
      </c>
      <c r="G151" s="18">
        <f>'CDM Activity'!AA83</f>
        <v>5860.2517096060519</v>
      </c>
      <c r="H151" s="37">
        <v>140.29594620164227</v>
      </c>
      <c r="I151" s="218">
        <f>'[11]CoS 2017 Load History'!T189</f>
        <v>19</v>
      </c>
      <c r="J151" s="9">
        <v>336</v>
      </c>
      <c r="K151" s="9"/>
      <c r="L151" s="9"/>
    </row>
    <row r="152" spans="1:12">
      <c r="A152" s="2">
        <v>40695</v>
      </c>
      <c r="B152" s="90">
        <f>'[11]CoS 2017 Load History'!Q190</f>
        <v>12544750.5</v>
      </c>
      <c r="C152" s="9">
        <f>'Weather Data'!B248</f>
        <v>110.1</v>
      </c>
      <c r="D152" s="9">
        <f>'Weather Data'!C248</f>
        <v>0</v>
      </c>
      <c r="E152" s="49">
        <v>30</v>
      </c>
      <c r="F152" s="9">
        <v>0</v>
      </c>
      <c r="G152" s="18">
        <f>'CDM Activity'!AA84</f>
        <v>6593.3037111600352</v>
      </c>
      <c r="H152" s="37">
        <v>140.59635744183578</v>
      </c>
      <c r="I152" s="218">
        <f>'[11]CoS 2017 Load History'!T190</f>
        <v>18</v>
      </c>
      <c r="J152" s="9">
        <v>352</v>
      </c>
      <c r="K152" s="9"/>
      <c r="L152" s="9"/>
    </row>
    <row r="153" spans="1:12">
      <c r="A153" s="2">
        <v>40725</v>
      </c>
      <c r="B153" s="90">
        <f>'[11]CoS 2017 Load History'!Q191</f>
        <v>13875078.890000001</v>
      </c>
      <c r="C153" s="9">
        <f>'Weather Data'!B249</f>
        <v>29.8</v>
      </c>
      <c r="D153" s="9">
        <f>'Weather Data'!C249</f>
        <v>63.7</v>
      </c>
      <c r="E153" s="49">
        <v>31</v>
      </c>
      <c r="F153" s="9">
        <v>0</v>
      </c>
      <c r="G153" s="18">
        <f>'CDM Activity'!AA85</f>
        <v>7326.3557127140184</v>
      </c>
      <c r="H153" s="37">
        <v>140.89741194304773</v>
      </c>
      <c r="I153" s="218">
        <f>'[11]CoS 2017 Load History'!T191</f>
        <v>18</v>
      </c>
      <c r="J153" s="9">
        <v>320</v>
      </c>
      <c r="K153" s="9"/>
      <c r="L153" s="9"/>
    </row>
    <row r="154" spans="1:12">
      <c r="A154" s="2">
        <v>40756</v>
      </c>
      <c r="B154" s="90">
        <f>'[11]CoS 2017 Load History'!Q192</f>
        <v>14198477.709999999</v>
      </c>
      <c r="C154" s="9">
        <f>'Weather Data'!B250</f>
        <v>22.2</v>
      </c>
      <c r="D154" s="9">
        <f>'Weather Data'!C250</f>
        <v>35.699999999999996</v>
      </c>
      <c r="E154" s="49">
        <v>31</v>
      </c>
      <c r="F154" s="9">
        <v>0</v>
      </c>
      <c r="G154" s="18">
        <f>'CDM Activity'!AA86</f>
        <v>8059.4077142680017</v>
      </c>
      <c r="H154" s="37">
        <v>141.19911108267243</v>
      </c>
      <c r="I154" s="218">
        <f>'[11]CoS 2017 Load History'!T192</f>
        <v>18</v>
      </c>
      <c r="J154" s="9">
        <v>352</v>
      </c>
      <c r="K154" s="9"/>
      <c r="L154" s="9"/>
    </row>
    <row r="155" spans="1:12">
      <c r="A155" s="2">
        <v>40787</v>
      </c>
      <c r="B155" s="90">
        <f>'[11]CoS 2017 Load History'!Q193</f>
        <v>13259931.000000002</v>
      </c>
      <c r="C155" s="9">
        <f>'Weather Data'!B251</f>
        <v>172.3</v>
      </c>
      <c r="D155" s="9">
        <f>'Weather Data'!C251</f>
        <v>9.4</v>
      </c>
      <c r="E155" s="49">
        <v>30</v>
      </c>
      <c r="F155" s="9">
        <v>1</v>
      </c>
      <c r="G155" s="18">
        <f>'CDM Activity'!AA87</f>
        <v>8792.459715821984</v>
      </c>
      <c r="H155" s="37">
        <v>141.50145624105357</v>
      </c>
      <c r="I155" s="218">
        <f>'[11]CoS 2017 Load History'!T193</f>
        <v>18</v>
      </c>
      <c r="J155" s="9">
        <v>336</v>
      </c>
      <c r="K155" s="9"/>
      <c r="L155" s="9"/>
    </row>
    <row r="156" spans="1:12">
      <c r="A156" s="2">
        <v>40817</v>
      </c>
      <c r="B156" s="90">
        <f>'[11]CoS 2017 Load History'!Q194</f>
        <v>13575461.719999999</v>
      </c>
      <c r="C156" s="9">
        <f>'Weather Data'!B252</f>
        <v>337.20000000000005</v>
      </c>
      <c r="D156" s="9">
        <f>'Weather Data'!C252</f>
        <v>5.4</v>
      </c>
      <c r="E156" s="49">
        <v>31</v>
      </c>
      <c r="F156" s="9">
        <v>1</v>
      </c>
      <c r="G156" s="18">
        <f>'CDM Activity'!AA88</f>
        <v>9525.5117173759663</v>
      </c>
      <c r="H156" s="37">
        <v>141.80444880149057</v>
      </c>
      <c r="I156" s="218">
        <f>'[11]CoS 2017 Load History'!T194</f>
        <v>18</v>
      </c>
      <c r="J156" s="9">
        <v>320</v>
      </c>
      <c r="K156" s="9"/>
      <c r="L156" s="9"/>
    </row>
    <row r="157" spans="1:12">
      <c r="A157" s="2">
        <v>40848</v>
      </c>
      <c r="B157" s="90">
        <f>'[11]CoS 2017 Load History'!Q195</f>
        <v>14692874.140000001</v>
      </c>
      <c r="C157" s="9">
        <f>'Weather Data'!B253</f>
        <v>563.20000000000005</v>
      </c>
      <c r="D157" s="9">
        <f>'Weather Data'!C253</f>
        <v>0</v>
      </c>
      <c r="E157" s="49">
        <v>30</v>
      </c>
      <c r="F157" s="9">
        <v>1</v>
      </c>
      <c r="G157" s="18">
        <f>'CDM Activity'!AA89</f>
        <v>10258.563718929949</v>
      </c>
      <c r="H157" s="37">
        <v>142.10809015024478</v>
      </c>
      <c r="I157" s="218">
        <f>'[11]CoS 2017 Load History'!T195</f>
        <v>18</v>
      </c>
      <c r="J157" s="9">
        <v>352</v>
      </c>
      <c r="K157" s="9"/>
      <c r="L157" s="9"/>
    </row>
    <row r="158" spans="1:12">
      <c r="A158" s="2">
        <v>40878</v>
      </c>
      <c r="B158" s="90">
        <f>'[11]CoS 2017 Load History'!Q196</f>
        <v>14105892.180000002</v>
      </c>
      <c r="C158" s="9">
        <f>'Weather Data'!B254</f>
        <v>769.8</v>
      </c>
      <c r="D158" s="9">
        <f>'Weather Data'!C254</f>
        <v>0</v>
      </c>
      <c r="E158" s="49">
        <v>31</v>
      </c>
      <c r="F158" s="9">
        <v>0</v>
      </c>
      <c r="G158" s="18">
        <f>'CDM Activity'!AA90</f>
        <v>10991.615720483931</v>
      </c>
      <c r="H158" s="37">
        <v>142.41238167654581</v>
      </c>
      <c r="I158" s="218">
        <f>'[11]CoS 2017 Load History'!T196</f>
        <v>18</v>
      </c>
      <c r="J158" s="9">
        <v>336</v>
      </c>
      <c r="K158" s="9"/>
      <c r="L158" s="9"/>
    </row>
    <row r="159" spans="1:12">
      <c r="A159" s="2">
        <v>40909</v>
      </c>
      <c r="B159" s="90">
        <f>'[11]CoS 2017 Load History'!Q197</f>
        <v>12529109.419999998</v>
      </c>
      <c r="C159" s="9">
        <f>'Weather Data'!B255</f>
        <v>865.69999999999993</v>
      </c>
      <c r="D159" s="9">
        <f>'Weather Data'!C255</f>
        <v>0</v>
      </c>
      <c r="E159" s="9">
        <v>31</v>
      </c>
      <c r="F159" s="9">
        <v>0</v>
      </c>
      <c r="G159" s="18">
        <f>'CDM Activity'!AA91</f>
        <v>11698.33004243725</v>
      </c>
      <c r="H159" s="37">
        <v>142.61257743956915</v>
      </c>
      <c r="I159" s="218">
        <f>'[11]CoS 2017 Load History'!T197</f>
        <v>19</v>
      </c>
      <c r="J159" s="9">
        <v>336</v>
      </c>
      <c r="K159" s="9"/>
      <c r="L159" s="9"/>
    </row>
    <row r="160" spans="1:12">
      <c r="A160" s="2">
        <v>40940</v>
      </c>
      <c r="B160" s="90">
        <f>'[11]CoS 2017 Load History'!Q198</f>
        <v>11160065.359999999</v>
      </c>
      <c r="C160" s="9">
        <f>'Weather Data'!B256</f>
        <v>693.8</v>
      </c>
      <c r="D160" s="9">
        <f>'Weather Data'!C256</f>
        <v>0</v>
      </c>
      <c r="E160" s="9">
        <v>29</v>
      </c>
      <c r="F160" s="9">
        <v>0</v>
      </c>
      <c r="G160" s="18">
        <f>'CDM Activity'!AA92</f>
        <v>12405.044364390569</v>
      </c>
      <c r="H160" s="37">
        <v>142.81305462716429</v>
      </c>
      <c r="I160" s="218">
        <f>'[11]CoS 2017 Load History'!T198</f>
        <v>19</v>
      </c>
      <c r="J160" s="9">
        <v>320</v>
      </c>
      <c r="K160" s="9"/>
      <c r="L160" s="9"/>
    </row>
    <row r="161" spans="1:12">
      <c r="A161" s="2">
        <v>40969</v>
      </c>
      <c r="B161" s="90">
        <f>'[11]CoS 2017 Load History'!Q199</f>
        <v>12256618.18</v>
      </c>
      <c r="C161" s="9">
        <f>'Weather Data'!B257</f>
        <v>525.4</v>
      </c>
      <c r="D161" s="9">
        <f>'Weather Data'!C257</f>
        <v>0</v>
      </c>
      <c r="E161" s="9">
        <v>31</v>
      </c>
      <c r="F161" s="9">
        <v>1</v>
      </c>
      <c r="G161" s="18">
        <f>'CDM Activity'!AA93</f>
        <v>13111.758686343888</v>
      </c>
      <c r="H161" s="37">
        <v>143.01381363494295</v>
      </c>
      <c r="I161" s="218">
        <f>'[11]CoS 2017 Load History'!T199</f>
        <v>19</v>
      </c>
      <c r="J161" s="9">
        <v>352</v>
      </c>
      <c r="K161" s="9"/>
      <c r="L161" s="9"/>
    </row>
    <row r="162" spans="1:12">
      <c r="A162" s="2">
        <v>41000</v>
      </c>
      <c r="B162" s="90">
        <f>'[11]CoS 2017 Load History'!Q200</f>
        <v>13560323.399999999</v>
      </c>
      <c r="C162" s="9">
        <f>'Weather Data'!B258</f>
        <v>434.89999999999986</v>
      </c>
      <c r="D162" s="9">
        <f>'Weather Data'!C258</f>
        <v>0</v>
      </c>
      <c r="E162" s="9">
        <v>30</v>
      </c>
      <c r="F162" s="9">
        <v>1</v>
      </c>
      <c r="G162" s="18">
        <f>'CDM Activity'!AA94</f>
        <v>13818.473008297207</v>
      </c>
      <c r="H162" s="37">
        <v>143.21485485907297</v>
      </c>
      <c r="I162" s="218">
        <f>'[11]CoS 2017 Load History'!T200</f>
        <v>19</v>
      </c>
      <c r="J162" s="9">
        <v>320</v>
      </c>
      <c r="K162" s="9"/>
      <c r="L162" s="9"/>
    </row>
    <row r="163" spans="1:12">
      <c r="A163" s="2">
        <v>41030</v>
      </c>
      <c r="B163" s="90">
        <f>'[11]CoS 2017 Load History'!Q201</f>
        <v>13461076.060000002</v>
      </c>
      <c r="C163" s="9">
        <f>'Weather Data'!B259</f>
        <v>227.10000000000002</v>
      </c>
      <c r="D163" s="9">
        <f>'Weather Data'!C259</f>
        <v>0</v>
      </c>
      <c r="E163" s="9">
        <v>31</v>
      </c>
      <c r="F163" s="9">
        <v>1</v>
      </c>
      <c r="G163" s="18">
        <f>'CDM Activity'!AA95</f>
        <v>14525.187330250526</v>
      </c>
      <c r="H163" s="37">
        <v>143.41617869627913</v>
      </c>
      <c r="I163" s="218">
        <f>'[11]CoS 2017 Load History'!T201</f>
        <v>19</v>
      </c>
      <c r="J163" s="9">
        <v>352</v>
      </c>
      <c r="K163" s="9"/>
      <c r="L163" s="9"/>
    </row>
    <row r="164" spans="1:12">
      <c r="A164" s="2">
        <v>41061</v>
      </c>
      <c r="B164" s="90">
        <f>'[11]CoS 2017 Load History'!Q202</f>
        <v>13314274.5</v>
      </c>
      <c r="C164" s="9">
        <f>'Weather Data'!B260</f>
        <v>64.900000000000006</v>
      </c>
      <c r="D164" s="9">
        <f>'Weather Data'!C260</f>
        <v>18.399999999999999</v>
      </c>
      <c r="E164" s="9">
        <v>30</v>
      </c>
      <c r="F164" s="9">
        <v>0</v>
      </c>
      <c r="G164" s="18">
        <f>'CDM Activity'!AA96</f>
        <v>15231.901652203846</v>
      </c>
      <c r="H164" s="37">
        <v>143.61778554384387</v>
      </c>
      <c r="I164" s="218">
        <f>'[11]CoS 2017 Load History'!T202</f>
        <v>18</v>
      </c>
      <c r="J164" s="9">
        <v>336</v>
      </c>
      <c r="K164" s="9"/>
      <c r="L164" s="9"/>
    </row>
    <row r="165" spans="1:12">
      <c r="A165" s="2">
        <v>41091</v>
      </c>
      <c r="B165" s="90">
        <f>'[11]CoS 2017 Load History'!Q203</f>
        <v>14610993.160000002</v>
      </c>
      <c r="C165" s="9">
        <f>'Weather Data'!B261</f>
        <v>6.8</v>
      </c>
      <c r="D165" s="9">
        <f>'Weather Data'!C261</f>
        <v>66.5</v>
      </c>
      <c r="E165" s="9">
        <v>31</v>
      </c>
      <c r="F165" s="9">
        <v>0</v>
      </c>
      <c r="G165" s="18">
        <f>'CDM Activity'!AA97</f>
        <v>15938.615974157165</v>
      </c>
      <c r="H165" s="37">
        <v>143.81967579960809</v>
      </c>
      <c r="I165" s="218">
        <f>'[11]CoS 2017 Load History'!T203</f>
        <v>18</v>
      </c>
      <c r="J165" s="9">
        <v>336</v>
      </c>
      <c r="K165" s="9"/>
      <c r="L165" s="9"/>
    </row>
    <row r="166" spans="1:12">
      <c r="A166" s="2">
        <v>41122</v>
      </c>
      <c r="B166" s="90">
        <f>'[11]CoS 2017 Load History'!Q204</f>
        <v>14062024.910000004</v>
      </c>
      <c r="C166" s="9">
        <f>'Weather Data'!B262</f>
        <v>38.499999999999986</v>
      </c>
      <c r="D166" s="9">
        <f>'Weather Data'!C262</f>
        <v>27.7</v>
      </c>
      <c r="E166" s="9">
        <v>31</v>
      </c>
      <c r="F166" s="9">
        <v>0</v>
      </c>
      <c r="G166" s="18">
        <f>'CDM Activity'!AA98</f>
        <v>16645.330296110482</v>
      </c>
      <c r="H166" s="37">
        <v>144.02184986197204</v>
      </c>
      <c r="I166" s="218">
        <f>'[11]CoS 2017 Load History'!T204</f>
        <v>18</v>
      </c>
      <c r="J166" s="9">
        <v>352</v>
      </c>
      <c r="K166" s="9"/>
      <c r="L166" s="9"/>
    </row>
    <row r="167" spans="1:12">
      <c r="A167" s="2">
        <v>41153</v>
      </c>
      <c r="B167" s="90">
        <f>'[11]CoS 2017 Load History'!Q205</f>
        <v>13341701.710000003</v>
      </c>
      <c r="C167" s="9">
        <f>'Weather Data'!B263</f>
        <v>213.49999999999997</v>
      </c>
      <c r="D167" s="9">
        <f>'Weather Data'!C263</f>
        <v>4</v>
      </c>
      <c r="E167" s="9">
        <v>30</v>
      </c>
      <c r="F167" s="9">
        <v>1</v>
      </c>
      <c r="G167" s="18">
        <f>'CDM Activity'!AA99</f>
        <v>17352.044618063799</v>
      </c>
      <c r="H167" s="37">
        <v>144.22430812989595</v>
      </c>
      <c r="I167" s="218">
        <f>'[11]CoS 2017 Load History'!T205</f>
        <v>18</v>
      </c>
      <c r="J167" s="9">
        <v>304</v>
      </c>
      <c r="K167" s="9"/>
      <c r="L167" s="9"/>
    </row>
    <row r="168" spans="1:12">
      <c r="A168" s="2">
        <v>41183</v>
      </c>
      <c r="B168" s="90">
        <f>'[11]CoS 2017 Load History'!Q206</f>
        <v>13997442.720000001</v>
      </c>
      <c r="C168" s="9">
        <f>'Weather Data'!B264</f>
        <v>395.80000000000007</v>
      </c>
      <c r="D168" s="9">
        <f>'Weather Data'!C264</f>
        <v>0</v>
      </c>
      <c r="E168" s="9">
        <v>31</v>
      </c>
      <c r="F168" s="9">
        <v>1</v>
      </c>
      <c r="G168" s="18">
        <f>'CDM Activity'!AA100</f>
        <v>18058.758940017116</v>
      </c>
      <c r="H168" s="37">
        <v>144.42705100290087</v>
      </c>
      <c r="I168" s="218">
        <f>'[11]CoS 2017 Load History'!T206</f>
        <v>18</v>
      </c>
      <c r="J168" s="9">
        <v>352</v>
      </c>
      <c r="K168" s="9"/>
      <c r="L168" s="9"/>
    </row>
    <row r="169" spans="1:12">
      <c r="A169" s="2">
        <v>41214</v>
      </c>
      <c r="B169" s="90">
        <f>'[11]CoS 2017 Load History'!Q207</f>
        <v>14528048.400000002</v>
      </c>
      <c r="C169" s="9">
        <f>'Weather Data'!B265</f>
        <v>600.80000000000007</v>
      </c>
      <c r="D169" s="9">
        <f>'Weather Data'!C265</f>
        <v>0</v>
      </c>
      <c r="E169" s="9">
        <v>30</v>
      </c>
      <c r="F169" s="9">
        <v>1</v>
      </c>
      <c r="G169" s="18">
        <f>'CDM Activity'!AA101</f>
        <v>18765.473261970434</v>
      </c>
      <c r="H169" s="37">
        <v>144.63007888106955</v>
      </c>
      <c r="I169" s="218">
        <f>'[11]CoS 2017 Load History'!T207</f>
        <v>18</v>
      </c>
      <c r="J169" s="9">
        <v>352</v>
      </c>
      <c r="K169" s="9"/>
      <c r="L169" s="9"/>
    </row>
    <row r="170" spans="1:12">
      <c r="A170" s="2">
        <v>41244</v>
      </c>
      <c r="B170" s="90">
        <f>'[11]CoS 2017 Load History'!Q208</f>
        <v>14524051.49</v>
      </c>
      <c r="C170" s="9">
        <f>'Weather Data'!B266</f>
        <v>793.69999999999993</v>
      </c>
      <c r="D170" s="9">
        <f>'Weather Data'!C266</f>
        <v>0</v>
      </c>
      <c r="E170" s="9">
        <v>31</v>
      </c>
      <c r="F170" s="9">
        <v>0</v>
      </c>
      <c r="G170" s="18">
        <f>'CDM Activity'!AA102</f>
        <v>19472.187583923751</v>
      </c>
      <c r="H170" s="37">
        <v>144.83339216504706</v>
      </c>
      <c r="I170" s="218">
        <f>'[11]CoS 2017 Load History'!T208</f>
        <v>18</v>
      </c>
      <c r="J170" s="9">
        <v>304</v>
      </c>
      <c r="K170" s="9"/>
      <c r="L170" s="9"/>
    </row>
    <row r="171" spans="1:12">
      <c r="A171" s="2">
        <v>41275</v>
      </c>
      <c r="B171" s="90">
        <f>'[11]CoS 2017 Load History'!Q209</f>
        <v>14093393.909999998</v>
      </c>
      <c r="C171" s="9">
        <f>'Weather Data'!B267</f>
        <v>928.40000000000009</v>
      </c>
      <c r="D171" s="9">
        <f>'Weather Data'!C267</f>
        <v>0</v>
      </c>
      <c r="E171" s="9">
        <v>31</v>
      </c>
      <c r="F171" s="9">
        <v>0</v>
      </c>
      <c r="G171" s="18">
        <f>'CDM Activity'!AA103</f>
        <v>48760.287899795578</v>
      </c>
      <c r="H171" s="37">
        <v>144.98936781896037</v>
      </c>
      <c r="I171" s="218">
        <f>'[11]CoS 2017 Load History'!T209</f>
        <v>18</v>
      </c>
      <c r="J171" s="9">
        <v>352</v>
      </c>
      <c r="K171" s="9"/>
      <c r="L171" s="9"/>
    </row>
    <row r="172" spans="1:12">
      <c r="A172" s="2">
        <v>41306</v>
      </c>
      <c r="B172" s="90">
        <f>'[11]CoS 2017 Load History'!Q210</f>
        <v>11198999.280000003</v>
      </c>
      <c r="C172" s="9">
        <f>'Weather Data'!B268</f>
        <v>866.59999999999991</v>
      </c>
      <c r="D172" s="9">
        <f>'Weather Data'!C268</f>
        <v>0</v>
      </c>
      <c r="E172" s="9">
        <v>28</v>
      </c>
      <c r="F172" s="9">
        <v>0</v>
      </c>
      <c r="G172" s="18">
        <f>'CDM Activity'!AA104</f>
        <v>78048.388215667408</v>
      </c>
      <c r="H172" s="37">
        <v>145.14551144798114</v>
      </c>
      <c r="I172" s="218">
        <f>'[11]CoS 2017 Load History'!T210</f>
        <v>18</v>
      </c>
      <c r="J172" s="9">
        <v>304</v>
      </c>
      <c r="K172" s="9"/>
      <c r="L172" s="9"/>
    </row>
    <row r="173" spans="1:12">
      <c r="A173" s="2">
        <v>41334</v>
      </c>
      <c r="B173" s="90">
        <f>'[11]CoS 2017 Load History'!Q211</f>
        <v>12490764.900000002</v>
      </c>
      <c r="C173" s="9">
        <f>'Weather Data'!B269</f>
        <v>767.3</v>
      </c>
      <c r="D173" s="9">
        <f>'Weather Data'!C269</f>
        <v>0</v>
      </c>
      <c r="E173" s="9">
        <v>31</v>
      </c>
      <c r="F173" s="9">
        <v>1</v>
      </c>
      <c r="G173" s="18">
        <f>'CDM Activity'!AA105</f>
        <v>107336.48853153923</v>
      </c>
      <c r="H173" s="37">
        <v>145.30182323300707</v>
      </c>
      <c r="I173" s="218">
        <f>'[11]CoS 2017 Load History'!T211</f>
        <v>18</v>
      </c>
      <c r="J173" s="9">
        <v>320</v>
      </c>
      <c r="K173" s="9"/>
      <c r="L173" s="9"/>
    </row>
    <row r="174" spans="1:12">
      <c r="A174" s="2">
        <v>41365</v>
      </c>
      <c r="B174" s="90">
        <f>'[11]CoS 2017 Load History'!Q212</f>
        <v>13600316.9</v>
      </c>
      <c r="C174" s="9">
        <f>'Weather Data'!B270</f>
        <v>524.79999999999995</v>
      </c>
      <c r="D174" s="9">
        <f>'Weather Data'!C270</f>
        <v>0</v>
      </c>
      <c r="E174" s="9">
        <v>30</v>
      </c>
      <c r="F174" s="9">
        <v>1</v>
      </c>
      <c r="G174" s="18">
        <f>'CDM Activity'!AA106</f>
        <v>136624.58884741107</v>
      </c>
      <c r="H174" s="37">
        <v>145.45830335513068</v>
      </c>
      <c r="I174" s="218">
        <f>'[11]CoS 2017 Load History'!T212</f>
        <v>20</v>
      </c>
      <c r="J174" s="9">
        <v>352</v>
      </c>
      <c r="K174" s="9"/>
      <c r="L174" s="9"/>
    </row>
    <row r="175" spans="1:12">
      <c r="A175" s="2">
        <v>41395</v>
      </c>
      <c r="B175" s="90">
        <f>'[11]CoS 2017 Load History'!Q213</f>
        <v>13543097.150000004</v>
      </c>
      <c r="C175" s="9">
        <f>'Weather Data'!B271</f>
        <v>325.3</v>
      </c>
      <c r="D175" s="9">
        <f>'Weather Data'!C271</f>
        <v>0</v>
      </c>
      <c r="E175" s="9">
        <v>31</v>
      </c>
      <c r="F175" s="9">
        <v>1</v>
      </c>
      <c r="G175" s="18">
        <f>'CDM Activity'!AA107</f>
        <v>165912.68916328289</v>
      </c>
      <c r="H175" s="37">
        <v>145.6149519956395</v>
      </c>
      <c r="I175" s="218">
        <f>'[11]CoS 2017 Load History'!T213</f>
        <v>20</v>
      </c>
      <c r="J175" s="9">
        <v>352</v>
      </c>
      <c r="K175" s="9"/>
      <c r="L175" s="9"/>
    </row>
    <row r="176" spans="1:12">
      <c r="A176" s="2">
        <v>41426</v>
      </c>
      <c r="B176" s="90">
        <f>'[11]CoS 2017 Load History'!Q214</f>
        <v>11761137.259999998</v>
      </c>
      <c r="C176" s="9">
        <f>'Weather Data'!B272</f>
        <v>130.9</v>
      </c>
      <c r="D176" s="9">
        <f>'Weather Data'!C272</f>
        <v>5.5</v>
      </c>
      <c r="E176" s="9">
        <v>30</v>
      </c>
      <c r="F176" s="9">
        <v>0</v>
      </c>
      <c r="G176" s="18">
        <f>'CDM Activity'!AA108</f>
        <v>195200.78947915472</v>
      </c>
      <c r="H176" s="37">
        <v>145.77176933601632</v>
      </c>
      <c r="I176" s="218">
        <f>'[11]CoS 2017 Load History'!T214</f>
        <v>20</v>
      </c>
      <c r="J176" s="9">
        <v>320</v>
      </c>
      <c r="K176" s="9"/>
      <c r="L176" s="9"/>
    </row>
    <row r="177" spans="1:13">
      <c r="A177" s="2">
        <v>41456</v>
      </c>
      <c r="B177" s="90">
        <f>'[11]CoS 2017 Load History'!Q215</f>
        <v>12721998.24</v>
      </c>
      <c r="C177" s="9">
        <f>'Weather Data'!B273</f>
        <v>60.7</v>
      </c>
      <c r="D177" s="9">
        <f>'Weather Data'!C273</f>
        <v>28.000000000000007</v>
      </c>
      <c r="E177" s="9">
        <v>31</v>
      </c>
      <c r="F177" s="9">
        <v>0</v>
      </c>
      <c r="G177" s="18">
        <f>'CDM Activity'!AA109</f>
        <v>224488.88979502654</v>
      </c>
      <c r="H177" s="37">
        <v>145.92875555793933</v>
      </c>
      <c r="I177" s="218">
        <f>'[11]CoS 2017 Load History'!T215</f>
        <v>20</v>
      </c>
      <c r="J177" s="9">
        <v>352</v>
      </c>
      <c r="K177" s="9"/>
      <c r="L177" s="9"/>
    </row>
    <row r="178" spans="1:13">
      <c r="A178" s="2">
        <v>41487</v>
      </c>
      <c r="B178" s="90">
        <f>'[11]CoS 2017 Load History'!Q216</f>
        <v>12846812.299999997</v>
      </c>
      <c r="C178" s="9">
        <f>'Weather Data'!B274</f>
        <v>45.8</v>
      </c>
      <c r="D178" s="9">
        <f>'Weather Data'!C274</f>
        <v>41.8</v>
      </c>
      <c r="E178" s="9">
        <v>31</v>
      </c>
      <c r="F178" s="9">
        <v>0</v>
      </c>
      <c r="G178" s="18">
        <f>'CDM Activity'!AA110</f>
        <v>253776.99011089836</v>
      </c>
      <c r="H178" s="37">
        <v>146.08591084328242</v>
      </c>
      <c r="I178" s="218">
        <f>'[11]CoS 2017 Load History'!T216</f>
        <v>20</v>
      </c>
      <c r="J178" s="9">
        <v>336</v>
      </c>
      <c r="K178" s="9"/>
      <c r="L178" s="9"/>
    </row>
    <row r="179" spans="1:13">
      <c r="A179" s="2">
        <v>41518</v>
      </c>
      <c r="B179" s="90">
        <f>'[11]CoS 2017 Load History'!Q217</f>
        <v>12741853.08</v>
      </c>
      <c r="C179" s="9">
        <f>'Weather Data'!B275</f>
        <v>178.79999999999995</v>
      </c>
      <c r="D179" s="9">
        <f>'Weather Data'!C275</f>
        <v>0</v>
      </c>
      <c r="E179" s="9">
        <v>30</v>
      </c>
      <c r="F179" s="9">
        <v>1</v>
      </c>
      <c r="G179" s="18">
        <f>'CDM Activity'!AA111</f>
        <v>283065.09042677021</v>
      </c>
      <c r="H179" s="37">
        <v>146.2432353741153</v>
      </c>
      <c r="I179" s="218">
        <f>'[11]CoS 2017 Load History'!T217</f>
        <v>21</v>
      </c>
      <c r="J179" s="9">
        <v>320</v>
      </c>
      <c r="K179" s="9"/>
      <c r="L179" s="9"/>
    </row>
    <row r="180" spans="1:13">
      <c r="A180" s="2">
        <v>41548</v>
      </c>
      <c r="B180" s="90">
        <f>'[11]CoS 2017 Load History'!Q218</f>
        <v>13717951.050000001</v>
      </c>
      <c r="C180" s="9">
        <f>'Weather Data'!B276</f>
        <v>328.50000000000006</v>
      </c>
      <c r="D180" s="9">
        <f>'Weather Data'!C276</f>
        <v>0</v>
      </c>
      <c r="E180" s="9">
        <v>31</v>
      </c>
      <c r="F180" s="9">
        <v>1</v>
      </c>
      <c r="G180" s="18">
        <f>'CDM Activity'!AA112</f>
        <v>312353.19074264204</v>
      </c>
      <c r="H180" s="37">
        <v>146.4007293327038</v>
      </c>
      <c r="I180" s="218">
        <f>'[11]CoS 2017 Load History'!T218</f>
        <v>22</v>
      </c>
      <c r="J180" s="9">
        <v>352</v>
      </c>
      <c r="K180" s="9"/>
      <c r="L180" s="9"/>
    </row>
    <row r="181" spans="1:13">
      <c r="A181" s="2">
        <v>41579</v>
      </c>
      <c r="B181" s="90">
        <f>'[11]CoS 2017 Load History'!Q219</f>
        <v>14194327.5</v>
      </c>
      <c r="C181" s="9">
        <f>'Weather Data'!B277</f>
        <v>620.6</v>
      </c>
      <c r="D181" s="9">
        <f>'Weather Data'!C277</f>
        <v>0</v>
      </c>
      <c r="E181" s="9">
        <v>30</v>
      </c>
      <c r="F181" s="9">
        <v>1</v>
      </c>
      <c r="G181" s="18">
        <f>'CDM Activity'!AA113</f>
        <v>341641.29105851386</v>
      </c>
      <c r="H181" s="37">
        <v>146.55839290151005</v>
      </c>
      <c r="I181" s="218">
        <f>'[11]CoS 2017 Load History'!T219</f>
        <v>22</v>
      </c>
      <c r="J181" s="9">
        <v>336</v>
      </c>
      <c r="K181" s="9"/>
      <c r="L181" s="9"/>
    </row>
    <row r="182" spans="1:13">
      <c r="A182" s="2">
        <v>41609</v>
      </c>
      <c r="B182" s="90">
        <f>'[11]CoS 2017 Load History'!Q220</f>
        <v>15152062.82</v>
      </c>
      <c r="C182" s="9">
        <f>'Weather Data'!B278</f>
        <v>1112.8999999999999</v>
      </c>
      <c r="D182" s="9">
        <f>'Weather Data'!C278</f>
        <v>0</v>
      </c>
      <c r="E182" s="9">
        <v>31</v>
      </c>
      <c r="F182" s="9">
        <v>0</v>
      </c>
      <c r="G182" s="18">
        <f>'CDM Activity'!AA114</f>
        <v>370929.39137438568</v>
      </c>
      <c r="H182" s="37">
        <v>146.71622626319265</v>
      </c>
      <c r="I182" s="218">
        <f>'[11]CoS 2017 Load History'!T220</f>
        <v>22</v>
      </c>
      <c r="J182" s="9">
        <v>320</v>
      </c>
      <c r="K182" s="9"/>
      <c r="L182" s="9"/>
    </row>
    <row r="183" spans="1:13">
      <c r="A183" s="2">
        <v>41640</v>
      </c>
      <c r="B183" s="90">
        <f>'[11]CoS 2017 Load History'!Q221</f>
        <v>13410038.890000001</v>
      </c>
      <c r="C183" s="9">
        <f>'Weather Data'!B279</f>
        <v>1119.5999999999997</v>
      </c>
      <c r="D183" s="9">
        <f>'Weather Data'!C279</f>
        <v>0</v>
      </c>
      <c r="E183" s="18">
        <v>31</v>
      </c>
      <c r="F183" s="18">
        <v>0</v>
      </c>
      <c r="G183" s="18">
        <f>'CDM Activity'!AA115</f>
        <v>409723.63825999235</v>
      </c>
      <c r="H183" s="37">
        <v>147.04232175221028</v>
      </c>
      <c r="I183" s="218">
        <f>'[11]CoS 2017 Load History'!T221</f>
        <v>20.5</v>
      </c>
      <c r="J183" s="9">
        <v>352</v>
      </c>
      <c r="K183" s="9"/>
      <c r="L183" s="9"/>
      <c r="M183" s="101"/>
    </row>
    <row r="184" spans="1:13">
      <c r="A184" s="2">
        <v>41671</v>
      </c>
      <c r="B184" s="90">
        <f>'[11]CoS 2017 Load History'!Q222</f>
        <v>11428320.119999999</v>
      </c>
      <c r="C184" s="9">
        <f>'Weather Data'!B280</f>
        <v>978.39999999999986</v>
      </c>
      <c r="D184" s="9">
        <f>'Weather Data'!C280</f>
        <v>0</v>
      </c>
      <c r="E184" s="18">
        <v>28</v>
      </c>
      <c r="F184" s="18">
        <v>0</v>
      </c>
      <c r="G184" s="18">
        <f>'CDM Activity'!AA116</f>
        <v>448517.88514559902</v>
      </c>
      <c r="H184" s="37">
        <v>147.36914202996238</v>
      </c>
      <c r="I184" s="218">
        <f>'[11]CoS 2017 Load History'!T222</f>
        <v>19.75</v>
      </c>
      <c r="J184" s="9">
        <v>304</v>
      </c>
      <c r="K184" s="9"/>
      <c r="L184" s="9"/>
      <c r="M184" s="101"/>
    </row>
    <row r="185" spans="1:13">
      <c r="A185" s="2">
        <v>41699</v>
      </c>
      <c r="B185" s="90">
        <f>'[11]CoS 2017 Load History'!Q223</f>
        <v>12645686.449999999</v>
      </c>
      <c r="C185" s="9">
        <f>'Weather Data'!B281</f>
        <v>883.5</v>
      </c>
      <c r="D185" s="9">
        <f>'Weather Data'!C281</f>
        <v>0</v>
      </c>
      <c r="E185" s="18">
        <v>31</v>
      </c>
      <c r="F185" s="18">
        <v>1</v>
      </c>
      <c r="G185" s="18">
        <f>'CDM Activity'!AA117</f>
        <v>487312.13203120569</v>
      </c>
      <c r="H185" s="37">
        <v>147.69668870738414</v>
      </c>
      <c r="I185" s="218">
        <f>'[11]CoS 2017 Load History'!T223</f>
        <v>19.375</v>
      </c>
      <c r="J185" s="9">
        <v>336</v>
      </c>
      <c r="K185" s="9"/>
      <c r="L185" s="9"/>
      <c r="M185" s="101"/>
    </row>
    <row r="186" spans="1:13">
      <c r="A186" s="2">
        <v>41730</v>
      </c>
      <c r="B186" s="90">
        <f>'[11]CoS 2017 Load History'!Q224</f>
        <v>12904272.600000001</v>
      </c>
      <c r="C186" s="9">
        <f>'Weather Data'!B282</f>
        <v>522.9</v>
      </c>
      <c r="D186" s="9">
        <f>'Weather Data'!C282</f>
        <v>0</v>
      </c>
      <c r="E186" s="18">
        <v>30</v>
      </c>
      <c r="F186" s="18">
        <v>1</v>
      </c>
      <c r="G186" s="18">
        <f>'CDM Activity'!AA118</f>
        <v>526106.37891681236</v>
      </c>
      <c r="H186" s="37">
        <v>148.02496339899133</v>
      </c>
      <c r="I186" s="218">
        <f>'[11]CoS 2017 Load History'!T224</f>
        <v>19.1875</v>
      </c>
      <c r="J186" s="9">
        <v>320</v>
      </c>
      <c r="K186" s="9"/>
      <c r="L186" s="9"/>
      <c r="M186" s="101"/>
    </row>
    <row r="187" spans="1:13">
      <c r="A187" s="2">
        <v>41760</v>
      </c>
      <c r="B187" s="90">
        <f>'[11]CoS 2017 Load History'!Q225</f>
        <v>14394245.810000001</v>
      </c>
      <c r="C187" s="9">
        <f>'Weather Data'!B283</f>
        <v>266.90000000000003</v>
      </c>
      <c r="D187" s="9">
        <f>'Weather Data'!C283</f>
        <v>1.1000000000000001</v>
      </c>
      <c r="E187" s="18">
        <v>31</v>
      </c>
      <c r="F187" s="18">
        <v>1</v>
      </c>
      <c r="G187" s="18">
        <f>'CDM Activity'!AA119</f>
        <v>564900.62580241903</v>
      </c>
      <c r="H187" s="37">
        <v>148.35396772288814</v>
      </c>
      <c r="I187" s="218">
        <f>'[11]CoS 2017 Load History'!T225</f>
        <v>19.09375</v>
      </c>
      <c r="J187" s="9">
        <v>336</v>
      </c>
      <c r="K187" s="9"/>
      <c r="L187" s="9"/>
      <c r="M187" s="101"/>
    </row>
    <row r="188" spans="1:13">
      <c r="A188" s="2">
        <v>41791</v>
      </c>
      <c r="B188" s="90">
        <f>'[11]CoS 2017 Load History'!Q226</f>
        <v>13712451.9</v>
      </c>
      <c r="C188" s="9">
        <f>'Weather Data'!B284</f>
        <v>135.19999999999999</v>
      </c>
      <c r="D188" s="9">
        <f>'Weather Data'!C284</f>
        <v>6</v>
      </c>
      <c r="E188" s="18">
        <v>30</v>
      </c>
      <c r="F188" s="18">
        <v>0</v>
      </c>
      <c r="G188" s="18">
        <f>'CDM Activity'!AA120</f>
        <v>603694.8726880257</v>
      </c>
      <c r="H188" s="37">
        <v>148.68370330077519</v>
      </c>
      <c r="I188" s="218">
        <f>'[11]CoS 2017 Load History'!T226</f>
        <v>19.046875</v>
      </c>
      <c r="J188" s="9">
        <v>336</v>
      </c>
      <c r="K188" s="9"/>
      <c r="L188" s="9"/>
      <c r="M188" s="101"/>
    </row>
    <row r="189" spans="1:13">
      <c r="A189" s="2">
        <v>41821</v>
      </c>
      <c r="B189" s="90">
        <f>'[11]CoS 2017 Load History'!Q227</f>
        <v>13954625.469999999</v>
      </c>
      <c r="C189" s="9">
        <f>'Weather Data'!B285</f>
        <v>47.199999999999989</v>
      </c>
      <c r="D189" s="9">
        <f>'Weather Data'!C285</f>
        <v>9.5</v>
      </c>
      <c r="E189" s="18">
        <v>31</v>
      </c>
      <c r="F189" s="18">
        <v>0</v>
      </c>
      <c r="G189" s="18">
        <f>'CDM Activity'!AA121</f>
        <v>642489.11957363237</v>
      </c>
      <c r="H189" s="37">
        <v>149.0141717579576</v>
      </c>
      <c r="I189" s="218">
        <f>'[11]CoS 2017 Load History'!T227</f>
        <v>19.0234375</v>
      </c>
      <c r="J189" s="9">
        <v>352</v>
      </c>
      <c r="K189" s="9"/>
      <c r="L189" s="9"/>
      <c r="M189" s="101"/>
    </row>
    <row r="190" spans="1:13">
      <c r="A190" s="2">
        <v>41852</v>
      </c>
      <c r="B190" s="90">
        <f>'[11]CoS 2017 Load History'!Q228</f>
        <v>13629989.839999998</v>
      </c>
      <c r="C190" s="9">
        <f>'Weather Data'!B286</f>
        <v>65.200000000000017</v>
      </c>
      <c r="D190" s="9">
        <f>'Weather Data'!C286</f>
        <v>10.099999999999998</v>
      </c>
      <c r="E190" s="18">
        <v>31</v>
      </c>
      <c r="F190" s="18">
        <v>0</v>
      </c>
      <c r="G190" s="18">
        <f>'CDM Activity'!AA122</f>
        <v>681283.36645923904</v>
      </c>
      <c r="H190" s="37">
        <v>149.34537472335285</v>
      </c>
      <c r="I190" s="218">
        <f>'[11]CoS 2017 Load History'!T228</f>
        <v>19.51171875</v>
      </c>
      <c r="J190" s="9">
        <v>320</v>
      </c>
      <c r="K190" s="9"/>
      <c r="L190" s="9"/>
      <c r="M190" s="101"/>
    </row>
    <row r="191" spans="1:13">
      <c r="A191" s="2">
        <v>41883</v>
      </c>
      <c r="B191" s="90">
        <f>'[11]CoS 2017 Load History'!Q229</f>
        <v>13394474.999999998</v>
      </c>
      <c r="C191" s="9">
        <f>'Weather Data'!B287</f>
        <v>196.5</v>
      </c>
      <c r="D191" s="9">
        <f>'Weather Data'!C287</f>
        <v>0</v>
      </c>
      <c r="E191" s="18">
        <v>30</v>
      </c>
      <c r="F191" s="18">
        <v>1</v>
      </c>
      <c r="G191" s="18">
        <f>'CDM Activity'!AA123</f>
        <v>720077.61334484571</v>
      </c>
      <c r="H191" s="37">
        <v>149.67731382949896</v>
      </c>
      <c r="I191" s="218">
        <f>'[11]CoS 2017 Load History'!T229</f>
        <v>19.755859375</v>
      </c>
      <c r="J191" s="9">
        <v>336</v>
      </c>
      <c r="K191" s="9"/>
      <c r="L191" s="9"/>
      <c r="M191" s="101"/>
    </row>
    <row r="192" spans="1:13">
      <c r="A192" s="2">
        <v>41913</v>
      </c>
      <c r="B192" s="90">
        <f>'[11]CoS 2017 Load History'!Q230</f>
        <v>13852040.699999999</v>
      </c>
      <c r="C192" s="9">
        <f>'Weather Data'!B288</f>
        <v>382.59999999999997</v>
      </c>
      <c r="D192" s="9">
        <f>'Weather Data'!C288</f>
        <v>0</v>
      </c>
      <c r="E192" s="18">
        <v>31</v>
      </c>
      <c r="F192" s="18">
        <v>1</v>
      </c>
      <c r="G192" s="18">
        <f>'CDM Activity'!AA124</f>
        <v>758871.86023045238</v>
      </c>
      <c r="H192" s="37">
        <v>150.00999071256246</v>
      </c>
      <c r="I192" s="218">
        <f>'[11]CoS 2017 Load History'!T230</f>
        <v>20.3779296875</v>
      </c>
      <c r="J192" s="9">
        <v>352</v>
      </c>
      <c r="K192" s="9"/>
      <c r="L192" s="9"/>
      <c r="M192" s="101"/>
    </row>
    <row r="193" spans="1:13">
      <c r="A193" s="2">
        <v>41944</v>
      </c>
      <c r="B193" s="90">
        <f>'[11]CoS 2017 Load History'!Q231</f>
        <v>14505990.899999999</v>
      </c>
      <c r="C193" s="9">
        <f>'Weather Data'!B289</f>
        <v>647.79999999999995</v>
      </c>
      <c r="D193" s="9">
        <f>'Weather Data'!C289</f>
        <v>0</v>
      </c>
      <c r="E193" s="18">
        <v>30</v>
      </c>
      <c r="F193" s="18">
        <v>1</v>
      </c>
      <c r="G193" s="18">
        <f>'CDM Activity'!AA125</f>
        <v>797666.10711605905</v>
      </c>
      <c r="H193" s="37">
        <v>150.34340701234646</v>
      </c>
      <c r="I193" s="218">
        <f>'[11]CoS 2017 Load History'!T231</f>
        <v>20.68896484375</v>
      </c>
      <c r="J193" s="9">
        <v>304</v>
      </c>
      <c r="K193" s="9"/>
      <c r="L193" s="9"/>
      <c r="M193" s="101"/>
    </row>
    <row r="194" spans="1:13">
      <c r="A194" s="2">
        <v>41974</v>
      </c>
      <c r="B194" s="90">
        <f>'[11]CoS 2017 Load History'!Q232</f>
        <v>14943145.450000003</v>
      </c>
      <c r="C194" s="9">
        <f>'Weather Data'!B290</f>
        <v>780.59999999999991</v>
      </c>
      <c r="D194" s="9">
        <f>'Weather Data'!C290</f>
        <v>0</v>
      </c>
      <c r="E194" s="18">
        <v>31</v>
      </c>
      <c r="F194" s="18">
        <v>0</v>
      </c>
      <c r="G194" s="18">
        <f>'CDM Activity'!AA126</f>
        <v>836460.35400166572</v>
      </c>
      <c r="H194" s="37">
        <v>150.67756437229883</v>
      </c>
      <c r="I194" s="218">
        <f>'[11]CoS 2017 Load History'!T232</f>
        <v>20.844482421875</v>
      </c>
      <c r="J194" s="9">
        <v>336</v>
      </c>
      <c r="K194" s="9"/>
      <c r="L194" s="9"/>
      <c r="M194" s="101"/>
    </row>
    <row r="195" spans="1:13">
      <c r="A195" s="2">
        <v>42005</v>
      </c>
      <c r="B195" s="90">
        <f>'[11]CoS 2017 Load History'!Q233</f>
        <v>13828880.029999997</v>
      </c>
      <c r="C195" s="9">
        <f>'Weather Data'!B291</f>
        <v>979.49999999999989</v>
      </c>
      <c r="D195" s="9">
        <f>'Weather Data'!C291</f>
        <v>0</v>
      </c>
      <c r="E195" s="18">
        <v>31</v>
      </c>
      <c r="F195" s="18">
        <v>0</v>
      </c>
      <c r="G195" s="18">
        <f>'CDM Activity'!AA127</f>
        <v>920383.54082836933</v>
      </c>
      <c r="H195" s="37">
        <v>150.98793548444445</v>
      </c>
      <c r="I195" s="218">
        <f>'[11]CoS 2017 Load History'!T233</f>
        <v>20.42236328125</v>
      </c>
      <c r="J195" s="9">
        <v>336</v>
      </c>
      <c r="K195" s="9"/>
      <c r="L195" s="9"/>
      <c r="M195" s="101"/>
    </row>
    <row r="196" spans="1:13">
      <c r="A196" s="2">
        <v>42036</v>
      </c>
      <c r="B196" s="90">
        <f>'[11]CoS 2017 Load History'!Q234</f>
        <v>11415722.080000002</v>
      </c>
      <c r="C196" s="9">
        <f>'Weather Data'!B292</f>
        <v>1053.3</v>
      </c>
      <c r="D196" s="9">
        <f>'Weather Data'!C292</f>
        <v>0</v>
      </c>
      <c r="E196" s="18">
        <v>28</v>
      </c>
      <c r="F196" s="18">
        <v>0</v>
      </c>
      <c r="G196" s="18">
        <f>'CDM Activity'!AA128</f>
        <v>1004306.7276550729</v>
      </c>
      <c r="H196" s="37">
        <v>151.298945910264</v>
      </c>
      <c r="I196" s="218">
        <f>'[11]CoS 2017 Load History'!T234</f>
        <v>20.711181640625</v>
      </c>
      <c r="J196" s="9">
        <v>304</v>
      </c>
      <c r="K196" s="9"/>
      <c r="L196" s="9"/>
      <c r="M196" s="101"/>
    </row>
    <row r="197" spans="1:13">
      <c r="A197" s="2">
        <v>42064</v>
      </c>
      <c r="B197" s="90">
        <f>'[11]CoS 2017 Load History'!Q235</f>
        <v>11963087.239999998</v>
      </c>
      <c r="C197" s="9">
        <f>'Weather Data'!B293</f>
        <v>710.39999999999986</v>
      </c>
      <c r="D197" s="9">
        <f>'Weather Data'!C293</f>
        <v>0</v>
      </c>
      <c r="E197" s="18">
        <v>31</v>
      </c>
      <c r="F197" s="18">
        <v>1</v>
      </c>
      <c r="G197" s="18">
        <f>'CDM Activity'!AA129</f>
        <v>1088229.9144817765</v>
      </c>
      <c r="H197" s="37">
        <v>151.61059696663892</v>
      </c>
      <c r="I197" s="218">
        <f>'[11]CoS 2017 Load History'!T235</f>
        <v>20.8555908203125</v>
      </c>
      <c r="J197" s="9">
        <v>352</v>
      </c>
      <c r="K197" s="9"/>
      <c r="L197" s="9"/>
      <c r="M197" s="101"/>
    </row>
    <row r="198" spans="1:13">
      <c r="A198" s="2">
        <v>42095</v>
      </c>
      <c r="B198" s="90">
        <f>'[11]CoS 2017 Load History'!Q236</f>
        <v>13197197.139999999</v>
      </c>
      <c r="C198" s="9">
        <f>'Weather Data'!B294</f>
        <v>432.09999999999997</v>
      </c>
      <c r="D198" s="9">
        <f>'Weather Data'!C294</f>
        <v>0</v>
      </c>
      <c r="E198" s="18">
        <v>30</v>
      </c>
      <c r="F198" s="18">
        <v>1</v>
      </c>
      <c r="G198" s="18">
        <f>'CDM Activity'!AA130</f>
        <v>1172153.1013084801</v>
      </c>
      <c r="H198" s="37">
        <v>151.92288997316331</v>
      </c>
      <c r="I198" s="218">
        <f>'[11]CoS 2017 Load History'!T236</f>
        <v>20.92779541015625</v>
      </c>
      <c r="J198" s="9">
        <v>336</v>
      </c>
      <c r="K198" s="9"/>
      <c r="L198" s="9"/>
      <c r="M198" s="101"/>
    </row>
    <row r="199" spans="1:13">
      <c r="A199" s="2">
        <v>42125</v>
      </c>
      <c r="B199" s="90">
        <f>'[11]CoS 2017 Load History'!Q237</f>
        <v>13855913.140000001</v>
      </c>
      <c r="C199" s="9">
        <f>'Weather Data'!B295</f>
        <v>276</v>
      </c>
      <c r="D199" s="9">
        <f>'Weather Data'!C295</f>
        <v>0</v>
      </c>
      <c r="E199" s="18">
        <v>31</v>
      </c>
      <c r="F199" s="18">
        <v>1</v>
      </c>
      <c r="G199" s="18">
        <f>'CDM Activity'!AA131</f>
        <v>1256076.2881351837</v>
      </c>
      <c r="H199" s="37">
        <v>152.23582625214937</v>
      </c>
      <c r="I199" s="218">
        <f>'[11]CoS 2017 Load History'!T237</f>
        <v>20.963897705078125</v>
      </c>
      <c r="J199" s="9">
        <v>320</v>
      </c>
      <c r="K199" s="9"/>
      <c r="L199" s="9"/>
      <c r="M199" s="101"/>
    </row>
    <row r="200" spans="1:13">
      <c r="A200" s="2">
        <v>42156</v>
      </c>
      <c r="B200" s="90">
        <f>'[11]CoS 2017 Load History'!Q238</f>
        <v>13012397.700000001</v>
      </c>
      <c r="C200" s="9">
        <f>'Weather Data'!B296</f>
        <v>118.60000000000004</v>
      </c>
      <c r="D200" s="9">
        <f>'Weather Data'!C296</f>
        <v>0</v>
      </c>
      <c r="E200" s="18">
        <v>30</v>
      </c>
      <c r="F200" s="18">
        <v>0</v>
      </c>
      <c r="G200" s="18">
        <f>'CDM Activity'!AA132</f>
        <v>1339999.4749618873</v>
      </c>
      <c r="H200" s="37">
        <v>152.54940712863302</v>
      </c>
      <c r="I200" s="218">
        <f>'[11]CoS 2017 Load History'!T238</f>
        <v>20.981948852539063</v>
      </c>
      <c r="J200" s="9">
        <v>352</v>
      </c>
      <c r="K200" s="9"/>
      <c r="L200" s="9"/>
      <c r="M200" s="101"/>
    </row>
    <row r="201" spans="1:13">
      <c r="A201" s="2">
        <v>42186</v>
      </c>
      <c r="B201" s="90">
        <f>'[11]CoS 2017 Load History'!Q239</f>
        <v>13745162.989999998</v>
      </c>
      <c r="C201" s="9">
        <f>'Weather Data'!B297</f>
        <v>31.7</v>
      </c>
      <c r="D201" s="9">
        <f>'Weather Data'!C297</f>
        <v>38.000000000000007</v>
      </c>
      <c r="E201" s="18">
        <v>31</v>
      </c>
      <c r="F201" s="18">
        <v>0</v>
      </c>
      <c r="G201" s="18">
        <f>'CDM Activity'!AA133</f>
        <v>1423922.661788591</v>
      </c>
      <c r="H201" s="37">
        <v>152.86363393037959</v>
      </c>
      <c r="I201" s="218">
        <f>'[11]CoS 2017 Load History'!T239</f>
        <v>20.990974426269531</v>
      </c>
      <c r="J201" s="9">
        <v>352</v>
      </c>
      <c r="K201" s="9"/>
      <c r="L201" s="9"/>
      <c r="M201" s="101"/>
    </row>
    <row r="202" spans="1:13">
      <c r="A202" s="2">
        <v>42217</v>
      </c>
      <c r="B202" s="90">
        <f>'[11]CoS 2017 Load History'!Q240</f>
        <v>13185375.390000004</v>
      </c>
      <c r="C202" s="9">
        <f>'Weather Data'!B298</f>
        <v>50.7</v>
      </c>
      <c r="D202" s="9">
        <f>'Weather Data'!C298</f>
        <v>35.4</v>
      </c>
      <c r="E202" s="18">
        <v>31</v>
      </c>
      <c r="F202" s="18">
        <v>0</v>
      </c>
      <c r="G202" s="18">
        <f>'CDM Activity'!AA134</f>
        <v>1507845.8486152946</v>
      </c>
      <c r="H202" s="37">
        <v>153.17850798788936</v>
      </c>
      <c r="I202" s="218">
        <f>'[11]CoS 2017 Load History'!T240</f>
        <v>20.995487213134766</v>
      </c>
      <c r="J202" s="9">
        <v>320</v>
      </c>
      <c r="K202" s="9"/>
      <c r="L202" s="9"/>
      <c r="M202" s="101"/>
    </row>
    <row r="203" spans="1:13">
      <c r="A203" s="2">
        <v>42248</v>
      </c>
      <c r="B203" s="90">
        <f>'[11]CoS 2017 Load History'!Q241</f>
        <v>13810977.6</v>
      </c>
      <c r="C203" s="9">
        <f>'Weather Data'!B299</f>
        <v>106.20000000000002</v>
      </c>
      <c r="D203" s="9">
        <f>'Weather Data'!C299</f>
        <v>15.8</v>
      </c>
      <c r="E203" s="18">
        <v>30</v>
      </c>
      <c r="F203" s="18">
        <v>1</v>
      </c>
      <c r="G203" s="18">
        <f>'CDM Activity'!AA135</f>
        <v>1591769.0354419982</v>
      </c>
      <c r="H203" s="37">
        <v>153.4940306344032</v>
      </c>
      <c r="I203" s="218">
        <f>'[11]CoS 2017 Load History'!T241</f>
        <v>20.997743606567383</v>
      </c>
      <c r="J203" s="9">
        <v>336</v>
      </c>
      <c r="K203" s="9"/>
      <c r="L203" s="9"/>
      <c r="M203" s="101"/>
    </row>
    <row r="204" spans="1:13">
      <c r="A204" s="2">
        <v>42278</v>
      </c>
      <c r="B204" s="90">
        <f>'[11]CoS 2017 Load History'!Q242</f>
        <v>13811537.880000003</v>
      </c>
      <c r="C204" s="9">
        <f>'Weather Data'!B300</f>
        <v>345.9</v>
      </c>
      <c r="D204" s="9">
        <f>'Weather Data'!C300</f>
        <v>0</v>
      </c>
      <c r="E204" s="18">
        <v>31</v>
      </c>
      <c r="F204" s="18">
        <v>1</v>
      </c>
      <c r="G204" s="18">
        <f>'CDM Activity'!AA136</f>
        <v>1675692.2222687018</v>
      </c>
      <c r="H204" s="37">
        <v>153.81020320590829</v>
      </c>
      <c r="I204" s="218">
        <f>'[11]CoS 2017 Load History'!T242</f>
        <v>20.998871803283691</v>
      </c>
      <c r="J204" s="9">
        <v>336</v>
      </c>
      <c r="K204" s="9"/>
      <c r="L204" s="9"/>
      <c r="M204" s="101"/>
    </row>
    <row r="205" spans="1:13">
      <c r="A205" s="2">
        <v>42309</v>
      </c>
      <c r="B205" s="90">
        <f>'[11]CoS 2017 Load History'!Q243</f>
        <v>14854291.199999999</v>
      </c>
      <c r="C205" s="9">
        <f>'Weather Data'!B301</f>
        <v>469.10000000000008</v>
      </c>
      <c r="D205" s="9">
        <f>'Weather Data'!C301</f>
        <v>0</v>
      </c>
      <c r="E205" s="18">
        <v>30</v>
      </c>
      <c r="F205" s="18">
        <v>1</v>
      </c>
      <c r="G205" s="18">
        <f>'CDM Activity'!AA137</f>
        <v>1759615.4090954054</v>
      </c>
      <c r="H205" s="37">
        <v>154.12702704114372</v>
      </c>
      <c r="I205" s="218">
        <f>'[11]CoS 2017 Load History'!T243</f>
        <v>20.999435901641846</v>
      </c>
      <c r="J205" s="9">
        <v>320</v>
      </c>
      <c r="K205" s="9"/>
      <c r="L205" s="9"/>
      <c r="M205" s="101"/>
    </row>
    <row r="206" spans="1:13">
      <c r="A206" s="2">
        <v>42339</v>
      </c>
      <c r="B206" s="90">
        <f>'[11]CoS 2017 Load History'!Q244</f>
        <v>15092411.999999998</v>
      </c>
      <c r="C206" s="9">
        <f>'Weather Data'!B302</f>
        <v>564.90000000000009</v>
      </c>
      <c r="D206" s="9">
        <f>'Weather Data'!C302</f>
        <v>0</v>
      </c>
      <c r="E206" s="18">
        <v>31</v>
      </c>
      <c r="F206" s="18">
        <v>0</v>
      </c>
      <c r="G206" s="18">
        <f>'CDM Activity'!AA138</f>
        <v>1843538.595922109</v>
      </c>
      <c r="H206" s="37">
        <v>154.44450348160629</v>
      </c>
      <c r="I206" s="218">
        <f>'[11]CoS 2017 Load History'!T244</f>
        <v>20.999717950820923</v>
      </c>
      <c r="J206" s="9">
        <v>352</v>
      </c>
      <c r="K206" s="9"/>
      <c r="L206" s="9"/>
      <c r="M206" s="101"/>
    </row>
    <row r="207" spans="1:13">
      <c r="A207" s="2">
        <v>42370</v>
      </c>
      <c r="B207" s="90"/>
      <c r="C207" s="62"/>
      <c r="D207" s="62"/>
      <c r="E207" s="18">
        <v>31</v>
      </c>
      <c r="F207" s="18">
        <v>0</v>
      </c>
      <c r="G207" s="18">
        <f>'CDM Activity'!AA139</f>
        <v>1855494.5930247013</v>
      </c>
      <c r="H207" s="37">
        <v>154.72483615659849</v>
      </c>
      <c r="I207" s="18"/>
      <c r="J207" s="9">
        <v>320</v>
      </c>
      <c r="K207" s="9"/>
      <c r="L207" s="9"/>
      <c r="M207" s="101"/>
    </row>
    <row r="208" spans="1:13">
      <c r="A208" s="2">
        <v>42401</v>
      </c>
      <c r="B208" s="90"/>
      <c r="C208" s="62"/>
      <c r="D208" s="62"/>
      <c r="E208" s="18">
        <v>29</v>
      </c>
      <c r="F208" s="18">
        <v>0</v>
      </c>
      <c r="G208" s="18">
        <f>'CDM Activity'!AA140</f>
        <v>1867450.5901272937</v>
      </c>
      <c r="H208" s="37">
        <v>155.00567766425806</v>
      </c>
      <c r="I208" s="18"/>
      <c r="J208" s="9">
        <v>320</v>
      </c>
      <c r="K208" s="9"/>
      <c r="L208" s="9"/>
      <c r="M208" s="101"/>
    </row>
    <row r="209" spans="1:13">
      <c r="A209" s="2">
        <v>42430</v>
      </c>
      <c r="B209" s="90"/>
      <c r="C209" s="62"/>
      <c r="D209" s="62"/>
      <c r="E209" s="18">
        <v>31</v>
      </c>
      <c r="F209" s="18">
        <v>1</v>
      </c>
      <c r="G209" s="18">
        <f>'CDM Activity'!AA141</f>
        <v>1879406.5872298861</v>
      </c>
      <c r="H209" s="37">
        <v>155.2870289281687</v>
      </c>
      <c r="I209" s="18"/>
      <c r="J209" s="9">
        <v>352</v>
      </c>
      <c r="K209" s="9"/>
      <c r="L209" s="9"/>
      <c r="M209" s="101"/>
    </row>
    <row r="210" spans="1:13">
      <c r="A210" s="2">
        <v>42461</v>
      </c>
      <c r="B210" s="90"/>
      <c r="C210" s="62"/>
      <c r="D210" s="62"/>
      <c r="E210" s="18">
        <v>30</v>
      </c>
      <c r="F210" s="18">
        <v>1</v>
      </c>
      <c r="G210" s="18">
        <f>'CDM Activity'!AA142</f>
        <v>1891362.5843324785</v>
      </c>
      <c r="H210" s="37">
        <v>155.56889087359048</v>
      </c>
      <c r="I210" s="18"/>
      <c r="J210" s="9">
        <v>336</v>
      </c>
      <c r="K210" s="9"/>
      <c r="L210" s="9"/>
      <c r="M210" s="101"/>
    </row>
    <row r="211" spans="1:13">
      <c r="A211" s="2">
        <v>42491</v>
      </c>
      <c r="B211" s="90"/>
      <c r="C211" s="62"/>
      <c r="D211" s="62"/>
      <c r="E211" s="18">
        <v>31</v>
      </c>
      <c r="F211" s="18">
        <v>1</v>
      </c>
      <c r="G211" s="18">
        <f>'CDM Activity'!AA143</f>
        <v>1903318.5814350708</v>
      </c>
      <c r="H211" s="37">
        <v>155.85126442746289</v>
      </c>
      <c r="I211" s="18"/>
      <c r="J211" s="9">
        <v>336</v>
      </c>
      <c r="K211" s="9"/>
      <c r="L211" s="9"/>
      <c r="M211" s="101"/>
    </row>
    <row r="212" spans="1:13">
      <c r="A212" s="2">
        <v>42522</v>
      </c>
      <c r="B212" s="90"/>
      <c r="C212" s="62"/>
      <c r="D212" s="62"/>
      <c r="E212" s="18">
        <v>30</v>
      </c>
      <c r="F212" s="18">
        <v>0</v>
      </c>
      <c r="G212" s="18">
        <f>'CDM Activity'!AA144</f>
        <v>1915274.5785376632</v>
      </c>
      <c r="H212" s="37">
        <v>156.13415051840798</v>
      </c>
      <c r="I212" s="18"/>
      <c r="J212" s="9">
        <v>352</v>
      </c>
      <c r="K212" s="9"/>
      <c r="L212" s="9"/>
      <c r="M212" s="101"/>
    </row>
    <row r="213" spans="1:13">
      <c r="A213" s="2">
        <v>42552</v>
      </c>
      <c r="B213" s="90"/>
      <c r="C213" s="62"/>
      <c r="D213" s="62"/>
      <c r="E213" s="18">
        <v>31</v>
      </c>
      <c r="F213" s="18">
        <v>0</v>
      </c>
      <c r="G213" s="18">
        <f>'CDM Activity'!AA145</f>
        <v>1927230.5756402556</v>
      </c>
      <c r="H213" s="37">
        <v>156.41755007673331</v>
      </c>
      <c r="I213" s="18"/>
      <c r="J213" s="9">
        <v>320</v>
      </c>
      <c r="K213" s="9"/>
      <c r="L213" s="9"/>
      <c r="M213" s="101"/>
    </row>
    <row r="214" spans="1:13">
      <c r="A214" s="2">
        <v>42583</v>
      </c>
      <c r="B214" s="90"/>
      <c r="C214" s="62"/>
      <c r="D214" s="62"/>
      <c r="E214" s="18">
        <v>31</v>
      </c>
      <c r="F214" s="18">
        <v>0</v>
      </c>
      <c r="G214" s="18">
        <f>'CDM Activity'!AA146</f>
        <v>1939186.572742848</v>
      </c>
      <c r="H214" s="37">
        <v>156.70146403443502</v>
      </c>
      <c r="I214" s="18"/>
      <c r="J214" s="9">
        <v>352</v>
      </c>
      <c r="K214" s="9"/>
      <c r="L214" s="9"/>
      <c r="M214" s="101"/>
    </row>
    <row r="215" spans="1:13">
      <c r="A215" s="2">
        <v>42614</v>
      </c>
      <c r="B215" s="90"/>
      <c r="C215" s="62"/>
      <c r="D215" s="62"/>
      <c r="E215" s="18">
        <v>30</v>
      </c>
      <c r="F215" s="18">
        <v>1</v>
      </c>
      <c r="G215" s="18">
        <f>'CDM Activity'!AA147</f>
        <v>1951142.5698454403</v>
      </c>
      <c r="H215" s="37">
        <v>156.98589332520095</v>
      </c>
      <c r="I215" s="18"/>
      <c r="J215" s="9">
        <v>336</v>
      </c>
      <c r="K215" s="9"/>
      <c r="L215" s="9"/>
      <c r="M215" s="101"/>
    </row>
    <row r="216" spans="1:13">
      <c r="A216" s="2">
        <v>42644</v>
      </c>
      <c r="B216" s="90"/>
      <c r="C216" s="62"/>
      <c r="D216" s="62"/>
      <c r="E216" s="18">
        <v>31</v>
      </c>
      <c r="F216" s="18">
        <v>1</v>
      </c>
      <c r="G216" s="18">
        <f>'CDM Activity'!AA148</f>
        <v>1963098.5669480327</v>
      </c>
      <c r="H216" s="37">
        <v>157.27083888441365</v>
      </c>
      <c r="I216" s="18"/>
      <c r="J216" s="9">
        <v>320</v>
      </c>
      <c r="K216" s="9"/>
      <c r="L216" s="9"/>
      <c r="M216" s="101"/>
    </row>
    <row r="217" spans="1:13">
      <c r="A217" s="2">
        <v>42675</v>
      </c>
      <c r="B217" s="90"/>
      <c r="C217" s="62"/>
      <c r="D217" s="62"/>
      <c r="E217" s="18">
        <v>30</v>
      </c>
      <c r="F217" s="18">
        <v>1</v>
      </c>
      <c r="G217" s="18">
        <f>'CDM Activity'!AA149</f>
        <v>1975054.5640506251</v>
      </c>
      <c r="H217" s="37">
        <v>157.55630164915351</v>
      </c>
      <c r="I217" s="18"/>
      <c r="J217" s="9">
        <v>336</v>
      </c>
      <c r="K217" s="9"/>
      <c r="L217" s="9"/>
      <c r="M217" s="101"/>
    </row>
    <row r="218" spans="1:13">
      <c r="A218" s="2">
        <v>42705</v>
      </c>
      <c r="B218" s="90"/>
      <c r="C218" s="62"/>
      <c r="D218" s="62"/>
      <c r="E218" s="18">
        <v>31</v>
      </c>
      <c r="F218" s="18">
        <v>0</v>
      </c>
      <c r="G218" s="18">
        <f>'CDM Activity'!AA150</f>
        <v>1987010.5611532175</v>
      </c>
      <c r="H218" s="37">
        <v>157.84228255820162</v>
      </c>
      <c r="I218" s="18"/>
      <c r="J218" s="9">
        <v>336</v>
      </c>
      <c r="K218" s="9"/>
      <c r="L218" s="9"/>
      <c r="M218" s="101"/>
    </row>
    <row r="219" spans="1:13">
      <c r="A219" s="2">
        <v>42736</v>
      </c>
      <c r="B219" s="90"/>
      <c r="C219" s="62"/>
      <c r="D219" s="62"/>
      <c r="E219" s="18">
        <v>31</v>
      </c>
      <c r="F219" s="18">
        <v>0</v>
      </c>
      <c r="G219" s="18">
        <f>'CDM Activity'!AA151</f>
        <v>1972184.108472991</v>
      </c>
      <c r="H219" s="37">
        <v>158.15454692394951</v>
      </c>
      <c r="I219" s="18"/>
      <c r="J219" s="9">
        <v>336</v>
      </c>
      <c r="K219" s="9"/>
      <c r="L219" s="9"/>
      <c r="M219" s="101"/>
    </row>
    <row r="220" spans="1:13">
      <c r="A220" s="2">
        <v>42767</v>
      </c>
      <c r="B220" s="90"/>
      <c r="C220" s="62"/>
      <c r="D220" s="62"/>
      <c r="E220" s="18">
        <v>28</v>
      </c>
      <c r="F220" s="18">
        <v>0</v>
      </c>
      <c r="G220" s="18">
        <f>'CDM Activity'!AA152</f>
        <v>1957357.6557927646</v>
      </c>
      <c r="H220" s="37">
        <v>158.46742905214063</v>
      </c>
      <c r="I220" s="18"/>
      <c r="J220" s="9">
        <v>304</v>
      </c>
      <c r="K220" s="9"/>
      <c r="L220" s="9"/>
      <c r="M220" s="101"/>
    </row>
    <row r="221" spans="1:13">
      <c r="A221" s="2">
        <v>42795</v>
      </c>
      <c r="B221" s="90"/>
      <c r="C221" s="62"/>
      <c r="D221" s="62"/>
      <c r="E221" s="18">
        <v>31</v>
      </c>
      <c r="F221" s="18">
        <v>1</v>
      </c>
      <c r="G221" s="18">
        <f>'CDM Activity'!AA153</f>
        <v>1942531.2031125382</v>
      </c>
      <c r="H221" s="37">
        <v>158.78093016491388</v>
      </c>
      <c r="I221" s="18"/>
      <c r="J221" s="9">
        <v>368</v>
      </c>
      <c r="K221" s="9"/>
      <c r="L221" s="9"/>
      <c r="M221" s="101"/>
    </row>
    <row r="222" spans="1:13">
      <c r="A222" s="2">
        <v>42826</v>
      </c>
      <c r="B222" s="90"/>
      <c r="C222" s="62"/>
      <c r="D222" s="62"/>
      <c r="E222" s="18">
        <v>30</v>
      </c>
      <c r="F222" s="18">
        <v>1</v>
      </c>
      <c r="G222" s="18">
        <f>'CDM Activity'!AA154</f>
        <v>1927704.7504323118</v>
      </c>
      <c r="H222" s="37">
        <v>159.09505148682601</v>
      </c>
      <c r="I222" s="18"/>
      <c r="J222" s="9">
        <v>304</v>
      </c>
      <c r="K222" s="9"/>
      <c r="L222" s="9"/>
      <c r="M222" s="101"/>
    </row>
    <row r="223" spans="1:13">
      <c r="A223" s="2">
        <v>42856</v>
      </c>
      <c r="B223" s="90"/>
      <c r="C223" s="62"/>
      <c r="D223" s="62"/>
      <c r="E223" s="18">
        <v>31</v>
      </c>
      <c r="F223" s="18">
        <v>1</v>
      </c>
      <c r="G223" s="18">
        <f>'CDM Activity'!AA155</f>
        <v>1912878.2977520854</v>
      </c>
      <c r="H223" s="37">
        <v>159.4097942448563</v>
      </c>
      <c r="I223" s="18"/>
      <c r="J223" s="9">
        <v>352</v>
      </c>
      <c r="K223" s="9"/>
      <c r="L223" s="9"/>
      <c r="M223" s="101"/>
    </row>
    <row r="224" spans="1:13">
      <c r="A224" s="2">
        <v>42887</v>
      </c>
      <c r="B224" s="90"/>
      <c r="C224" s="62"/>
      <c r="D224" s="62"/>
      <c r="E224" s="18">
        <v>30</v>
      </c>
      <c r="F224" s="18">
        <v>0</v>
      </c>
      <c r="G224" s="18">
        <f>'CDM Activity'!AA156</f>
        <v>1898051.845071859</v>
      </c>
      <c r="H224" s="37">
        <v>159.72515966841141</v>
      </c>
      <c r="I224" s="18"/>
      <c r="J224" s="9">
        <v>352</v>
      </c>
      <c r="K224" s="9"/>
      <c r="L224" s="9"/>
      <c r="M224" s="101"/>
    </row>
    <row r="225" spans="1:13">
      <c r="A225" s="2">
        <v>42917</v>
      </c>
      <c r="B225" s="90"/>
      <c r="C225" s="62"/>
      <c r="D225" s="62"/>
      <c r="E225" s="18">
        <v>31</v>
      </c>
      <c r="F225" s="18">
        <v>0</v>
      </c>
      <c r="G225" s="18">
        <f>'CDM Activity'!AA157</f>
        <v>1883225.3923916325</v>
      </c>
      <c r="H225" s="37">
        <v>160.0411489893302</v>
      </c>
      <c r="I225" s="18"/>
      <c r="J225" s="9">
        <v>320</v>
      </c>
      <c r="K225" s="9"/>
      <c r="L225" s="9"/>
      <c r="M225" s="101"/>
    </row>
    <row r="226" spans="1:13">
      <c r="A226" s="2">
        <v>42948</v>
      </c>
      <c r="B226" s="90"/>
      <c r="C226" s="62"/>
      <c r="D226" s="62"/>
      <c r="E226" s="18">
        <v>31</v>
      </c>
      <c r="F226" s="18">
        <v>0</v>
      </c>
      <c r="G226" s="18">
        <f>'CDM Activity'!AA158</f>
        <v>1868398.9397114061</v>
      </c>
      <c r="H226" s="37">
        <v>160.35776344188849</v>
      </c>
      <c r="I226" s="18"/>
      <c r="J226" s="9">
        <v>352</v>
      </c>
      <c r="K226" s="9"/>
      <c r="L226" s="9"/>
      <c r="M226" s="101"/>
    </row>
    <row r="227" spans="1:13">
      <c r="A227" s="2">
        <v>42979</v>
      </c>
      <c r="B227" s="90"/>
      <c r="C227" s="62"/>
      <c r="D227" s="62"/>
      <c r="E227" s="18">
        <v>30</v>
      </c>
      <c r="F227" s="18">
        <v>1</v>
      </c>
      <c r="G227" s="18">
        <f>'CDM Activity'!AA159</f>
        <v>1853572.4870311797</v>
      </c>
      <c r="H227" s="37">
        <v>160.67500426280395</v>
      </c>
      <c r="I227" s="18"/>
      <c r="J227" s="9">
        <v>320</v>
      </c>
      <c r="K227" s="9"/>
      <c r="L227" s="9"/>
      <c r="M227" s="101"/>
    </row>
    <row r="228" spans="1:13">
      <c r="A228" s="2">
        <v>43009</v>
      </c>
      <c r="B228" s="90"/>
      <c r="C228" s="62"/>
      <c r="D228" s="62"/>
      <c r="E228" s="18">
        <v>31</v>
      </c>
      <c r="F228" s="18">
        <v>1</v>
      </c>
      <c r="G228" s="18">
        <f>'CDM Activity'!AA160</f>
        <v>1838746.0343509533</v>
      </c>
      <c r="H228" s="37">
        <v>160.99287269124085</v>
      </c>
      <c r="I228" s="18"/>
      <c r="J228" s="9">
        <v>336</v>
      </c>
      <c r="K228" s="9"/>
      <c r="L228" s="9"/>
      <c r="M228" s="101"/>
    </row>
    <row r="229" spans="1:13">
      <c r="A229" s="2">
        <v>43040</v>
      </c>
      <c r="B229" s="90"/>
      <c r="C229" s="62"/>
      <c r="D229" s="62"/>
      <c r="E229" s="18">
        <v>30</v>
      </c>
      <c r="F229" s="18">
        <v>1</v>
      </c>
      <c r="G229" s="18">
        <f>'CDM Activity'!AA161</f>
        <v>1823919.5816707269</v>
      </c>
      <c r="H229" s="37">
        <v>161.31136996881492</v>
      </c>
      <c r="I229" s="18"/>
      <c r="J229" s="9">
        <v>352</v>
      </c>
      <c r="K229" s="9"/>
      <c r="L229" s="9"/>
      <c r="M229" s="101"/>
    </row>
    <row r="230" spans="1:13">
      <c r="A230" s="2">
        <v>43070</v>
      </c>
      <c r="B230" s="90"/>
      <c r="C230" s="62"/>
      <c r="D230" s="62"/>
      <c r="E230" s="18">
        <v>31</v>
      </c>
      <c r="F230" s="18">
        <v>0</v>
      </c>
      <c r="G230" s="18">
        <f>'CDM Activity'!AA162</f>
        <v>1809093.1289905005</v>
      </c>
      <c r="H230" s="37">
        <v>161.63049733959846</v>
      </c>
      <c r="I230" s="18"/>
      <c r="J230" s="9">
        <v>304</v>
      </c>
      <c r="K230" s="9"/>
      <c r="L230" s="9"/>
      <c r="M230" s="101"/>
    </row>
    <row r="231" spans="1:13">
      <c r="B231"/>
      <c r="C231"/>
      <c r="D231"/>
      <c r="E231"/>
      <c r="F231"/>
      <c r="G231"/>
      <c r="H231"/>
      <c r="I231"/>
      <c r="J231"/>
      <c r="K231"/>
      <c r="L231"/>
      <c r="M231"/>
    </row>
    <row r="232" spans="1:13">
      <c r="B232"/>
      <c r="C232"/>
      <c r="D232"/>
      <c r="E232"/>
      <c r="F232"/>
      <c r="G232"/>
      <c r="H232"/>
      <c r="I232"/>
      <c r="J232"/>
      <c r="K232"/>
      <c r="L232"/>
      <c r="M232"/>
    </row>
    <row r="233" spans="1:13">
      <c r="B233"/>
      <c r="C233"/>
      <c r="D233"/>
      <c r="E233"/>
      <c r="F233"/>
      <c r="G233"/>
      <c r="H233"/>
      <c r="I233"/>
      <c r="J233"/>
      <c r="K233"/>
      <c r="L233"/>
      <c r="M233"/>
    </row>
    <row r="234" spans="1:13">
      <c r="A234">
        <v>2006</v>
      </c>
      <c r="B234" s="5">
        <f>SUM(B87:B98)</f>
        <v>216210086.33999994</v>
      </c>
      <c r="C234"/>
      <c r="D234"/>
      <c r="E234"/>
      <c r="F234"/>
      <c r="G234"/>
      <c r="H234"/>
      <c r="I234"/>
      <c r="J234"/>
      <c r="K234"/>
      <c r="L234"/>
      <c r="M234"/>
    </row>
    <row r="235" spans="1:13">
      <c r="A235" s="17">
        <v>2007</v>
      </c>
      <c r="B235" s="5">
        <f>SUM(B99:B110)</f>
        <v>206642574.96000001</v>
      </c>
      <c r="C235"/>
      <c r="D235"/>
      <c r="E235"/>
      <c r="F235"/>
      <c r="G235"/>
      <c r="H235"/>
      <c r="I235"/>
      <c r="J235"/>
      <c r="K235"/>
      <c r="L235"/>
      <c r="M235"/>
    </row>
    <row r="236" spans="1:13">
      <c r="A236">
        <v>2008</v>
      </c>
      <c r="B236" s="5">
        <f>SUM(B111:B122)</f>
        <v>181479430.40000001</v>
      </c>
      <c r="C236"/>
      <c r="D236"/>
      <c r="E236"/>
      <c r="F236"/>
      <c r="G236"/>
      <c r="H236"/>
      <c r="I236"/>
      <c r="J236"/>
      <c r="K236"/>
      <c r="L236"/>
      <c r="M236"/>
    </row>
    <row r="237" spans="1:13">
      <c r="A237" s="17">
        <v>2009</v>
      </c>
      <c r="B237" s="5">
        <f>SUM(B123:B134)</f>
        <v>170625602.24000001</v>
      </c>
      <c r="C237"/>
      <c r="D237"/>
      <c r="E237"/>
      <c r="F237"/>
      <c r="G237"/>
      <c r="H237"/>
      <c r="I237"/>
      <c r="J237"/>
      <c r="K237"/>
      <c r="L237"/>
      <c r="M237"/>
    </row>
    <row r="238" spans="1:13">
      <c r="A238">
        <v>2010</v>
      </c>
      <c r="B238" s="5">
        <f>SUM(B135:B146)</f>
        <v>153278417.59999999</v>
      </c>
      <c r="C238"/>
      <c r="D238"/>
      <c r="E238"/>
      <c r="F238"/>
      <c r="G238"/>
      <c r="H238"/>
      <c r="I238"/>
      <c r="J238"/>
      <c r="K238"/>
      <c r="L238"/>
      <c r="M238"/>
    </row>
    <row r="239" spans="1:13">
      <c r="A239">
        <v>2011</v>
      </c>
      <c r="B239" s="5">
        <f>SUM(B147:B158)</f>
        <v>158154293.34</v>
      </c>
      <c r="C239"/>
      <c r="D239"/>
      <c r="E239"/>
      <c r="F239"/>
      <c r="G239"/>
      <c r="H239"/>
      <c r="I239"/>
      <c r="J239"/>
      <c r="K239"/>
      <c r="L239"/>
      <c r="M239"/>
    </row>
    <row r="240" spans="1:13">
      <c r="A240">
        <v>2012</v>
      </c>
      <c r="B240" s="5">
        <f>SUM(B159:B170)</f>
        <v>161345729.31</v>
      </c>
      <c r="C240"/>
      <c r="D240"/>
      <c r="E240"/>
      <c r="F240"/>
      <c r="G240"/>
      <c r="H240"/>
      <c r="I240"/>
      <c r="J240"/>
      <c r="K240"/>
      <c r="L240"/>
      <c r="M240"/>
    </row>
    <row r="241" spans="1:13">
      <c r="A241">
        <v>2013</v>
      </c>
      <c r="B241" s="5">
        <f>SUM(B171:B182)</f>
        <v>158062714.38999999</v>
      </c>
      <c r="C241"/>
      <c r="D241"/>
      <c r="E241"/>
      <c r="F241"/>
      <c r="G241"/>
      <c r="H241"/>
      <c r="I241"/>
      <c r="J241"/>
      <c r="K241"/>
      <c r="L241"/>
      <c r="M241"/>
    </row>
    <row r="242" spans="1:13">
      <c r="A242">
        <v>2014</v>
      </c>
      <c r="B242" s="5">
        <f>SUM(B183:B194)</f>
        <v>162775283.13</v>
      </c>
      <c r="C242"/>
      <c r="D242"/>
      <c r="E242"/>
      <c r="F242"/>
      <c r="G242"/>
      <c r="H242"/>
      <c r="I242"/>
      <c r="J242"/>
      <c r="K242"/>
      <c r="L242"/>
      <c r="M242"/>
    </row>
    <row r="243" spans="1:13">
      <c r="A243" s="17">
        <v>2015</v>
      </c>
      <c r="B243" s="5">
        <f>SUM(B195:B206)</f>
        <v>161772954.38999999</v>
      </c>
      <c r="C243"/>
      <c r="D243"/>
      <c r="E243"/>
      <c r="F243"/>
      <c r="G243"/>
      <c r="H243"/>
      <c r="I243"/>
      <c r="J243"/>
      <c r="K243"/>
      <c r="L243"/>
      <c r="M243"/>
    </row>
    <row r="244" spans="1:13">
      <c r="B244"/>
      <c r="C244"/>
      <c r="D244"/>
      <c r="E244"/>
      <c r="F244"/>
      <c r="G244"/>
      <c r="H244"/>
      <c r="I244"/>
      <c r="J244"/>
      <c r="K244"/>
      <c r="L244"/>
      <c r="M244"/>
    </row>
    <row r="245" spans="1:13">
      <c r="B245"/>
      <c r="C245"/>
      <c r="D245"/>
      <c r="E245"/>
      <c r="F245"/>
      <c r="G245"/>
      <c r="H245"/>
      <c r="I245"/>
      <c r="J245"/>
      <c r="K245"/>
      <c r="L245"/>
      <c r="M245"/>
    </row>
    <row r="246" spans="1:13">
      <c r="B246"/>
      <c r="C246"/>
      <c r="D246"/>
      <c r="E246"/>
      <c r="F246"/>
      <c r="G246"/>
      <c r="H246"/>
      <c r="I246"/>
      <c r="J246"/>
      <c r="K246"/>
      <c r="L246"/>
      <c r="M246"/>
    </row>
    <row r="247" spans="1:13">
      <c r="B247"/>
      <c r="C247"/>
      <c r="D247"/>
      <c r="E247"/>
      <c r="F247"/>
      <c r="G247"/>
      <c r="H247"/>
      <c r="I247"/>
      <c r="J247"/>
      <c r="K247"/>
      <c r="L247"/>
      <c r="M247"/>
    </row>
    <row r="248" spans="1:13">
      <c r="B248"/>
      <c r="C248"/>
      <c r="D248"/>
      <c r="E248"/>
      <c r="F248"/>
      <c r="G248"/>
      <c r="H248"/>
      <c r="I248"/>
      <c r="J248"/>
      <c r="K248"/>
      <c r="L248"/>
      <c r="M248"/>
    </row>
    <row r="249" spans="1:13">
      <c r="B249"/>
      <c r="C249"/>
      <c r="D249"/>
      <c r="E249"/>
      <c r="F249"/>
      <c r="G249"/>
      <c r="H249"/>
      <c r="I249"/>
      <c r="J249"/>
      <c r="K249"/>
      <c r="L249"/>
      <c r="M249"/>
    </row>
    <row r="250" spans="1:13">
      <c r="B250"/>
      <c r="C250"/>
      <c r="D250"/>
      <c r="E250"/>
      <c r="F250"/>
      <c r="G250"/>
      <c r="H250"/>
      <c r="I250"/>
      <c r="J250"/>
      <c r="K250"/>
      <c r="L250"/>
      <c r="M250"/>
    </row>
    <row r="251" spans="1:13">
      <c r="B251"/>
      <c r="C251"/>
      <c r="D251"/>
      <c r="E251"/>
      <c r="F251"/>
      <c r="G251"/>
      <c r="H251"/>
      <c r="I251"/>
      <c r="J251"/>
      <c r="K251"/>
      <c r="L251"/>
      <c r="M251"/>
    </row>
    <row r="252" spans="1:13">
      <c r="B252"/>
      <c r="C252"/>
      <c r="D252"/>
      <c r="E252"/>
      <c r="F252"/>
      <c r="G252"/>
      <c r="H252"/>
      <c r="I252"/>
      <c r="J252"/>
      <c r="K252"/>
      <c r="L252"/>
      <c r="M252"/>
    </row>
    <row r="253" spans="1:13">
      <c r="B253"/>
      <c r="C253"/>
      <c r="D253"/>
      <c r="E253"/>
      <c r="F253"/>
      <c r="G253"/>
      <c r="H253"/>
      <c r="I253"/>
      <c r="J253"/>
      <c r="K253"/>
      <c r="L253"/>
      <c r="M253"/>
    </row>
    <row r="254" spans="1:13">
      <c r="B254"/>
      <c r="C254"/>
      <c r="D254"/>
      <c r="E254"/>
      <c r="F254"/>
      <c r="G254"/>
      <c r="H254"/>
      <c r="I254"/>
      <c r="J254"/>
      <c r="K254"/>
      <c r="L254"/>
      <c r="M254"/>
    </row>
    <row r="255" spans="1:13">
      <c r="B255"/>
      <c r="C255"/>
      <c r="D255"/>
      <c r="E255"/>
      <c r="F255"/>
      <c r="G255"/>
      <c r="H255"/>
      <c r="I255"/>
      <c r="J255"/>
      <c r="K255"/>
      <c r="L255"/>
      <c r="M255"/>
    </row>
    <row r="256" spans="1:13">
      <c r="B256"/>
      <c r="C256"/>
      <c r="D256"/>
      <c r="E256"/>
      <c r="F256"/>
      <c r="G256"/>
      <c r="H256"/>
      <c r="I256"/>
      <c r="J256"/>
      <c r="K256"/>
      <c r="L256"/>
      <c r="M256"/>
    </row>
    <row r="257" spans="2:13">
      <c r="B257"/>
      <c r="C257"/>
      <c r="D257"/>
      <c r="E257"/>
      <c r="F257"/>
      <c r="G257"/>
      <c r="H257"/>
      <c r="I257"/>
      <c r="J257"/>
      <c r="K257"/>
      <c r="L257"/>
      <c r="M257"/>
    </row>
    <row r="258" spans="2:13">
      <c r="B258"/>
      <c r="C258"/>
      <c r="D258"/>
      <c r="E258"/>
      <c r="F258"/>
      <c r="G258"/>
      <c r="H258"/>
      <c r="I258"/>
      <c r="J258"/>
      <c r="K258"/>
      <c r="L258"/>
      <c r="M258"/>
    </row>
    <row r="259" spans="2:13">
      <c r="B259"/>
      <c r="C259"/>
      <c r="D259"/>
      <c r="E259"/>
      <c r="F259"/>
      <c r="G259"/>
      <c r="H259"/>
      <c r="I259"/>
      <c r="J259"/>
      <c r="K259"/>
      <c r="L259"/>
      <c r="M259"/>
    </row>
    <row r="260" spans="2:13">
      <c r="B260"/>
      <c r="C260"/>
      <c r="D260"/>
      <c r="E260"/>
      <c r="F260"/>
      <c r="G260"/>
      <c r="H260"/>
      <c r="I260"/>
      <c r="J260"/>
      <c r="K260"/>
      <c r="L260"/>
      <c r="M260"/>
    </row>
    <row r="261" spans="2:13">
      <c r="B261"/>
      <c r="C261"/>
      <c r="D261"/>
      <c r="E261"/>
      <c r="F261"/>
      <c r="G261"/>
      <c r="H261"/>
      <c r="I261"/>
      <c r="J261"/>
      <c r="K261"/>
      <c r="L261"/>
      <c r="M261"/>
    </row>
    <row r="262" spans="2:13">
      <c r="C262" s="5"/>
      <c r="D262" s="5"/>
      <c r="E262" s="5"/>
      <c r="F262" s="5"/>
      <c r="G262" s="5"/>
      <c r="I262" s="5"/>
      <c r="J262" s="5"/>
      <c r="K262" s="5"/>
    </row>
    <row r="263" spans="2:13">
      <c r="K263" s="5"/>
    </row>
  </sheetData>
  <phoneticPr fontId="0" type="noConversion"/>
  <pageMargins left="0.38" right="0.75" top="0.73" bottom="0.74" header="0.5" footer="0.5"/>
  <pageSetup orientation="landscape" verticalDpi="300"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2:T63"/>
  <sheetViews>
    <sheetView workbookViewId="0">
      <pane xSplit="1" ySplit="2" topLeftCell="H39" activePane="bottomRight" state="frozen"/>
      <selection pane="topRight" activeCell="B1" sqref="B1"/>
      <selection pane="bottomLeft" activeCell="A3" sqref="A3"/>
      <selection pane="bottomRight" activeCell="R62" sqref="A1:R62"/>
    </sheetView>
  </sheetViews>
  <sheetFormatPr defaultRowHeight="12.75"/>
  <cols>
    <col min="1" max="1" width="25.42578125" customWidth="1"/>
    <col min="2" max="5" width="18" hidden="1" customWidth="1"/>
    <col min="6" max="7" width="15.7109375" hidden="1" customWidth="1"/>
    <col min="8" max="8" width="15" style="5" customWidth="1"/>
    <col min="9" max="9" width="14.140625" style="5" bestFit="1" customWidth="1"/>
    <col min="10" max="10" width="14.5703125" style="5" customWidth="1"/>
    <col min="11" max="11" width="14.140625" style="5" customWidth="1"/>
    <col min="12" max="12" width="14.7109375" style="5" customWidth="1"/>
    <col min="13" max="14" width="13.85546875" style="5" bestFit="1" customWidth="1"/>
    <col min="15" max="15" width="13.85546875" style="5" customWidth="1"/>
    <col min="16" max="20" width="12.7109375" style="5" bestFit="1" customWidth="1"/>
    <col min="21" max="21" width="11.140625" bestFit="1" customWidth="1"/>
    <col min="23" max="23" width="10.140625" bestFit="1" customWidth="1"/>
  </cols>
  <sheetData>
    <row r="2" spans="1:20" ht="42" customHeight="1">
      <c r="H2" s="47" t="s">
        <v>74</v>
      </c>
      <c r="I2" s="89" t="s">
        <v>141</v>
      </c>
      <c r="J2" s="89" t="s">
        <v>142</v>
      </c>
      <c r="K2" s="89" t="s">
        <v>413</v>
      </c>
      <c r="L2" s="89" t="s">
        <v>276</v>
      </c>
      <c r="M2" s="48" t="s">
        <v>304</v>
      </c>
      <c r="N2" s="48" t="s">
        <v>305</v>
      </c>
      <c r="O2" s="48" t="s">
        <v>354</v>
      </c>
    </row>
    <row r="3" spans="1:20">
      <c r="A3">
        <f>'Purchased Power Model '!A234</f>
        <v>2006</v>
      </c>
      <c r="H3" s="69">
        <f>Residential!B234</f>
        <v>344985670.16000092</v>
      </c>
      <c r="I3" s="69">
        <f>'GS &lt; 50 kW'!B234</f>
        <v>141631018.54999995</v>
      </c>
      <c r="J3" s="69">
        <f>'GS &gt; 50 kW'!B234</f>
        <v>299216792.75999993</v>
      </c>
      <c r="K3" s="28">
        <f>'GS &gt; 1000  kW'!B234 + SUM('[11]CoS 2017 Load History'!$V$125:$V$136)</f>
        <v>241350662.01999995</v>
      </c>
      <c r="L3" s="223"/>
      <c r="M3" s="223">
        <f>SUM('[11]CoS 2017 Load History'!$AA$125:$AA$136)</f>
        <v>9862692.7200000007</v>
      </c>
      <c r="N3" s="223">
        <f>SUM('[11]CoS 2017 Load History'!$AF$125:$AF$136)</f>
        <v>134611.20000000004</v>
      </c>
      <c r="O3" s="223">
        <f>SUM('[11]CoS 2017 Load History'!$AK$125:$AK$136)</f>
        <v>1856376.03</v>
      </c>
      <c r="P3" s="5">
        <f>SUM(H3:O3)</f>
        <v>1039037823.4400008</v>
      </c>
      <c r="Q3"/>
      <c r="R3"/>
      <c r="S3"/>
      <c r="T3"/>
    </row>
    <row r="4" spans="1:20">
      <c r="A4">
        <f>'Purchased Power Model '!A235</f>
        <v>2007</v>
      </c>
      <c r="H4" s="69">
        <f>Residential!B235</f>
        <v>347356682.25000095</v>
      </c>
      <c r="I4" s="69">
        <f>'GS &lt; 50 kW'!B235</f>
        <v>140795615.54000005</v>
      </c>
      <c r="J4" s="69">
        <f>'GS &gt; 50 kW'!B235</f>
        <v>298981716.29999995</v>
      </c>
      <c r="K4" s="28">
        <f>'GS &gt; 1000  kW'!B235 + SUM('[11]CoS 2017 Load History'!$V$137:$V$148)</f>
        <v>230921503.04000002</v>
      </c>
      <c r="L4" s="223"/>
      <c r="M4" s="223">
        <f>SUM('[11]CoS 2017 Load History'!$AA$137:$AA$148)</f>
        <v>10907925.719999999</v>
      </c>
      <c r="N4" s="223">
        <f>SUM('[11]CoS 2017 Load History'!$AF$137:$AF$148)</f>
        <v>125582.39999999998</v>
      </c>
      <c r="O4" s="223">
        <f>SUM('[11]CoS 2017 Load History'!$AK$137:$AK$148)</f>
        <v>2031490.7000000002</v>
      </c>
      <c r="P4" s="5">
        <f t="shared" ref="P4:P12" si="0">SUM(H4:O4)</f>
        <v>1031120515.9500011</v>
      </c>
      <c r="Q4"/>
      <c r="R4"/>
      <c r="S4"/>
      <c r="T4"/>
    </row>
    <row r="5" spans="1:20">
      <c r="A5">
        <f>'Purchased Power Model '!A236</f>
        <v>2008</v>
      </c>
      <c r="H5" s="69">
        <f>Residential!B236</f>
        <v>349640195.36999899</v>
      </c>
      <c r="I5" s="69">
        <f>'GS &lt; 50 kW'!B236</f>
        <v>140901919.11999995</v>
      </c>
      <c r="J5" s="69">
        <f>'GS &gt; 50 kW'!B236</f>
        <v>297548976.91999996</v>
      </c>
      <c r="K5" s="28">
        <f>'GS &gt; 1000  kW'!B236 + SUM('[11]CoS 2017 Load History'!$V$149:$V$160)</f>
        <v>204491830.29000002</v>
      </c>
      <c r="L5" s="223"/>
      <c r="M5" s="223">
        <f>SUM('[11]CoS 2017 Load History'!$AA$149:$AA$160)</f>
        <v>10834527.1</v>
      </c>
      <c r="N5" s="223">
        <f>SUM('[11]CoS 2017 Load History'!$AF$149:$AF$160)</f>
        <v>122983.2</v>
      </c>
      <c r="O5" s="223">
        <f>SUM('[11]CoS 2017 Load History'!$AK$149:$AK$160)</f>
        <v>1952922.6400000001</v>
      </c>
      <c r="P5" s="5">
        <f t="shared" si="0"/>
        <v>1005493354.6399989</v>
      </c>
      <c r="Q5"/>
      <c r="R5"/>
      <c r="S5"/>
      <c r="T5"/>
    </row>
    <row r="6" spans="1:20">
      <c r="A6">
        <f>'Purchased Power Model '!A237</f>
        <v>2009</v>
      </c>
      <c r="H6" s="69">
        <f>Residential!B237</f>
        <v>344727820.68999922</v>
      </c>
      <c r="I6" s="69">
        <f>'GS &lt; 50 kW'!B237</f>
        <v>137506815.68000019</v>
      </c>
      <c r="J6" s="69">
        <f>'GS &gt; 50 kW'!B237</f>
        <v>290804126.80000007</v>
      </c>
      <c r="K6" s="28">
        <f>'GS &gt; 1000  kW'!B237 +SUM('[11]CoS 2017 Load History'!$V$161:$V$172)</f>
        <v>189989954.51000002</v>
      </c>
      <c r="L6" s="223"/>
      <c r="M6" s="223">
        <f>SUM('[11]CoS 2017 Load History'!$AA$161:$AA$172)</f>
        <v>11591322.310000001</v>
      </c>
      <c r="N6" s="223">
        <f>SUM('[11]CoS 2017 Load History'!$AF$161:$AF$172)</f>
        <v>129617.99999999999</v>
      </c>
      <c r="O6" s="223">
        <f>SUM('[11]CoS 2017 Load History'!$AK$161:$AK$172)</f>
        <v>1974983.6700000004</v>
      </c>
      <c r="P6" s="5">
        <f t="shared" si="0"/>
        <v>976724641.65999937</v>
      </c>
      <c r="Q6"/>
      <c r="R6"/>
      <c r="S6"/>
      <c r="T6"/>
    </row>
    <row r="7" spans="1:20">
      <c r="A7">
        <f>'Purchased Power Model '!A238</f>
        <v>2010</v>
      </c>
      <c r="H7" s="69">
        <f>Residential!B238</f>
        <v>335588529.46999955</v>
      </c>
      <c r="I7" s="69">
        <f>'GS &lt; 50 kW'!B238</f>
        <v>132765784.44999993</v>
      </c>
      <c r="J7" s="69">
        <f>'GS &gt; 50 kW'!B238</f>
        <v>285047816.86000013</v>
      </c>
      <c r="K7" s="28">
        <f>'GS &gt; 1000  kW'!B238 + SUM('[11]CoS 2017 Load History'!$V$173:$V$184)</f>
        <v>177283841.63</v>
      </c>
      <c r="L7" s="223"/>
      <c r="M7" s="223">
        <f>SUM('[11]CoS 2017 Load History'!$AA$173:$AA$184)</f>
        <v>11241250.439999999</v>
      </c>
      <c r="N7" s="223">
        <f>SUM('[11]CoS 2017 Load History'!$AF$173:$AF$184)</f>
        <v>136868.40000000002</v>
      </c>
      <c r="O7" s="223">
        <f>SUM('[11]CoS 2017 Load History'!$AK$173:$AK$184)</f>
        <v>1946641.3000000003</v>
      </c>
      <c r="P7" s="5">
        <f t="shared" si="0"/>
        <v>944010732.54999959</v>
      </c>
      <c r="Q7"/>
      <c r="R7"/>
      <c r="S7"/>
      <c r="T7"/>
    </row>
    <row r="8" spans="1:20">
      <c r="A8">
        <f>'Purchased Power Model '!A239</f>
        <v>2011</v>
      </c>
      <c r="H8" s="69">
        <f>Residential!B239</f>
        <v>337212306.49999964</v>
      </c>
      <c r="I8" s="69">
        <f>'GS &lt; 50 kW'!B239</f>
        <v>135688687.22999996</v>
      </c>
      <c r="J8" s="69">
        <f>'GS &gt; 50 kW'!B239</f>
        <v>288525140.48999989</v>
      </c>
      <c r="K8" s="28">
        <f>'GS &gt; 1000  kW'!B239 + SUM('[11]CoS 2017 Load History'!$V$185:$V$196)</f>
        <v>183178133.00999999</v>
      </c>
      <c r="L8" s="223"/>
      <c r="M8" s="223">
        <f>SUM('[11]CoS 2017 Load History'!$AA$185:$AA$196)</f>
        <v>11244632.459999999</v>
      </c>
      <c r="N8" s="223">
        <f>SUM('[11]CoS 2017 Load History'!$AF$185:$AF$196)</f>
        <v>121136.40000000001</v>
      </c>
      <c r="O8" s="223">
        <f>SUM('[11]CoS 2017 Load History'!$AK$185:$AK$196)</f>
        <v>1971315.4000000004</v>
      </c>
      <c r="P8" s="5">
        <f t="shared" si="0"/>
        <v>957941351.48999953</v>
      </c>
      <c r="Q8"/>
      <c r="R8"/>
      <c r="S8"/>
      <c r="T8"/>
    </row>
    <row r="9" spans="1:20">
      <c r="A9">
        <f>'Purchased Power Model '!A240</f>
        <v>2012</v>
      </c>
      <c r="H9" s="69">
        <f>Residential!B240</f>
        <v>331142424.8599996</v>
      </c>
      <c r="I9" s="69">
        <f>'GS &lt; 50 kW'!B240</f>
        <v>133678840.49000008</v>
      </c>
      <c r="J9" s="69">
        <f>'GS &gt; 50 kW'!B240</f>
        <v>283475240.67000002</v>
      </c>
      <c r="K9" s="28">
        <f>'GS &gt; 1000  kW'!B240 + SUM('[11]CoS 2017 Load History'!$V$197:$V$208)</f>
        <v>188531681.40000001</v>
      </c>
      <c r="L9" s="223"/>
      <c r="M9" s="223">
        <f>SUM('[11]CoS 2017 Load History'!$AA$197:$AA$208)</f>
        <v>11062691.710000001</v>
      </c>
      <c r="N9" s="223">
        <f>SUM('[11]CoS 2017 Load History'!$AF$197:$AF$208)</f>
        <v>141784.07999999999</v>
      </c>
      <c r="O9" s="223">
        <f>SUM('[11]CoS 2017 Load History'!$AK$197:$AK$208)</f>
        <v>1980462.86</v>
      </c>
      <c r="P9" s="5">
        <f t="shared" si="0"/>
        <v>950013126.06999981</v>
      </c>
      <c r="Q9"/>
      <c r="R9"/>
      <c r="S9"/>
      <c r="T9"/>
    </row>
    <row r="10" spans="1:20">
      <c r="A10">
        <f>'Purchased Power Model '!A241</f>
        <v>2013</v>
      </c>
      <c r="H10" s="69">
        <f>Residential!B241</f>
        <v>341035888.63527828</v>
      </c>
      <c r="I10" s="69">
        <f>'GS &lt; 50 kW'!B241</f>
        <v>136331185.61000001</v>
      </c>
      <c r="J10" s="69">
        <f>'GS &gt; 50 kW'!B241</f>
        <v>285068374.38</v>
      </c>
      <c r="K10" s="28">
        <f>'GS &gt; 1000  kW'!B241 + SUM('[11]CoS 2017 Load History'!$V$209:$V$220)</f>
        <v>187992826.44999999</v>
      </c>
      <c r="L10" s="223"/>
      <c r="M10" s="223">
        <f>SUM('[11]CoS 2017 Load History'!$AA$209:$AA$220)</f>
        <v>10555413.669999998</v>
      </c>
      <c r="N10" s="223">
        <f>SUM('[11]CoS 2017 Load History'!$AF$209:$AF$220)</f>
        <v>144894</v>
      </c>
      <c r="O10" s="223">
        <f>SUM('[11]CoS 2017 Load History'!$AK$209:$AK$220)</f>
        <v>1992260.1800000002</v>
      </c>
      <c r="P10" s="5">
        <f t="shared" si="0"/>
        <v>963120842.92527819</v>
      </c>
      <c r="Q10"/>
      <c r="R10"/>
      <c r="S10"/>
      <c r="T10"/>
    </row>
    <row r="11" spans="1:20">
      <c r="A11">
        <f>'Purchased Power Model '!A242</f>
        <v>2014</v>
      </c>
      <c r="H11" s="69">
        <f>Residential!B242</f>
        <v>340024795.88802838</v>
      </c>
      <c r="I11" s="69">
        <f>'GS &lt; 50 kW'!B242</f>
        <v>139285835.96861196</v>
      </c>
      <c r="J11" s="69">
        <f>'GS &gt; 50 kW'!B242</f>
        <v>280037460.24000001</v>
      </c>
      <c r="K11" s="28">
        <f>'GS &gt; 1000  kW'!B242 + SUM('[11]CoS 2017 Load History'!$V$221:$V$232)</f>
        <v>193164947.16999999</v>
      </c>
      <c r="L11" s="223"/>
      <c r="M11" s="223">
        <f>SUM('[11]CoS 2017 Load History'!$AA$221:$AA$232)</f>
        <v>10310975.15</v>
      </c>
      <c r="N11" s="223">
        <f>SUM('[11]CoS 2017 Load History'!$AF$221:$AF$232)</f>
        <v>146313.06111328123</v>
      </c>
      <c r="O11" s="223">
        <f>SUM('[11]CoS 2017 Load History'!$AK$221:$AK$232)</f>
        <v>2099765.3300000005</v>
      </c>
      <c r="P11" s="5">
        <f t="shared" si="0"/>
        <v>965070092.80775356</v>
      </c>
      <c r="Q11"/>
      <c r="R11"/>
      <c r="S11"/>
      <c r="T11"/>
    </row>
    <row r="12" spans="1:20">
      <c r="A12">
        <f>'Purchased Power Model '!A243</f>
        <v>2015</v>
      </c>
      <c r="H12" s="69">
        <f>Residential!B243</f>
        <v>324673269.19699794</v>
      </c>
      <c r="I12" s="69">
        <f>'GS &lt; 50 kW'!B243</f>
        <v>137179401.47999987</v>
      </c>
      <c r="J12" s="69">
        <f>'GS &gt; 50 kW'!B243</f>
        <v>266548347.92000005</v>
      </c>
      <c r="K12" s="28">
        <f>'GS &gt; 1000  kW'!B243 + SUM('[11]CoS 2017 Load History'!$V$233:$V$244)</f>
        <v>198507738.57999998</v>
      </c>
      <c r="L12" s="223"/>
      <c r="M12" s="223">
        <f>SUM('[11]CoS 2017 Load History'!$AA$233:$AA$244)</f>
        <v>9533360.5500000007</v>
      </c>
      <c r="N12" s="223">
        <f>SUM('[11]CoS 2017 Load History'!$AF$233:$AF$244)</f>
        <v>112765.46778066158</v>
      </c>
      <c r="O12" s="223">
        <f>SUM('[11]CoS 2017 Load History'!$AK$233:$AK$244)</f>
        <v>2203934.8200000003</v>
      </c>
      <c r="P12" s="5">
        <f t="shared" si="0"/>
        <v>938758818.01477861</v>
      </c>
      <c r="Q12"/>
      <c r="R12"/>
      <c r="S12"/>
      <c r="T12"/>
    </row>
    <row r="13" spans="1:20">
      <c r="Q13"/>
      <c r="R13"/>
      <c r="S13"/>
      <c r="T13"/>
    </row>
    <row r="15" spans="1:20">
      <c r="A15" s="23" t="s">
        <v>11</v>
      </c>
      <c r="H15" s="28"/>
      <c r="I15" s="28"/>
      <c r="J15" s="28"/>
      <c r="K15" s="28"/>
      <c r="L15" s="28"/>
      <c r="M15" s="28"/>
    </row>
    <row r="16" spans="1:20">
      <c r="H16" s="28"/>
      <c r="I16" s="28"/>
      <c r="J16" s="28"/>
      <c r="K16" s="28"/>
      <c r="L16" s="28"/>
      <c r="M16" s="28"/>
    </row>
    <row r="17" spans="1:20">
      <c r="A17">
        <f t="shared" ref="A17:A26" si="1">A3</f>
        <v>2006</v>
      </c>
      <c r="H17"/>
      <c r="I17"/>
      <c r="J17"/>
      <c r="K17" s="28">
        <f>K3/'Rate Class Customer Model'!E3</f>
        <v>13408370.112222219</v>
      </c>
      <c r="L17" s="28"/>
      <c r="M17" s="28">
        <f>M3/'Rate Class Customer Model'!G3</f>
        <v>760.89281900941216</v>
      </c>
      <c r="N17" s="28">
        <f>N3/'Rate Class Customer Model'!H3</f>
        <v>820.8000000000003</v>
      </c>
      <c r="O17" s="28">
        <f>O3/'Rate Class Customer Model'!I3</f>
        <v>4337.3271728971968</v>
      </c>
    </row>
    <row r="18" spans="1:20">
      <c r="A18">
        <f t="shared" si="1"/>
        <v>2007</v>
      </c>
      <c r="H18"/>
      <c r="I18"/>
      <c r="J18"/>
      <c r="K18" s="28">
        <f>K4/'Rate Class Customer Model'!E4</f>
        <v>12370794.805714287</v>
      </c>
      <c r="L18" s="28"/>
      <c r="M18" s="28">
        <f>M4/'Rate Class Customer Model'!G4</f>
        <v>840.62312885326753</v>
      </c>
      <c r="N18" s="28">
        <f>N4/'Rate Class Customer Model'!H4</f>
        <v>820.79999999999984</v>
      </c>
      <c r="O18" s="28">
        <f>O4/'Rate Class Customer Model'!I4</f>
        <v>4670.093563218391</v>
      </c>
    </row>
    <row r="19" spans="1:20">
      <c r="A19">
        <f t="shared" si="1"/>
        <v>2008</v>
      </c>
      <c r="H19"/>
      <c r="I19"/>
      <c r="J19"/>
      <c r="K19" s="28">
        <f>K5/'Rate Class Customer Model'!E5</f>
        <v>10762727.910000002</v>
      </c>
      <c r="L19" s="28"/>
      <c r="M19" s="28">
        <f>M5/'Rate Class Customer Model'!G5</f>
        <v>824.85931480776549</v>
      </c>
      <c r="N19" s="28">
        <f>N5/'Rate Class Customer Model'!H5</f>
        <v>820.8</v>
      </c>
      <c r="O19" s="28">
        <f>O5/'Rate Class Customer Model'!I5</f>
        <v>4273.3536980306344</v>
      </c>
    </row>
    <row r="20" spans="1:20">
      <c r="A20">
        <f t="shared" si="1"/>
        <v>2009</v>
      </c>
      <c r="H20"/>
      <c r="I20"/>
      <c r="J20"/>
      <c r="K20" s="28">
        <f>K6/'Rate Class Customer Model'!E6</f>
        <v>9011381.2415810283</v>
      </c>
      <c r="L20" s="28"/>
      <c r="M20" s="28">
        <f>M6/'Rate Class Customer Model'!G6</f>
        <v>888.99030275141411</v>
      </c>
      <c r="N20" s="28">
        <f>N6/'Rate Class Customer Model'!H6</f>
        <v>820.8</v>
      </c>
      <c r="O20" s="28">
        <f>O6/'Rate Class Customer Model'!I6</f>
        <v>4307.488920392585</v>
      </c>
    </row>
    <row r="21" spans="1:20">
      <c r="A21">
        <f t="shared" si="1"/>
        <v>2010</v>
      </c>
      <c r="H21"/>
      <c r="I21"/>
      <c r="J21"/>
      <c r="K21" s="28">
        <f>K7/'Rate Class Customer Model'!E7</f>
        <v>8901280.7512970697</v>
      </c>
      <c r="L21" s="28"/>
      <c r="M21" s="28">
        <f>M7/'Rate Class Customer Model'!G7</f>
        <v>853.54976765375852</v>
      </c>
      <c r="N21" s="28">
        <f>N7/'Rate Class Customer Model'!H7</f>
        <v>820.80000000000018</v>
      </c>
      <c r="O21" s="28">
        <f>O7/'Rate Class Customer Model'!I7</f>
        <v>4148.4098028769322</v>
      </c>
    </row>
    <row r="22" spans="1:20">
      <c r="A22">
        <f t="shared" si="1"/>
        <v>2011</v>
      </c>
      <c r="H22"/>
      <c r="I22"/>
      <c r="J22"/>
      <c r="K22" s="28">
        <f>K8/'Rate Class Customer Model'!E8</f>
        <v>9683425.5335682817</v>
      </c>
      <c r="L22" s="28"/>
      <c r="M22" s="28">
        <f>M8/'Rate Class Customer Model'!G8</f>
        <v>858.96995047425037</v>
      </c>
      <c r="N22" s="28">
        <f>N8/'Rate Class Customer Model'!H8</f>
        <v>820.8</v>
      </c>
      <c r="O22" s="28">
        <f>O8/'Rate Class Customer Model'!I8</f>
        <v>4193.5445488388596</v>
      </c>
    </row>
    <row r="23" spans="1:20">
      <c r="A23">
        <f t="shared" si="1"/>
        <v>2012</v>
      </c>
      <c r="H23"/>
      <c r="I23"/>
      <c r="J23"/>
      <c r="K23" s="28">
        <f>K9/'Rate Class Customer Model'!E9</f>
        <v>9709786.1665236056</v>
      </c>
      <c r="L23" s="28"/>
      <c r="M23" s="28">
        <f>M9/'Rate Class Customer Model'!G9</f>
        <v>839.85892208901407</v>
      </c>
      <c r="N23" s="28">
        <f>N9/'Rate Class Customer Model'!H9</f>
        <v>848.16</v>
      </c>
      <c r="O23" s="28">
        <f>O9/'Rate Class Customer Model'!I9</f>
        <v>4215.2455338772616</v>
      </c>
    </row>
    <row r="24" spans="1:20">
      <c r="A24">
        <f t="shared" si="1"/>
        <v>2013</v>
      </c>
      <c r="H24"/>
      <c r="I24"/>
      <c r="J24"/>
      <c r="K24" s="28">
        <f>K10/'Rate Class Customer Model'!E10</f>
        <v>8916655.8000000007</v>
      </c>
      <c r="L24" s="28"/>
      <c r="M24" s="28">
        <f>M10/'Rate Class Customer Model'!G10</f>
        <v>806.04390902611601</v>
      </c>
      <c r="N24" s="28">
        <f>N10/'Rate Class Customer Model'!H10</f>
        <v>848.16</v>
      </c>
      <c r="O24" s="28">
        <f>O10/'Rate Class Customer Model'!I10</f>
        <v>4279.8285284640178</v>
      </c>
    </row>
    <row r="25" spans="1:20">
      <c r="A25">
        <f t="shared" si="1"/>
        <v>2014</v>
      </c>
      <c r="H25"/>
      <c r="I25"/>
      <c r="J25"/>
      <c r="K25" s="28">
        <f>K11/'Rate Class Customer Model'!E11</f>
        <v>9303343.5043764431</v>
      </c>
      <c r="L25" s="28"/>
      <c r="M25" s="28">
        <f>M11/'Rate Class Customer Model'!G11</f>
        <v>784.20487878764402</v>
      </c>
      <c r="N25" s="28">
        <f>N11/'Rate Class Customer Model'!H11</f>
        <v>850.25202600939622</v>
      </c>
      <c r="O25" s="28">
        <f>O11/'Rate Class Customer Model'!I11</f>
        <v>4540.0623042148982</v>
      </c>
    </row>
    <row r="26" spans="1:20">
      <c r="A26">
        <f t="shared" si="1"/>
        <v>2015</v>
      </c>
      <c r="H26"/>
      <c r="I26"/>
      <c r="J26"/>
      <c r="K26" s="28">
        <f>K12/'Rate Class Customer Model'!E12</f>
        <v>9062728.166465763</v>
      </c>
      <c r="L26" s="28"/>
      <c r="M26" s="28">
        <f>M12/'Rate Class Customer Model'!G12</f>
        <v>722.37676351875405</v>
      </c>
      <c r="N26" s="28">
        <f>N12/'Rate Class Customer Model'!H12</f>
        <v>659.71452092322136</v>
      </c>
      <c r="O26" s="28">
        <f>O12/'Rate Class Customer Model'!I12</f>
        <v>4885.8523657768073</v>
      </c>
    </row>
    <row r="27" spans="1:20">
      <c r="A27">
        <v>2016</v>
      </c>
      <c r="H27"/>
      <c r="I27"/>
      <c r="J27"/>
      <c r="K27" s="22">
        <f>K26*K41</f>
        <v>9062728.166465763</v>
      </c>
      <c r="L27" s="22"/>
      <c r="M27" s="22">
        <f t="shared" ref="M27:N27" si="2">M26*M41</f>
        <v>722.37676351875405</v>
      </c>
      <c r="N27" s="22">
        <f t="shared" si="2"/>
        <v>659.71452092322136</v>
      </c>
      <c r="O27" s="22">
        <f t="shared" ref="O27" si="3">O26*O41</f>
        <v>4885.8523657768073</v>
      </c>
    </row>
    <row r="28" spans="1:20">
      <c r="A28">
        <v>2017</v>
      </c>
      <c r="H28"/>
      <c r="I28"/>
      <c r="J28"/>
      <c r="K28" s="22">
        <f>K27*K41</f>
        <v>9062728.166465763</v>
      </c>
      <c r="L28" s="22"/>
      <c r="M28" s="22">
        <f t="shared" ref="M28:N28" si="4">M27*M41</f>
        <v>722.37676351875405</v>
      </c>
      <c r="N28" s="22">
        <f t="shared" si="4"/>
        <v>659.71452092322136</v>
      </c>
      <c r="O28" s="22">
        <f t="shared" ref="O28" si="5">O27*O41</f>
        <v>4885.8523657768073</v>
      </c>
    </row>
    <row r="29" spans="1:20">
      <c r="H29"/>
      <c r="I29"/>
      <c r="J29"/>
      <c r="K29"/>
      <c r="L29"/>
      <c r="M29"/>
      <c r="N29"/>
      <c r="O29"/>
      <c r="P29"/>
      <c r="Q29"/>
      <c r="R29"/>
      <c r="S29"/>
      <c r="T29"/>
    </row>
    <row r="30" spans="1:20">
      <c r="H30"/>
      <c r="I30"/>
      <c r="J30"/>
    </row>
    <row r="31" spans="1:20">
      <c r="A31" s="42">
        <v>2007</v>
      </c>
      <c r="H31"/>
      <c r="I31"/>
      <c r="J31"/>
      <c r="K31" s="531">
        <f>K18/K17</f>
        <v>0.92261734291163811</v>
      </c>
      <c r="L31" s="531"/>
      <c r="M31" s="26">
        <f t="shared" ref="M31:N31" si="6">M18/M17</f>
        <v>1.1047852047646531</v>
      </c>
      <c r="N31" s="26">
        <f t="shared" si="6"/>
        <v>0.99999999999999944</v>
      </c>
      <c r="O31" s="26">
        <f t="shared" ref="O31" si="7">O18/O17</f>
        <v>1.0767215331138871</v>
      </c>
      <c r="Q31"/>
      <c r="R31"/>
      <c r="S31"/>
      <c r="T31"/>
    </row>
    <row r="32" spans="1:20">
      <c r="A32" s="42">
        <v>2008</v>
      </c>
      <c r="H32"/>
      <c r="I32"/>
      <c r="J32"/>
      <c r="K32" s="531">
        <f t="shared" ref="K32:N39" si="8">K19/K18</f>
        <v>0.87001102831553789</v>
      </c>
      <c r="L32" s="531"/>
      <c r="M32" s="26">
        <f t="shared" si="8"/>
        <v>0.98124746571390897</v>
      </c>
      <c r="N32" s="26">
        <f t="shared" si="8"/>
        <v>1.0000000000000002</v>
      </c>
      <c r="O32" s="26">
        <f t="shared" ref="O32" si="9">O19/O18</f>
        <v>0.91504669878298039</v>
      </c>
      <c r="Q32"/>
      <c r="R32"/>
      <c r="S32"/>
      <c r="T32"/>
    </row>
    <row r="33" spans="1:20">
      <c r="A33" s="42">
        <v>2009</v>
      </c>
      <c r="H33"/>
      <c r="I33"/>
      <c r="J33"/>
      <c r="K33" s="531">
        <f t="shared" si="8"/>
        <v>0.83727669387686177</v>
      </c>
      <c r="L33" s="531"/>
      <c r="M33" s="26">
        <f t="shared" si="8"/>
        <v>1.0777477889773173</v>
      </c>
      <c r="N33" s="26">
        <f t="shared" si="8"/>
        <v>1</v>
      </c>
      <c r="O33" s="26">
        <f t="shared" ref="O33" si="10">O20/O19</f>
        <v>1.0079879234844711</v>
      </c>
      <c r="Q33"/>
      <c r="R33"/>
      <c r="S33"/>
      <c r="T33"/>
    </row>
    <row r="34" spans="1:20">
      <c r="A34" s="42">
        <v>2010</v>
      </c>
      <c r="H34"/>
      <c r="I34"/>
      <c r="J34"/>
      <c r="K34" s="531">
        <f t="shared" si="8"/>
        <v>0.98778206277901948</v>
      </c>
      <c r="L34" s="531"/>
      <c r="M34" s="26">
        <f t="shared" si="8"/>
        <v>0.9601339463569315</v>
      </c>
      <c r="N34" s="26">
        <f t="shared" si="8"/>
        <v>1.0000000000000002</v>
      </c>
      <c r="O34" s="26">
        <f t="shared" ref="O34" si="11">O21/O20</f>
        <v>0.96306917546263726</v>
      </c>
      <c r="Q34"/>
      <c r="R34"/>
      <c r="S34"/>
      <c r="T34"/>
    </row>
    <row r="35" spans="1:20">
      <c r="A35" s="42">
        <v>2011</v>
      </c>
      <c r="H35"/>
      <c r="I35"/>
      <c r="J35"/>
      <c r="K35" s="531">
        <f t="shared" si="8"/>
        <v>1.0878687914834324</v>
      </c>
      <c r="L35" s="531"/>
      <c r="M35" s="26">
        <f t="shared" si="8"/>
        <v>1.0063501661249243</v>
      </c>
      <c r="N35" s="26">
        <f t="shared" si="8"/>
        <v>0.99999999999999978</v>
      </c>
      <c r="O35" s="26">
        <f t="shared" ref="O35" si="12">O22/O21</f>
        <v>1.0108800114035568</v>
      </c>
      <c r="Q35"/>
      <c r="R35"/>
      <c r="S35"/>
      <c r="T35"/>
    </row>
    <row r="36" spans="1:20">
      <c r="A36" s="42">
        <v>2012</v>
      </c>
      <c r="H36"/>
      <c r="I36"/>
      <c r="J36"/>
      <c r="K36" s="531">
        <f t="shared" si="8"/>
        <v>1.0027222425436064</v>
      </c>
      <c r="L36" s="531"/>
      <c r="M36" s="26">
        <f t="shared" si="8"/>
        <v>0.97775122590180852</v>
      </c>
      <c r="N36" s="26">
        <f t="shared" si="8"/>
        <v>1.0333333333333334</v>
      </c>
      <c r="O36" s="26">
        <f t="shared" ref="O36" si="13">O23/O22</f>
        <v>1.0051748550148134</v>
      </c>
      <c r="Q36"/>
      <c r="R36"/>
      <c r="S36"/>
      <c r="T36"/>
    </row>
    <row r="37" spans="1:20">
      <c r="A37" s="42">
        <v>2013</v>
      </c>
      <c r="H37"/>
      <c r="I37"/>
      <c r="J37"/>
      <c r="K37" s="531">
        <f t="shared" si="8"/>
        <v>0.9183163920480476</v>
      </c>
      <c r="L37" s="531"/>
      <c r="M37" s="26">
        <f t="shared" si="8"/>
        <v>0.9597372699467327</v>
      </c>
      <c r="N37" s="26">
        <f t="shared" si="8"/>
        <v>1</v>
      </c>
      <c r="O37" s="26">
        <f t="shared" ref="O37" si="14">O24/O23</f>
        <v>1.0153212888947305</v>
      </c>
      <c r="Q37"/>
      <c r="R37"/>
      <c r="S37"/>
      <c r="T37"/>
    </row>
    <row r="38" spans="1:20">
      <c r="A38" s="42">
        <v>2014</v>
      </c>
      <c r="H38"/>
      <c r="I38"/>
      <c r="J38"/>
      <c r="K38" s="531">
        <f t="shared" si="8"/>
        <v>1.0433668982015032</v>
      </c>
      <c r="L38" s="531"/>
      <c r="M38" s="26">
        <f t="shared" si="8"/>
        <v>0.97290590500850194</v>
      </c>
      <c r="N38" s="26">
        <f t="shared" si="8"/>
        <v>1.0024665464174167</v>
      </c>
      <c r="O38" s="26">
        <f t="shared" ref="O38" si="15">O25/O24</f>
        <v>1.060804720100381</v>
      </c>
      <c r="Q38"/>
      <c r="R38"/>
      <c r="S38"/>
      <c r="T38"/>
    </row>
    <row r="39" spans="1:20">
      <c r="A39" s="42">
        <v>2015</v>
      </c>
      <c r="H39"/>
      <c r="I39"/>
      <c r="J39"/>
      <c r="K39" s="531">
        <f t="shared" si="8"/>
        <v>0.97413668131274622</v>
      </c>
      <c r="L39" s="531"/>
      <c r="M39" s="26">
        <f t="shared" si="8"/>
        <v>0.92115821140455756</v>
      </c>
      <c r="N39" s="26">
        <f t="shared" si="8"/>
        <v>0.77590467384070749</v>
      </c>
      <c r="O39" s="26">
        <f t="shared" ref="O39" si="16">O26/O25</f>
        <v>1.0761641665668078</v>
      </c>
      <c r="Q39"/>
      <c r="R39"/>
      <c r="S39"/>
      <c r="T39"/>
    </row>
    <row r="40" spans="1:20">
      <c r="A40" s="2"/>
      <c r="H40"/>
      <c r="I40"/>
      <c r="J40"/>
      <c r="Q40"/>
      <c r="R40"/>
      <c r="S40"/>
      <c r="T40"/>
    </row>
    <row r="41" spans="1:20">
      <c r="A41" t="s">
        <v>13</v>
      </c>
      <c r="H41"/>
      <c r="I41"/>
      <c r="J41"/>
      <c r="K41" s="26">
        <v>1</v>
      </c>
      <c r="L41" s="26">
        <v>1</v>
      </c>
      <c r="M41" s="26">
        <v>1</v>
      </c>
      <c r="N41" s="26">
        <v>1</v>
      </c>
      <c r="O41" s="26">
        <v>1</v>
      </c>
      <c r="Q41"/>
      <c r="R41"/>
      <c r="S41"/>
      <c r="T41"/>
    </row>
    <row r="42" spans="1:20">
      <c r="A42" s="2"/>
      <c r="H42"/>
      <c r="I42"/>
      <c r="J42"/>
      <c r="L42" s="10"/>
      <c r="M42" s="10"/>
      <c r="N42" s="10"/>
      <c r="O42" s="10"/>
      <c r="Q42"/>
      <c r="R42"/>
      <c r="S42"/>
      <c r="T42"/>
    </row>
    <row r="43" spans="1:20">
      <c r="A43" t="s">
        <v>10</v>
      </c>
      <c r="H43"/>
      <c r="I43"/>
      <c r="J43"/>
      <c r="K43" s="531">
        <f>GEOMEAN(K31:K39)</f>
        <v>0.9574103259202863</v>
      </c>
      <c r="L43" s="531"/>
      <c r="M43" s="26">
        <f t="shared" ref="M43:N43" si="17">GEOMEAN(M31:M39)</f>
        <v>0.99424488341714612</v>
      </c>
      <c r="N43" s="26">
        <f t="shared" si="17"/>
        <v>0.97601756339682566</v>
      </c>
      <c r="O43" s="26">
        <f t="shared" ref="O43" si="18">GEOMEAN(O31:O39)</f>
        <v>1.0133196439962662</v>
      </c>
      <c r="Q43"/>
      <c r="R43"/>
      <c r="S43"/>
      <c r="T43"/>
    </row>
    <row r="46" spans="1:20">
      <c r="A46" s="72" t="s">
        <v>262</v>
      </c>
      <c r="R46"/>
      <c r="S46"/>
      <c r="T46"/>
    </row>
    <row r="47" spans="1:20">
      <c r="A47">
        <v>2016</v>
      </c>
      <c r="H47" s="5">
        <f>Residential!K244</f>
        <v>336972131.40370446</v>
      </c>
      <c r="I47" s="5">
        <f>'GS &lt; 50 kW'!K244</f>
        <v>138757523.73480821</v>
      </c>
      <c r="J47" s="5">
        <f>'GS &gt; 50 kW'!K244</f>
        <v>265026772.3026076</v>
      </c>
      <c r="K47" s="5">
        <f>K27*'Rate Class Customer Model'!E13</f>
        <v>196122888.76817456</v>
      </c>
      <c r="L47" s="5">
        <f>L27*'Rate Class Customer Model'!F13</f>
        <v>0</v>
      </c>
      <c r="M47" s="5">
        <f>M27*'Rate Class Customer Model'!G13</f>
        <v>9568413.8127236217</v>
      </c>
      <c r="N47" s="5">
        <f>N27*'Rate Class Customer Model'!H13</f>
        <v>108037.10011156654</v>
      </c>
      <c r="O47" s="5">
        <f>O27*'Rate Class Customer Model'!I13</f>
        <v>2148121.5747701586</v>
      </c>
      <c r="P47" s="41">
        <f>SUM(H47:O47)</f>
        <v>948703888.69690025</v>
      </c>
      <c r="Q47"/>
      <c r="R47"/>
      <c r="S47"/>
      <c r="T47"/>
    </row>
    <row r="48" spans="1:20">
      <c r="A48">
        <v>2017</v>
      </c>
      <c r="H48" s="5">
        <f>Residential!K245</f>
        <v>338048686.47881699</v>
      </c>
      <c r="I48" s="5">
        <f>'GS &lt; 50 kW'!K245</f>
        <v>143397405.91995323</v>
      </c>
      <c r="J48" s="5">
        <f>'GS &gt; 50 kW'!K245</f>
        <v>265484982.27451241</v>
      </c>
      <c r="K48" s="5">
        <f>K28*'Rate Class Customer Model'!E14</f>
        <v>196122888.76817456</v>
      </c>
      <c r="L48" s="5">
        <f>L28*'Rate Class Customer Model'!F14</f>
        <v>0</v>
      </c>
      <c r="M48" s="5">
        <f>M28*'Rate Class Customer Model'!G14</f>
        <v>9589155.5986899119</v>
      </c>
      <c r="N48" s="5">
        <f>N28*'Rate Class Customer Model'!H14</f>
        <v>108037.10011156654</v>
      </c>
      <c r="O48" s="5">
        <f>O28*'Rate Class Customer Model'!I14</f>
        <v>2148121.5747701586</v>
      </c>
      <c r="P48" s="41">
        <f>SUM(H48:O48)</f>
        <v>954899277.71502888</v>
      </c>
      <c r="Q48"/>
      <c r="R48"/>
      <c r="S48"/>
      <c r="T48"/>
    </row>
    <row r="49" spans="1:20">
      <c r="P49" s="41"/>
      <c r="Q49"/>
      <c r="R49"/>
      <c r="S49"/>
      <c r="T49"/>
    </row>
    <row r="50" spans="1:20">
      <c r="A50" s="72" t="s">
        <v>263</v>
      </c>
      <c r="Q50"/>
      <c r="R50"/>
      <c r="S50"/>
      <c r="T50"/>
    </row>
    <row r="51" spans="1:20">
      <c r="A51">
        <v>2015</v>
      </c>
      <c r="H51" s="262"/>
      <c r="I51" s="262"/>
      <c r="J51" s="262"/>
      <c r="K51" s="510">
        <v>13005537</v>
      </c>
      <c r="L51" s="262"/>
      <c r="M51" s="510">
        <v>752180.45618073316</v>
      </c>
      <c r="N51" s="262"/>
      <c r="O51" s="262"/>
      <c r="P51" s="262">
        <f>SUM(H51:O51)</f>
        <v>13757717.456180733</v>
      </c>
      <c r="Q51"/>
      <c r="R51"/>
      <c r="S51"/>
      <c r="T51"/>
    </row>
    <row r="52" spans="1:20">
      <c r="A52">
        <v>2016</v>
      </c>
      <c r="H52" s="262">
        <v>949699.99999999988</v>
      </c>
      <c r="I52" s="262">
        <v>440905.99999999994</v>
      </c>
      <c r="J52" s="262">
        <v>1701193.9999999998</v>
      </c>
      <c r="K52" s="262">
        <v>13685000</v>
      </c>
      <c r="L52" s="262">
        <v>0</v>
      </c>
      <c r="M52" s="262">
        <v>615000</v>
      </c>
      <c r="N52" s="262">
        <v>0</v>
      </c>
      <c r="O52" s="262">
        <v>0</v>
      </c>
      <c r="P52" s="262">
        <f>SUM(H52:O52)</f>
        <v>17391800</v>
      </c>
      <c r="Q52"/>
      <c r="R52"/>
      <c r="S52"/>
      <c r="T52"/>
    </row>
    <row r="53" spans="1:20">
      <c r="A53">
        <v>2017</v>
      </c>
      <c r="H53" s="262">
        <v>1968600</v>
      </c>
      <c r="I53" s="262">
        <v>518584.99999999994</v>
      </c>
      <c r="J53" s="262">
        <v>1791814.9999999998</v>
      </c>
      <c r="K53" s="262">
        <v>200000</v>
      </c>
      <c r="L53" s="262">
        <v>0</v>
      </c>
      <c r="M53" s="262">
        <v>615000</v>
      </c>
      <c r="N53" s="262">
        <v>0</v>
      </c>
      <c r="O53" s="262">
        <v>0</v>
      </c>
      <c r="P53" s="262">
        <f>SUM(H53:O53)</f>
        <v>5094000</v>
      </c>
    </row>
    <row r="54" spans="1:20">
      <c r="L54"/>
      <c r="M54"/>
      <c r="N54"/>
      <c r="O54"/>
      <c r="P54" s="41"/>
      <c r="Q54"/>
      <c r="R54"/>
      <c r="S54"/>
      <c r="T54"/>
    </row>
    <row r="55" spans="1:20">
      <c r="A55" s="72" t="s">
        <v>264</v>
      </c>
      <c r="H55"/>
      <c r="I55"/>
      <c r="J55"/>
      <c r="K55"/>
      <c r="L55"/>
      <c r="M55"/>
      <c r="N55"/>
      <c r="O55"/>
      <c r="P55" s="41"/>
      <c r="Q55"/>
      <c r="S55"/>
      <c r="T55"/>
    </row>
    <row r="56" spans="1:20">
      <c r="A56">
        <v>2016</v>
      </c>
      <c r="H56" s="5">
        <f>+H52*0.5</f>
        <v>474849.99999999994</v>
      </c>
      <c r="I56" s="5">
        <f t="shared" ref="I56:O56" si="19">+I52*0.5</f>
        <v>220452.99999999997</v>
      </c>
      <c r="J56" s="5">
        <f t="shared" si="19"/>
        <v>850596.99999999988</v>
      </c>
      <c r="K56" s="5">
        <f>K51+K52*0.5</f>
        <v>19848037</v>
      </c>
      <c r="L56" s="5">
        <f t="shared" si="19"/>
        <v>0</v>
      </c>
      <c r="M56" s="5">
        <f>+M51*0.5+ M52*0.5</f>
        <v>683590.22809036658</v>
      </c>
      <c r="N56" s="5">
        <f t="shared" si="19"/>
        <v>0</v>
      </c>
      <c r="O56" s="5">
        <f t="shared" si="19"/>
        <v>0</v>
      </c>
      <c r="P56" s="5">
        <f>SUM(H56:O56)</f>
        <v>22077527.228090368</v>
      </c>
      <c r="Q56" s="5">
        <f>K51+M51*0.5+P52*0.5</f>
        <v>22077527.228090368</v>
      </c>
      <c r="R56" s="5">
        <f>P56-Q56</f>
        <v>0</v>
      </c>
      <c r="S56"/>
      <c r="T56"/>
    </row>
    <row r="57" spans="1:20">
      <c r="A57">
        <v>2017</v>
      </c>
      <c r="H57" s="5">
        <f>H52+H53*0.5</f>
        <v>1934000</v>
      </c>
      <c r="I57" s="5">
        <f t="shared" ref="I57:O57" si="20">I52+I53*0.5</f>
        <v>700198.49999999988</v>
      </c>
      <c r="J57" s="5">
        <f t="shared" si="20"/>
        <v>2597101.4999999995</v>
      </c>
      <c r="K57" s="5">
        <f>K51+K52+K53*0.5</f>
        <v>26790537</v>
      </c>
      <c r="L57" s="5">
        <f t="shared" si="20"/>
        <v>0</v>
      </c>
      <c r="M57" s="5">
        <f>M51*0.5+ M52+M53*0.5</f>
        <v>1298590.2280903666</v>
      </c>
      <c r="N57" s="5">
        <f t="shared" si="20"/>
        <v>0</v>
      </c>
      <c r="O57" s="5">
        <f t="shared" si="20"/>
        <v>0</v>
      </c>
      <c r="P57" s="5">
        <f>SUM(H57:O57)</f>
        <v>33320427.228090368</v>
      </c>
      <c r="Q57" s="5">
        <f>K51+M51*0.5+P52+P53*0.5</f>
        <v>33320427.228090368</v>
      </c>
      <c r="R57" s="5">
        <f>P57-Q57</f>
        <v>0</v>
      </c>
      <c r="S57"/>
      <c r="T57"/>
    </row>
    <row r="58" spans="1:20">
      <c r="H58"/>
      <c r="I58"/>
      <c r="J58"/>
      <c r="K58"/>
      <c r="L58"/>
      <c r="M58"/>
      <c r="N58"/>
      <c r="O58"/>
      <c r="Q58"/>
      <c r="S58"/>
      <c r="T58"/>
    </row>
    <row r="59" spans="1:20">
      <c r="A59" s="72" t="s">
        <v>265</v>
      </c>
      <c r="H59"/>
      <c r="I59"/>
      <c r="J59"/>
      <c r="K59"/>
      <c r="L59"/>
      <c r="M59"/>
      <c r="N59"/>
      <c r="O59"/>
      <c r="Q59"/>
      <c r="R59"/>
      <c r="S59"/>
      <c r="T59"/>
    </row>
    <row r="60" spans="1:20">
      <c r="A60">
        <v>2016</v>
      </c>
      <c r="H60" s="5">
        <f>H47-H56</f>
        <v>336497281.40370446</v>
      </c>
      <c r="I60" s="5">
        <f t="shared" ref="H60:O61" si="21">I47-I56</f>
        <v>138537070.73480821</v>
      </c>
      <c r="J60" s="5">
        <f t="shared" si="21"/>
        <v>264176175.3026076</v>
      </c>
      <c r="K60" s="5">
        <f t="shared" si="21"/>
        <v>176274851.76817456</v>
      </c>
      <c r="L60" s="5">
        <f t="shared" si="21"/>
        <v>0</v>
      </c>
      <c r="M60" s="5">
        <f t="shared" si="21"/>
        <v>8884823.5846332554</v>
      </c>
      <c r="N60" s="5">
        <f t="shared" si="21"/>
        <v>108037.10011156654</v>
      </c>
      <c r="O60" s="5">
        <f t="shared" si="21"/>
        <v>2148121.5747701586</v>
      </c>
      <c r="P60" s="41">
        <f>SUM(H60:O60)</f>
        <v>926626361.46880984</v>
      </c>
      <c r="Q60" s="5">
        <f>P47-P60</f>
        <v>22077527.228090405</v>
      </c>
    </row>
    <row r="61" spans="1:20" s="532" customFormat="1">
      <c r="A61" s="532">
        <v>2017</v>
      </c>
      <c r="H61" s="533">
        <f t="shared" si="21"/>
        <v>336114686.47881699</v>
      </c>
      <c r="I61" s="533">
        <f t="shared" si="21"/>
        <v>142697207.41995323</v>
      </c>
      <c r="J61" s="533">
        <f t="shared" si="21"/>
        <v>262887880.77451241</v>
      </c>
      <c r="K61" s="533">
        <f>K48-K57</f>
        <v>169332351.76817456</v>
      </c>
      <c r="L61" s="533">
        <f>L48-L57</f>
        <v>0</v>
      </c>
      <c r="M61" s="533">
        <f t="shared" si="21"/>
        <v>8290565.3705995455</v>
      </c>
      <c r="N61" s="533">
        <f t="shared" si="21"/>
        <v>108037.10011156654</v>
      </c>
      <c r="O61" s="533">
        <f t="shared" si="21"/>
        <v>2148121.5747701586</v>
      </c>
      <c r="P61" s="534">
        <f>SUM(H61:O61)</f>
        <v>921578850.48693848</v>
      </c>
      <c r="Q61" s="533">
        <f>P48-P61</f>
        <v>33320427.228090405</v>
      </c>
      <c r="R61" s="533"/>
      <c r="S61" s="533"/>
      <c r="T61" s="533"/>
    </row>
    <row r="63" spans="1:20">
      <c r="J63" s="67"/>
      <c r="K63"/>
      <c r="L63"/>
      <c r="M63"/>
      <c r="N63"/>
      <c r="O63"/>
      <c r="P63"/>
      <c r="Q63"/>
      <c r="R63"/>
      <c r="S63"/>
      <c r="T63"/>
    </row>
  </sheetData>
  <phoneticPr fontId="0" type="noConversion"/>
  <pageMargins left="0.38" right="0.75" top="0.73" bottom="0.74" header="0.5" footer="0.5"/>
  <pageSetup orientation="landscape" verticalDpi="300"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85"/>
  <sheetViews>
    <sheetView workbookViewId="0">
      <pane xSplit="1" ySplit="2" topLeftCell="B3" activePane="bottomRight" state="frozen"/>
      <selection pane="topRight" activeCell="B1" sqref="B1"/>
      <selection pane="bottomLeft" activeCell="A3" sqref="A3"/>
      <selection pane="bottomRight" activeCell="N35" sqref="N35"/>
    </sheetView>
  </sheetViews>
  <sheetFormatPr defaultRowHeight="12.75"/>
  <cols>
    <col min="1" max="1" width="11" customWidth="1"/>
    <col min="2" max="2" width="15" style="5" customWidth="1"/>
    <col min="3" max="4" width="14.140625" style="5" bestFit="1" customWidth="1"/>
    <col min="5" max="5" width="14.140625" style="5" customWidth="1"/>
    <col min="6" max="6" width="17.5703125" style="5" customWidth="1"/>
    <col min="7" max="9" width="12.5703125" style="5" customWidth="1"/>
    <col min="10" max="11" width="12.7109375" style="5" bestFit="1" customWidth="1"/>
  </cols>
  <sheetData>
    <row r="2" spans="1:11" ht="42" customHeight="1">
      <c r="B2" s="8" t="str">
        <f>'Rate Class Energy Model'!H2</f>
        <v xml:space="preserve">Residential </v>
      </c>
      <c r="C2" s="8" t="str">
        <f>'Rate Class Energy Model'!I2</f>
        <v>General Service
 &lt; 50 kW</v>
      </c>
      <c r="D2" s="8" t="str">
        <f>'Rate Class Energy Model'!J2</f>
        <v>General Service
 &gt; 50 to 999 kW</v>
      </c>
      <c r="E2" s="8" t="str">
        <f>'Rate Class Energy Model'!K2</f>
        <v>General Service 
&gt; 1000 kW</v>
      </c>
      <c r="F2" s="8" t="str">
        <f>'Rate Class Energy Model'!L2</f>
        <v>Large User</v>
      </c>
      <c r="G2" s="8" t="str">
        <f>'Rate Class Energy Model'!M2</f>
        <v>Street Lighting</v>
      </c>
      <c r="H2" s="8" t="str">
        <f>'Rate Class Energy Model'!N2</f>
        <v>Sentinel Lighting</v>
      </c>
      <c r="I2" s="8" t="str">
        <f>'Rate Class Energy Model'!O2</f>
        <v>Unmetered Scattered Load</v>
      </c>
      <c r="J2" s="5" t="s">
        <v>5</v>
      </c>
    </row>
    <row r="3" spans="1:11">
      <c r="A3" s="3">
        <v>2006</v>
      </c>
      <c r="B3" s="43">
        <f>AVERAGE('[11]CoS 2017 Load History'!$F$125:$F$136)</f>
        <v>44312.083333333336</v>
      </c>
      <c r="C3" s="100">
        <f>AVERAGE('[11]CoS 2017 Load History'!$J$125:$J$136)</f>
        <v>4313.833333333333</v>
      </c>
      <c r="D3" s="100">
        <f>AVERAGE('[11]CoS 2017 Load History'!$O$125:$O$136)</f>
        <v>492.5</v>
      </c>
      <c r="E3" s="100">
        <f>AVERAGE('[11]CoS 2017 Load History'!$T$125:$T$136) + AVERAGE('[11]CoS 2017 Load History'!$Y$125:$Y$136)</f>
        <v>18</v>
      </c>
      <c r="F3" s="100"/>
      <c r="G3" s="100">
        <f>AVERAGE('[11]CoS 2017 Load History'!$AD$125:$AD$136)</f>
        <v>12962</v>
      </c>
      <c r="H3" s="100">
        <f>AVERAGE('[11]CoS 2017 Load History'!$AI$125:$AI$136)</f>
        <v>164</v>
      </c>
      <c r="I3" s="100">
        <f>AVERAGE('[11]CoS 2017 Load History'!$AM$125:$AM$136)</f>
        <v>428</v>
      </c>
      <c r="J3" s="43">
        <f>SUM(B3:I3)</f>
        <v>62690.416666666672</v>
      </c>
      <c r="K3"/>
    </row>
    <row r="4" spans="1:11">
      <c r="A4" s="3">
        <v>2007</v>
      </c>
      <c r="B4" s="100">
        <f>AVERAGE('[11]CoS 2017 Load History'!$F$137:$F$148)</f>
        <v>44388.583333333336</v>
      </c>
      <c r="C4" s="100">
        <f>AVERAGE('[11]CoS 2017 Load History'!$J$137:$J$148)</f>
        <v>4273.25</v>
      </c>
      <c r="D4" s="100">
        <f>AVERAGE('[11]CoS 2017 Load History'!$O$137:$O$148)</f>
        <v>500.5</v>
      </c>
      <c r="E4" s="100">
        <f>AVERAGE('[11]CoS 2017 Load History'!$T$137:$T$148) + AVERAGE('[11]CoS 2017 Load History'!$Y$137:$Y$148)</f>
        <v>18.666666666666668</v>
      </c>
      <c r="F4" s="100"/>
      <c r="G4" s="100">
        <f>AVERAGE('[11]CoS 2017 Load History'!$AD$137:$AD$148)</f>
        <v>12976</v>
      </c>
      <c r="H4" s="100">
        <f>AVERAGE('[11]CoS 2017 Load History'!$AI$137:$AI$148)</f>
        <v>153</v>
      </c>
      <c r="I4" s="100">
        <f>AVERAGE('[11]CoS 2017 Load History'!$AM$137:$AM$148)</f>
        <v>435</v>
      </c>
      <c r="J4" s="100">
        <f t="shared" ref="J4:J12" si="0">SUM(B4:I4)</f>
        <v>62745</v>
      </c>
      <c r="K4"/>
    </row>
    <row r="5" spans="1:11">
      <c r="A5" s="3">
        <v>2008</v>
      </c>
      <c r="B5" s="100">
        <f>AVERAGE('[11]CoS 2017 Load History'!$F$149:$F$160)</f>
        <v>44537.5</v>
      </c>
      <c r="C5" s="100">
        <f>AVERAGE('[11]CoS 2017 Load History'!$J$149:$J$160)</f>
        <v>4256.916666666667</v>
      </c>
      <c r="D5" s="100">
        <f>AVERAGE('[11]CoS 2017 Load History'!$O$149:$O$160)</f>
        <v>507.25</v>
      </c>
      <c r="E5" s="100">
        <f>AVERAGE('[11]CoS 2017 Load History'!$T$149:$T$160) + AVERAGE('[11]CoS 2017 Load History'!$Y$149:$Y$160)</f>
        <v>19</v>
      </c>
      <c r="F5" s="100"/>
      <c r="G5" s="100">
        <f>AVERAGE('[11]CoS 2017 Load History'!$AD$149:$AD$160)</f>
        <v>13135</v>
      </c>
      <c r="H5" s="100">
        <f>AVERAGE('[11]CoS 2017 Load History'!$AI$149:$AI$160)</f>
        <v>149.83333333333334</v>
      </c>
      <c r="I5" s="100">
        <f>AVERAGE('[11]CoS 2017 Load History'!$AM$149:$AM$160)</f>
        <v>457</v>
      </c>
      <c r="J5" s="100">
        <f t="shared" si="0"/>
        <v>63062.5</v>
      </c>
      <c r="K5"/>
    </row>
    <row r="6" spans="1:11">
      <c r="A6" s="3">
        <v>2009</v>
      </c>
      <c r="B6" s="100">
        <f>AVERAGE('[11]CoS 2017 Load History'!$F$161:$F$172)</f>
        <v>44613.666666666664</v>
      </c>
      <c r="C6" s="100">
        <f>AVERAGE('[11]CoS 2017 Load History'!$J$161:$J$172)</f>
        <v>4264.916666666667</v>
      </c>
      <c r="D6" s="100">
        <f>AVERAGE('[11]CoS 2017 Load History'!$O$161:$O$172)</f>
        <v>506.08333333333331</v>
      </c>
      <c r="E6" s="100">
        <f>AVERAGE('[11]CoS 2017 Load History'!$T$161:$T$172) + AVERAGE('[11]CoS 2017 Load History'!$Y$161:$Y$172)</f>
        <v>21.083333333333332</v>
      </c>
      <c r="F6" s="100"/>
      <c r="G6" s="100">
        <f>AVERAGE('[11]CoS 2017 Load History'!$AD$161:$AD$172)</f>
        <v>13038.75</v>
      </c>
      <c r="H6" s="100">
        <f>AVERAGE('[11]CoS 2017 Load History'!$AI$161:$AI$172)</f>
        <v>157.91666666666666</v>
      </c>
      <c r="I6" s="100">
        <f>AVERAGE('[11]CoS 2017 Load History'!$AM$161:$AM$172)</f>
        <v>458.5</v>
      </c>
      <c r="J6" s="100">
        <f t="shared" si="0"/>
        <v>63060.916666666664</v>
      </c>
      <c r="K6"/>
    </row>
    <row r="7" spans="1:11">
      <c r="A7" s="3">
        <v>2010</v>
      </c>
      <c r="B7" s="100">
        <f>AVERAGE('[11]CoS 2017 Load History'!$F$173:$F$184)</f>
        <v>44735.583333333336</v>
      </c>
      <c r="C7" s="100">
        <f>AVERAGE('[11]CoS 2017 Load History'!$J$173:$J$184)</f>
        <v>4305.75</v>
      </c>
      <c r="D7" s="100">
        <f>AVERAGE('[11]CoS 2017 Load History'!$O$173:$O$184)</f>
        <v>506.66666666666669</v>
      </c>
      <c r="E7" s="100">
        <f>AVERAGE('[11]CoS 2017 Load History'!$T$173:$T$184) + AVERAGE('[11]CoS 2017 Load History'!$Y$173:$Y$184)</f>
        <v>19.916666666666668</v>
      </c>
      <c r="F7" s="100"/>
      <c r="G7" s="100">
        <f>AVERAGE('[11]CoS 2017 Load History'!$AD$173:$AD$184)</f>
        <v>13170</v>
      </c>
      <c r="H7" s="100">
        <f>AVERAGE('[11]CoS 2017 Load History'!$AI$173:$AI$184)</f>
        <v>166.75</v>
      </c>
      <c r="I7" s="100">
        <f>AVERAGE('[11]CoS 2017 Load History'!$AM$173:$AM$184)</f>
        <v>469.25</v>
      </c>
      <c r="J7" s="100">
        <f t="shared" si="0"/>
        <v>63373.916666666664</v>
      </c>
      <c r="K7"/>
    </row>
    <row r="8" spans="1:11">
      <c r="A8" s="3">
        <v>2011</v>
      </c>
      <c r="B8" s="100">
        <f>AVERAGE('[11]CoS 2017 Load History'!$F$185:$F$196)</f>
        <v>44900.666666666664</v>
      </c>
      <c r="C8" s="100">
        <f>AVERAGE('[11]CoS 2017 Load History'!$J$185:$J$196)</f>
        <v>4339.666666666667</v>
      </c>
      <c r="D8" s="100">
        <f>AVERAGE('[11]CoS 2017 Load History'!$O$185:$O$196)</f>
        <v>505.75</v>
      </c>
      <c r="E8" s="100">
        <f>AVERAGE('[11]CoS 2017 Load History'!$T$185:$T$196) + AVERAGE('[11]CoS 2017 Load History'!$Y$185:$Y$196)</f>
        <v>18.916666666666668</v>
      </c>
      <c r="F8" s="100"/>
      <c r="G8" s="100">
        <f>AVERAGE('[11]CoS 2017 Load History'!$AD$185:$AD$196)</f>
        <v>13090.833333333334</v>
      </c>
      <c r="H8" s="100">
        <f>AVERAGE('[11]CoS 2017 Load History'!$AI$185:$AI$196)</f>
        <v>147.58333333333334</v>
      </c>
      <c r="I8" s="100">
        <f>AVERAGE('[11]CoS 2017 Load History'!$AM$185:$AM$196)</f>
        <v>470.08333333333331</v>
      </c>
      <c r="J8" s="100">
        <f t="shared" si="0"/>
        <v>63473.5</v>
      </c>
      <c r="K8"/>
    </row>
    <row r="9" spans="1:11">
      <c r="A9" s="3">
        <v>2012</v>
      </c>
      <c r="B9" s="100">
        <f>AVERAGE('[11]CoS 2017 Load History'!$F$197:$F$208)</f>
        <v>44736.75</v>
      </c>
      <c r="C9" s="100">
        <f>AVERAGE('[11]CoS 2017 Load History'!$J$197:$J$208)</f>
        <v>4496.916666666667</v>
      </c>
      <c r="D9" s="100">
        <f>AVERAGE('[11]CoS 2017 Load History'!$O$197:$O$208)</f>
        <v>513.5</v>
      </c>
      <c r="E9" s="100">
        <f>AVERAGE('[11]CoS 2017 Load History'!$T$197:$T$208) + AVERAGE('[11]CoS 2017 Load History'!$Y$197:$Y$208)</f>
        <v>19.416666666666668</v>
      </c>
      <c r="F9" s="100"/>
      <c r="G9" s="100">
        <f>AVERAGE('[11]CoS 2017 Load History'!$AD$197:$AD$208)</f>
        <v>13172.083333333334</v>
      </c>
      <c r="H9" s="100">
        <f>AVERAGE('[11]CoS 2017 Load History'!$AI$197:$AI$208)</f>
        <v>167.16666666666666</v>
      </c>
      <c r="I9" s="100">
        <f>AVERAGE('[11]CoS 2017 Load History'!$AM$197:$AM$208)</f>
        <v>469.83333333333331</v>
      </c>
      <c r="J9" s="100">
        <f t="shared" si="0"/>
        <v>63575.666666666664</v>
      </c>
      <c r="K9"/>
    </row>
    <row r="10" spans="1:11">
      <c r="A10" s="3">
        <v>2013</v>
      </c>
      <c r="B10" s="100">
        <f>AVERAGE('[11]CoS 2017 Load History'!$F$209:$F$220)</f>
        <v>44942.416666666664</v>
      </c>
      <c r="C10" s="100">
        <f>AVERAGE('[11]CoS 2017 Load History'!$J$209:$J$220)</f>
        <v>4527.75</v>
      </c>
      <c r="D10" s="100">
        <f>AVERAGE('[11]CoS 2017 Load History'!$O$209:$O$220)</f>
        <v>511.58333333333331</v>
      </c>
      <c r="E10" s="100">
        <f>AVERAGE('[11]CoS 2017 Load History'!$T$209:$T$220) + AVERAGE('[11]CoS 2017 Load History'!$Y$209:$Y$220)</f>
        <v>21.083333333333332</v>
      </c>
      <c r="F10" s="100"/>
      <c r="G10" s="100">
        <f>AVERAGE('[11]CoS 2017 Load History'!$AD$209:$AD$220)</f>
        <v>13095.333333333334</v>
      </c>
      <c r="H10" s="100">
        <f>AVERAGE('[11]CoS 2017 Load History'!$AI$209:$AI$220)</f>
        <v>170.83333333333334</v>
      </c>
      <c r="I10" s="100">
        <f>AVERAGE('[11]CoS 2017 Load History'!$AM$209:$AM$220)</f>
        <v>465.5</v>
      </c>
      <c r="J10" s="100">
        <f t="shared" si="0"/>
        <v>63734.500000000007</v>
      </c>
      <c r="K10"/>
    </row>
    <row r="11" spans="1:11">
      <c r="A11" s="3">
        <v>2014</v>
      </c>
      <c r="B11" s="100">
        <f>AVERAGE('[11]CoS 2017 Load History'!$F$221:$F$232)</f>
        <v>45106.2705078125</v>
      </c>
      <c r="C11" s="100">
        <f>AVERAGE('[11]CoS 2017 Load History'!$J$221:$J$232)</f>
        <v>4577.895263671875</v>
      </c>
      <c r="D11" s="100">
        <f>AVERAGE('[11]CoS 2017 Load History'!$O$221:$O$232)</f>
        <v>495.30155436197919</v>
      </c>
      <c r="E11" s="100">
        <f>AVERAGE('[11]CoS 2017 Load History'!$T$221:$T$232) + AVERAGE('[11]CoS 2017 Load History'!$Y$221:$Y$232)</f>
        <v>20.762959798177082</v>
      </c>
      <c r="F11" s="100"/>
      <c r="G11" s="100">
        <f>AVERAGE('[11]CoS 2017 Load History'!$AD$221:$AD$232)</f>
        <v>13148.318033854166</v>
      </c>
      <c r="H11" s="100">
        <f>AVERAGE('[11]CoS 2017 Load History'!$AI$221:$AI$232)</f>
        <v>172.08199055989584</v>
      </c>
      <c r="I11" s="100">
        <f>AVERAGE('[11]CoS 2017 Load History'!$AM$221:$AM$232)</f>
        <v>462.49702962239581</v>
      </c>
      <c r="J11" s="100">
        <f t="shared" si="0"/>
        <v>63983.127339680992</v>
      </c>
      <c r="K11"/>
    </row>
    <row r="12" spans="1:11">
      <c r="A12" s="3">
        <v>2015</v>
      </c>
      <c r="B12" s="100">
        <f>AVERAGE('[11]CoS 2017 Load History'!$F$233:$F$244)</f>
        <v>45272.592574993767</v>
      </c>
      <c r="C12" s="100">
        <f>AVERAGE('[11]CoS 2017 Load History'!$J$233:$J$244)</f>
        <v>4606.5062813957529</v>
      </c>
      <c r="D12" s="100">
        <f>AVERAGE('[11]CoS 2017 Load History'!$O$233:$O$244)</f>
        <v>471.62621294458705</v>
      </c>
      <c r="E12" s="100">
        <f>AVERAGE('[11]CoS 2017 Load History'!$T$233:$T$244) + AVERAGE('[11]CoS 2017 Load History'!$Y$233:$Y$244)</f>
        <v>21.903750717639923</v>
      </c>
      <c r="F12" s="100"/>
      <c r="G12" s="100">
        <f>AVERAGE('[11]CoS 2017 Load History'!$AD$233:$AD$244)</f>
        <v>13197.213741430789</v>
      </c>
      <c r="H12" s="100">
        <f>AVERAGE('[11]CoS 2017 Load History'!$AI$233:$AI$244)</f>
        <v>170.93070442477861</v>
      </c>
      <c r="I12" s="100">
        <f>AVERAGE('[11]CoS 2017 Load History'!$AM$233:$AM$244)</f>
        <v>451.08502161006135</v>
      </c>
      <c r="J12" s="100">
        <f t="shared" si="0"/>
        <v>64191.858287517374</v>
      </c>
      <c r="K12"/>
    </row>
    <row r="13" spans="1:11">
      <c r="A13" s="3">
        <v>2016</v>
      </c>
      <c r="B13" s="223">
        <f>'[12]Customer Count'!$U$26-38</f>
        <v>45415.196555804439</v>
      </c>
      <c r="C13" s="223">
        <f>'[12]Customer Count'!$C$26-1</f>
        <v>4623.1350602549164</v>
      </c>
      <c r="D13" s="223">
        <f>'[12]Customer Count'!$R$26</f>
        <v>462.83423899421177</v>
      </c>
      <c r="E13" s="223">
        <f>SUM('[12]Customer Count'!$S$26:$T$26)</f>
        <v>21.640601501640049</v>
      </c>
      <c r="F13" s="223"/>
      <c r="G13" s="223">
        <f>'[12]Customer Count'!$D$87</f>
        <v>13245.738644907577</v>
      </c>
      <c r="H13" s="223">
        <f>'[12]Customer Count'!$C$87</f>
        <v>163.76341081650995</v>
      </c>
      <c r="I13" s="223">
        <f>'[12]Customer Count'!$B$87</f>
        <v>439.66158081582279</v>
      </c>
      <c r="J13" s="223">
        <f>SUM(B13:I13)</f>
        <v>64371.970093095115</v>
      </c>
    </row>
    <row r="14" spans="1:11">
      <c r="A14" s="3">
        <v>2017</v>
      </c>
      <c r="B14" s="22">
        <f>B13*B28</f>
        <v>45527.007090561528</v>
      </c>
      <c r="C14" s="22">
        <f t="shared" ref="C14:I14" si="1">C13*C28</f>
        <v>4655.2595854572637</v>
      </c>
      <c r="D14" s="22">
        <f t="shared" si="1"/>
        <v>459.96777205383216</v>
      </c>
      <c r="E14" s="22">
        <f t="shared" si="1"/>
        <v>21.640601501640049</v>
      </c>
      <c r="F14" s="22"/>
      <c r="G14" s="22">
        <f t="shared" si="1"/>
        <v>13274.451896791892</v>
      </c>
      <c r="H14" s="22">
        <f t="shared" si="1"/>
        <v>163.76341081650995</v>
      </c>
      <c r="I14" s="22">
        <f t="shared" si="1"/>
        <v>439.66158081582279</v>
      </c>
      <c r="J14" s="22">
        <f>SUM(B14:I14)</f>
        <v>64541.751937998488</v>
      </c>
    </row>
    <row r="15" spans="1:11">
      <c r="A15" s="21"/>
    </row>
    <row r="16" spans="1:11" ht="11.25" customHeight="1">
      <c r="A16" s="20" t="s">
        <v>36</v>
      </c>
      <c r="B16" s="4"/>
      <c r="C16" s="4"/>
      <c r="D16" s="4"/>
      <c r="E16" s="4"/>
      <c r="F16" s="4"/>
      <c r="G16" s="4"/>
      <c r="H16" s="4"/>
      <c r="I16" s="4"/>
    </row>
    <row r="17" spans="1:9">
      <c r="A17" s="3">
        <v>2007</v>
      </c>
      <c r="B17" s="235">
        <f>B4/B3</f>
        <v>1.0017263914094161</v>
      </c>
      <c r="C17" s="235">
        <f t="shared" ref="C17:H17" si="2">C4/C3</f>
        <v>0.99059228064752936</v>
      </c>
      <c r="D17" s="235">
        <f t="shared" si="2"/>
        <v>1.016243654822335</v>
      </c>
      <c r="E17" s="235">
        <f t="shared" si="2"/>
        <v>1.0370370370370372</v>
      </c>
      <c r="F17" s="235"/>
      <c r="G17" s="235">
        <f t="shared" si="2"/>
        <v>1.0010800802345317</v>
      </c>
      <c r="H17" s="235">
        <f t="shared" si="2"/>
        <v>0.93292682926829273</v>
      </c>
      <c r="I17" s="235">
        <f t="shared" ref="I17" si="3">I4/I3</f>
        <v>1.016355140186916</v>
      </c>
    </row>
    <row r="18" spans="1:9">
      <c r="A18" s="3">
        <v>2008</v>
      </c>
      <c r="B18" s="235">
        <f t="shared" ref="B18:I26" si="4">B5/B4</f>
        <v>1.0033548416165567</v>
      </c>
      <c r="C18" s="235">
        <f t="shared" si="4"/>
        <v>0.99617777257746842</v>
      </c>
      <c r="D18" s="235">
        <f t="shared" si="4"/>
        <v>1.0134865134865134</v>
      </c>
      <c r="E18" s="235">
        <f t="shared" si="4"/>
        <v>1.0178571428571428</v>
      </c>
      <c r="F18" s="235"/>
      <c r="G18" s="235">
        <f t="shared" si="4"/>
        <v>1.0122533908754623</v>
      </c>
      <c r="H18" s="235">
        <f t="shared" si="4"/>
        <v>0.97930283224400883</v>
      </c>
      <c r="I18" s="235">
        <f t="shared" ref="I18" si="5">I5/I4</f>
        <v>1.0505747126436782</v>
      </c>
    </row>
    <row r="19" spans="1:9">
      <c r="A19" s="3">
        <v>2009</v>
      </c>
      <c r="B19" s="235">
        <f t="shared" si="4"/>
        <v>1.0017101693329591</v>
      </c>
      <c r="C19" s="235">
        <f t="shared" si="4"/>
        <v>1.00187929448153</v>
      </c>
      <c r="D19" s="235">
        <f t="shared" si="4"/>
        <v>0.99770001642845407</v>
      </c>
      <c r="E19" s="235">
        <f t="shared" si="4"/>
        <v>1.1096491228070176</v>
      </c>
      <c r="F19" s="235"/>
      <c r="G19" s="235">
        <f t="shared" si="4"/>
        <v>0.99267224971450319</v>
      </c>
      <c r="H19" s="235">
        <f t="shared" si="4"/>
        <v>1.053948832035595</v>
      </c>
      <c r="I19" s="235">
        <f t="shared" ref="I19" si="6">I6/I5</f>
        <v>1.0032822757111597</v>
      </c>
    </row>
    <row r="20" spans="1:9">
      <c r="A20" s="3">
        <v>2010</v>
      </c>
      <c r="B20" s="235">
        <f t="shared" si="4"/>
        <v>1.0027327201679606</v>
      </c>
      <c r="C20" s="235">
        <f t="shared" si="4"/>
        <v>1.0095742394341429</v>
      </c>
      <c r="D20" s="235">
        <f t="shared" si="4"/>
        <v>1.0011526428453812</v>
      </c>
      <c r="E20" s="235">
        <f t="shared" si="4"/>
        <v>0.94466403162055346</v>
      </c>
      <c r="F20" s="235"/>
      <c r="G20" s="235">
        <f t="shared" si="4"/>
        <v>1.0100661489790048</v>
      </c>
      <c r="H20" s="235">
        <f t="shared" si="4"/>
        <v>1.0559366754617414</v>
      </c>
      <c r="I20" s="235">
        <f t="shared" ref="I20" si="7">I7/I6</f>
        <v>1.0234460196292257</v>
      </c>
    </row>
    <row r="21" spans="1:9">
      <c r="A21" s="3">
        <v>2011</v>
      </c>
      <c r="B21" s="235">
        <f t="shared" si="4"/>
        <v>1.0036902018713663</v>
      </c>
      <c r="C21" s="235">
        <f t="shared" si="4"/>
        <v>1.007877063616482</v>
      </c>
      <c r="D21" s="235">
        <f t="shared" si="4"/>
        <v>0.99819078947368423</v>
      </c>
      <c r="E21" s="235">
        <f t="shared" si="4"/>
        <v>0.94979079497907948</v>
      </c>
      <c r="F21" s="235"/>
      <c r="G21" s="235">
        <f t="shared" si="4"/>
        <v>0.99398886357884086</v>
      </c>
      <c r="H21" s="235">
        <f t="shared" si="4"/>
        <v>0.88505747126436785</v>
      </c>
      <c r="I21" s="235">
        <f t="shared" ref="I21" si="8">I8/I7</f>
        <v>1.0017758835020423</v>
      </c>
    </row>
    <row r="22" spans="1:9">
      <c r="A22" s="3">
        <v>2012</v>
      </c>
      <c r="B22" s="235">
        <f t="shared" si="4"/>
        <v>0.99634934893320071</v>
      </c>
      <c r="C22" s="235">
        <f t="shared" si="4"/>
        <v>1.0362355019586758</v>
      </c>
      <c r="D22" s="235">
        <f t="shared" si="4"/>
        <v>1.0153237765694514</v>
      </c>
      <c r="E22" s="235">
        <f t="shared" si="4"/>
        <v>1.026431718061674</v>
      </c>
      <c r="F22" s="235"/>
      <c r="G22" s="235">
        <f t="shared" si="4"/>
        <v>1.0062066331402382</v>
      </c>
      <c r="H22" s="235">
        <f t="shared" si="4"/>
        <v>1.1326933935629586</v>
      </c>
      <c r="I22" s="235">
        <f t="shared" ref="I22" si="9">I9/I8</f>
        <v>0.99946817940081545</v>
      </c>
    </row>
    <row r="23" spans="1:9">
      <c r="A23" s="3">
        <v>2013</v>
      </c>
      <c r="B23" s="235">
        <f t="shared" si="4"/>
        <v>1.0045972643669168</v>
      </c>
      <c r="C23" s="235">
        <f t="shared" si="4"/>
        <v>1.006856549858236</v>
      </c>
      <c r="D23" s="235">
        <f t="shared" si="4"/>
        <v>0.99626744563453418</v>
      </c>
      <c r="E23" s="235">
        <f t="shared" si="4"/>
        <v>1.0858369098712446</v>
      </c>
      <c r="F23" s="235"/>
      <c r="G23" s="235">
        <f t="shared" si="4"/>
        <v>0.99417328314301079</v>
      </c>
      <c r="H23" s="235">
        <f t="shared" si="4"/>
        <v>1.0219341974077767</v>
      </c>
      <c r="I23" s="235">
        <f t="shared" ref="I23" si="10">I10/I9</f>
        <v>0.99077687123093294</v>
      </c>
    </row>
    <row r="24" spans="1:9">
      <c r="A24" s="3">
        <v>2014</v>
      </c>
      <c r="B24" s="235">
        <f t="shared" si="4"/>
        <v>1.0036458618227213</v>
      </c>
      <c r="C24" s="235">
        <f t="shared" si="4"/>
        <v>1.0110750955048038</v>
      </c>
      <c r="D24" s="235">
        <f t="shared" si="4"/>
        <v>0.96817375017816432</v>
      </c>
      <c r="E24" s="235">
        <f t="shared" si="4"/>
        <v>0.98480441730484192</v>
      </c>
      <c r="F24" s="235"/>
      <c r="G24" s="235">
        <f t="shared" si="4"/>
        <v>1.0040460749774092</v>
      </c>
      <c r="H24" s="235">
        <f t="shared" si="4"/>
        <v>1.0073092130335366</v>
      </c>
      <c r="I24" s="235">
        <f t="shared" ref="I24" si="11">I11/I10</f>
        <v>0.99354893581610271</v>
      </c>
    </row>
    <row r="25" spans="1:9">
      <c r="A25" s="3">
        <v>2015</v>
      </c>
      <c r="B25" s="235">
        <f t="shared" ref="B25:I25" si="12">B12/B11</f>
        <v>1.0036873380421123</v>
      </c>
      <c r="C25" s="235">
        <f t="shared" si="12"/>
        <v>1.0062498192020517</v>
      </c>
      <c r="D25" s="235">
        <f t="shared" si="12"/>
        <v>0.95220014714492585</v>
      </c>
      <c r="E25" s="235">
        <f t="shared" si="12"/>
        <v>1.054943559615378</v>
      </c>
      <c r="F25" s="235"/>
      <c r="G25" s="235">
        <f t="shared" si="12"/>
        <v>1.0037187804136412</v>
      </c>
      <c r="H25" s="235">
        <f t="shared" si="12"/>
        <v>0.99330966516965924</v>
      </c>
      <c r="I25" s="235">
        <f t="shared" si="12"/>
        <v>0.97532522960925438</v>
      </c>
    </row>
    <row r="26" spans="1:9">
      <c r="A26" s="3">
        <v>2016</v>
      </c>
      <c r="B26" s="235">
        <f t="shared" si="4"/>
        <v>1.0031498964980734</v>
      </c>
      <c r="C26" s="235">
        <f t="shared" si="4"/>
        <v>1.0036098461270577</v>
      </c>
      <c r="D26" s="235">
        <f t="shared" si="4"/>
        <v>0.98135817367850953</v>
      </c>
      <c r="E26" s="235">
        <f t="shared" si="4"/>
        <v>0.98798611163028116</v>
      </c>
      <c r="F26" s="235"/>
      <c r="G26" s="235">
        <f t="shared" si="4"/>
        <v>1.0036769051731314</v>
      </c>
      <c r="H26" s="235">
        <f t="shared" si="4"/>
        <v>0.95806901029052527</v>
      </c>
      <c r="I26" s="235">
        <f t="shared" si="4"/>
        <v>0.97467563708175287</v>
      </c>
    </row>
    <row r="28" spans="1:9">
      <c r="A28" t="s">
        <v>45</v>
      </c>
      <c r="B28" s="26">
        <f t="shared" ref="B28:G28" si="13">B30</f>
        <v>1.0024619630264002</v>
      </c>
      <c r="C28" s="26">
        <f t="shared" si="13"/>
        <v>1.0069486451906893</v>
      </c>
      <c r="D28" s="222">
        <f>D30</f>
        <v>0.99380670940289817</v>
      </c>
      <c r="E28" s="222">
        <v>1</v>
      </c>
      <c r="F28" s="26"/>
      <c r="G28" s="26">
        <f t="shared" si="13"/>
        <v>1.0021677350470262</v>
      </c>
      <c r="H28" s="26">
        <v>1</v>
      </c>
      <c r="I28" s="26">
        <v>1</v>
      </c>
    </row>
    <row r="29" spans="1:9">
      <c r="B29" s="26"/>
      <c r="C29" s="26"/>
      <c r="D29" s="26"/>
      <c r="E29" s="26"/>
      <c r="F29" s="26"/>
      <c r="G29" s="26"/>
      <c r="H29" s="26"/>
      <c r="I29" s="26"/>
    </row>
    <row r="30" spans="1:9">
      <c r="A30" t="s">
        <v>10</v>
      </c>
      <c r="B30" s="26">
        <f>GEOMEAN(B17:B26)</f>
        <v>1.0024619630264002</v>
      </c>
      <c r="C30" s="26">
        <f t="shared" ref="C30:I30" si="14">GEOMEAN(C17:C26)</f>
        <v>1.0069486451906893</v>
      </c>
      <c r="D30" s="26">
        <f t="shared" si="14"/>
        <v>0.99380670940289817</v>
      </c>
      <c r="E30" s="531">
        <f t="shared" si="14"/>
        <v>1.0185906428611498</v>
      </c>
      <c r="F30" s="531"/>
      <c r="G30" s="26">
        <f t="shared" si="14"/>
        <v>1.0021677350470262</v>
      </c>
      <c r="H30" s="26">
        <f t="shared" si="14"/>
        <v>0.99985564456562726</v>
      </c>
      <c r="I30" s="26">
        <f t="shared" si="14"/>
        <v>1.0026918265651619</v>
      </c>
    </row>
    <row r="31" spans="1:9">
      <c r="A31" s="3"/>
      <c r="B31" s="26"/>
      <c r="C31" s="26"/>
      <c r="D31" s="26"/>
      <c r="E31" s="26"/>
      <c r="F31" s="26"/>
      <c r="G31" s="26"/>
      <c r="H31" s="26"/>
      <c r="I31" s="26"/>
    </row>
    <row r="32" spans="1:9">
      <c r="A32" s="3"/>
      <c r="B32" s="26"/>
      <c r="C32" s="26"/>
      <c r="D32" s="26"/>
      <c r="E32" s="26"/>
      <c r="F32" s="26"/>
      <c r="G32" s="26"/>
      <c r="H32" s="26"/>
      <c r="I32" s="26"/>
    </row>
    <row r="33" spans="1:9">
      <c r="A33" s="3"/>
      <c r="B33" s="26"/>
      <c r="C33" s="26"/>
      <c r="D33" s="26"/>
      <c r="E33" s="26"/>
      <c r="F33" s="26"/>
      <c r="G33" s="26"/>
      <c r="H33" s="26"/>
      <c r="I33" s="26"/>
    </row>
    <row r="34" spans="1:9">
      <c r="A34" s="3"/>
      <c r="B34" s="26"/>
      <c r="C34" s="26"/>
      <c r="D34" s="26"/>
      <c r="E34" s="26"/>
      <c r="F34" s="26"/>
      <c r="G34" s="26"/>
      <c r="H34" s="26"/>
      <c r="I34" s="26"/>
    </row>
    <row r="35" spans="1:9">
      <c r="A35" s="3"/>
      <c r="B35" s="26"/>
      <c r="C35" s="26"/>
      <c r="D35" s="26"/>
      <c r="E35" s="26"/>
      <c r="F35" s="26"/>
      <c r="G35" s="26"/>
      <c r="H35" s="26"/>
      <c r="I35" s="26"/>
    </row>
    <row r="36" spans="1:9">
      <c r="A36" s="3"/>
      <c r="B36" s="26"/>
      <c r="C36" s="26"/>
      <c r="D36" s="26"/>
      <c r="E36" s="26"/>
      <c r="F36" s="26"/>
      <c r="G36" s="26"/>
      <c r="H36" s="26"/>
      <c r="I36" s="26"/>
    </row>
    <row r="37" spans="1:9">
      <c r="A37" s="3"/>
      <c r="B37" s="26"/>
      <c r="C37" s="26"/>
      <c r="D37" s="26"/>
      <c r="E37" s="26"/>
      <c r="F37" s="26"/>
      <c r="G37" s="26"/>
      <c r="H37" s="26"/>
      <c r="I37" s="26"/>
    </row>
    <row r="38" spans="1:9">
      <c r="A38" s="3"/>
      <c r="B38" s="26"/>
      <c r="C38" s="26"/>
      <c r="D38" s="26"/>
      <c r="E38" s="26"/>
      <c r="F38" s="26"/>
      <c r="G38" s="26"/>
      <c r="H38" s="26"/>
      <c r="I38" s="26"/>
    </row>
    <row r="39" spans="1:9">
      <c r="B39" s="26"/>
      <c r="C39" s="26"/>
      <c r="D39" s="26"/>
      <c r="E39" s="26"/>
      <c r="F39" s="26"/>
      <c r="G39" s="26"/>
      <c r="H39" s="26"/>
      <c r="I39" s="26"/>
    </row>
    <row r="40" spans="1:9">
      <c r="B40" s="26"/>
      <c r="C40" s="26"/>
      <c r="D40" s="26"/>
      <c r="E40" s="26"/>
      <c r="F40" s="26"/>
      <c r="G40" s="26"/>
      <c r="H40" s="26"/>
      <c r="I40" s="26"/>
    </row>
    <row r="41" spans="1:9">
      <c r="B41" s="26"/>
      <c r="C41" s="26"/>
      <c r="D41" s="26"/>
      <c r="E41" s="26"/>
      <c r="F41" s="26"/>
      <c r="G41" s="26"/>
      <c r="H41" s="26"/>
      <c r="I41" s="26"/>
    </row>
    <row r="42" spans="1:9">
      <c r="B42" s="26"/>
      <c r="C42" s="26"/>
      <c r="D42" s="26"/>
      <c r="E42" s="26"/>
      <c r="F42" s="26"/>
      <c r="G42" s="26"/>
      <c r="H42" s="26"/>
      <c r="I42" s="26"/>
    </row>
    <row r="43" spans="1:9">
      <c r="B43" s="26"/>
      <c r="C43" s="26"/>
      <c r="D43" s="26"/>
      <c r="E43" s="26"/>
      <c r="F43" s="26"/>
      <c r="G43" s="26"/>
      <c r="H43" s="26"/>
      <c r="I43" s="26"/>
    </row>
    <row r="44" spans="1:9">
      <c r="B44" s="26"/>
      <c r="C44" s="26"/>
      <c r="D44" s="26"/>
      <c r="E44" s="26"/>
      <c r="F44" s="26"/>
      <c r="G44" s="26"/>
      <c r="H44" s="26"/>
      <c r="I44" s="26"/>
    </row>
    <row r="45" spans="1:9">
      <c r="B45" s="26"/>
      <c r="C45" s="26"/>
      <c r="D45" s="26"/>
      <c r="E45" s="26"/>
      <c r="F45" s="26"/>
      <c r="G45" s="26"/>
      <c r="H45" s="26"/>
      <c r="I45" s="26"/>
    </row>
    <row r="46" spans="1:9">
      <c r="B46" s="26"/>
      <c r="C46" s="26"/>
      <c r="D46" s="26"/>
      <c r="E46" s="26"/>
      <c r="F46" s="26"/>
      <c r="G46" s="26"/>
      <c r="H46" s="26"/>
      <c r="I46" s="26"/>
    </row>
    <row r="47" spans="1:9">
      <c r="B47" s="26"/>
      <c r="C47" s="26"/>
      <c r="D47" s="26"/>
      <c r="E47" s="26"/>
      <c r="F47" s="26"/>
      <c r="G47" s="26"/>
      <c r="H47" s="26"/>
      <c r="I47" s="26"/>
    </row>
    <row r="48" spans="1:9">
      <c r="B48" s="26"/>
      <c r="C48" s="26"/>
      <c r="D48" s="26"/>
      <c r="E48" s="26"/>
      <c r="F48" s="26"/>
      <c r="G48" s="26"/>
      <c r="H48" s="26"/>
      <c r="I48" s="26"/>
    </row>
    <row r="49" spans="2:9">
      <c r="B49" s="26"/>
      <c r="C49" s="26"/>
      <c r="D49" s="26"/>
      <c r="E49" s="26"/>
      <c r="F49" s="26"/>
      <c r="G49" s="26"/>
      <c r="H49" s="26"/>
      <c r="I49" s="26"/>
    </row>
    <row r="50" spans="2:9">
      <c r="B50" s="26"/>
      <c r="C50" s="26"/>
      <c r="D50" s="26"/>
      <c r="E50" s="26"/>
      <c r="F50" s="26"/>
      <c r="G50" s="26"/>
      <c r="H50" s="26"/>
      <c r="I50" s="26"/>
    </row>
    <row r="51" spans="2:9">
      <c r="B51" s="26"/>
      <c r="C51" s="26"/>
      <c r="D51" s="26"/>
      <c r="E51" s="26"/>
      <c r="F51" s="26"/>
      <c r="G51" s="26"/>
      <c r="H51" s="26"/>
      <c r="I51" s="26"/>
    </row>
    <row r="52" spans="2:9">
      <c r="B52" s="26"/>
      <c r="C52" s="26"/>
      <c r="D52" s="26"/>
      <c r="E52" s="26"/>
      <c r="F52" s="26"/>
      <c r="G52" s="26"/>
      <c r="H52" s="26"/>
      <c r="I52" s="26"/>
    </row>
    <row r="53" spans="2:9">
      <c r="B53" s="26"/>
      <c r="C53" s="26"/>
      <c r="D53" s="26"/>
      <c r="E53" s="26"/>
      <c r="F53" s="26"/>
      <c r="G53" s="26"/>
      <c r="H53" s="26"/>
      <c r="I53" s="26"/>
    </row>
    <row r="54" spans="2:9">
      <c r="B54" s="26"/>
      <c r="C54" s="26"/>
      <c r="D54" s="26"/>
      <c r="E54" s="26"/>
      <c r="F54" s="26"/>
      <c r="G54" s="26"/>
      <c r="H54" s="26"/>
      <c r="I54" s="26"/>
    </row>
    <row r="55" spans="2:9">
      <c r="B55" s="26"/>
      <c r="C55" s="26"/>
      <c r="D55" s="26"/>
      <c r="E55" s="26"/>
      <c r="F55" s="26"/>
      <c r="G55" s="26"/>
      <c r="H55" s="26"/>
      <c r="I55" s="26"/>
    </row>
    <row r="56" spans="2:9">
      <c r="B56" s="26"/>
      <c r="C56" s="26"/>
      <c r="D56" s="26"/>
      <c r="E56" s="26"/>
      <c r="F56" s="26"/>
      <c r="G56" s="26"/>
      <c r="H56" s="26"/>
      <c r="I56" s="26"/>
    </row>
    <row r="57" spans="2:9">
      <c r="B57" s="26"/>
      <c r="C57" s="26"/>
      <c r="F57" s="26"/>
      <c r="G57" s="26"/>
      <c r="H57" s="26"/>
      <c r="I57" s="26"/>
    </row>
    <row r="63" spans="2:9">
      <c r="D63" s="27"/>
      <c r="E63" s="27"/>
    </row>
    <row r="64" spans="2:9">
      <c r="B64" s="27"/>
      <c r="C64" s="27"/>
      <c r="D64" s="27"/>
      <c r="E64" s="27"/>
      <c r="F64" s="27"/>
      <c r="G64" s="27"/>
      <c r="H64" s="27"/>
      <c r="I64" s="27"/>
    </row>
    <row r="65" spans="2:9">
      <c r="B65" s="27"/>
      <c r="C65" s="27"/>
      <c r="F65" s="27"/>
      <c r="G65" s="27"/>
      <c r="H65" s="27"/>
      <c r="I65" s="27"/>
    </row>
    <row r="83" spans="2:9">
      <c r="D83" s="16"/>
      <c r="E83" s="16"/>
    </row>
    <row r="84" spans="2:9">
      <c r="B84" s="16"/>
      <c r="C84" s="16"/>
      <c r="D84" s="16"/>
      <c r="E84" s="16"/>
      <c r="F84" s="16"/>
      <c r="G84" s="16"/>
      <c r="H84" s="16"/>
      <c r="I84" s="16"/>
    </row>
    <row r="85" spans="2:9">
      <c r="B85" s="16"/>
      <c r="C85" s="16"/>
      <c r="F85" s="16"/>
      <c r="G85" s="16"/>
      <c r="H85" s="16"/>
      <c r="I85" s="16"/>
    </row>
  </sheetData>
  <phoneticPr fontId="0" type="noConversion"/>
  <pageMargins left="0.39370078740157483" right="0.74803149606299213" top="0.74803149606299213" bottom="0.74803149606299213" header="0.51181102362204722" footer="0.51181102362204722"/>
  <pageSetup orientation="landscape" verticalDpi="300" r:id="rId1"/>
  <headerFooter alignWithMargins="0">
    <oddFooter>&amp;L&amp;Z&amp;F&amp;A</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55"/>
  <sheetViews>
    <sheetView workbookViewId="0">
      <pane xSplit="1" ySplit="1" topLeftCell="B2" activePane="bottomRight" state="frozen"/>
      <selection pane="topRight" activeCell="B1" sqref="B1"/>
      <selection pane="bottomLeft" activeCell="A3" sqref="A3"/>
      <selection pane="bottomRight" activeCell="F36" sqref="F36"/>
    </sheetView>
  </sheetViews>
  <sheetFormatPr defaultRowHeight="12.75"/>
  <cols>
    <col min="1" max="1" width="11" customWidth="1"/>
    <col min="2" max="2" width="14.140625" style="5" bestFit="1" customWidth="1"/>
    <col min="3" max="3" width="14.140625" style="5" customWidth="1"/>
    <col min="4" max="6" width="17.7109375" style="5" customWidth="1"/>
    <col min="7" max="8" width="12.7109375" style="5" bestFit="1" customWidth="1"/>
    <col min="9" max="9" width="11.7109375" style="5" bestFit="1" customWidth="1"/>
    <col min="10" max="10" width="10.7109375" style="5" bestFit="1" customWidth="1"/>
    <col min="11" max="12" width="9.140625" style="5"/>
  </cols>
  <sheetData>
    <row r="1" spans="1:12" ht="42" customHeight="1">
      <c r="B1" s="7" t="str">
        <f>'Rate Class Customer Model'!D2</f>
        <v>General Service
 &gt; 50 to 999 kW</v>
      </c>
      <c r="C1" s="7" t="str">
        <f>'Rate Class Customer Model'!E2</f>
        <v>General Service 
&gt; 1000 kW</v>
      </c>
      <c r="D1" s="7" t="str">
        <f>'Rate Class Customer Model'!F2</f>
        <v>Large User</v>
      </c>
      <c r="E1" s="7" t="str">
        <f>'Rate Class Customer Model'!G2</f>
        <v>Street Lighting</v>
      </c>
      <c r="F1" s="7" t="str">
        <f>'Rate Class Customer Model'!H2</f>
        <v>Sentinel Lighting</v>
      </c>
      <c r="G1" s="5" t="s">
        <v>5</v>
      </c>
    </row>
    <row r="2" spans="1:12">
      <c r="A2" s="31">
        <v>2006</v>
      </c>
      <c r="B2" s="68">
        <f>SUM('[11]CoS 2017 Load History'!$N$125:$N$136)</f>
        <v>715592.13</v>
      </c>
      <c r="C2" s="68">
        <f>SUM('[11]CoS 2017 Load History'!$S$125:$S$136) + SUM('[11]CoS 2017 Load History'!$X$125:$X$136)</f>
        <v>675435.28559999994</v>
      </c>
      <c r="D2" s="68"/>
      <c r="E2" s="68">
        <f>SUM('[11]CoS 2017 Load History'!$AC$125:$AC$136)</f>
        <v>30656.799999999996</v>
      </c>
      <c r="F2" s="68">
        <f>SUM('[11]CoS 2017 Load History'!$AH$125:$AH$136)</f>
        <v>373.92000000000007</v>
      </c>
      <c r="G2" s="5">
        <f>SUM(B2:F2)</f>
        <v>1422058.1355999999</v>
      </c>
      <c r="H2"/>
      <c r="J2" s="69"/>
      <c r="K2" s="69"/>
      <c r="L2"/>
    </row>
    <row r="3" spans="1:12">
      <c r="A3" s="31">
        <v>2007</v>
      </c>
      <c r="B3" s="68">
        <f>SUM('[11]CoS 2017 Load History'!$N$137:$N$148)</f>
        <v>728766.5</v>
      </c>
      <c r="C3" s="68">
        <f>SUM('[11]CoS 2017 Load History'!$S$137:$S$148) + SUM('[11]CoS 2017 Load History'!$X$137:$X$148)</f>
        <v>626041.3097000001</v>
      </c>
      <c r="D3" s="68"/>
      <c r="E3" s="68">
        <f>SUM('[11]CoS 2017 Load History'!$AC$137:$AC$148)</f>
        <v>30889.010000000002</v>
      </c>
      <c r="F3" s="68">
        <f>SUM('[11]CoS 2017 Load History'!$AH$137:$AH$148)</f>
        <v>348.84</v>
      </c>
      <c r="G3" s="5">
        <f t="shared" ref="G3:G13" si="0">SUM(B3:F3)</f>
        <v>1386045.6597000002</v>
      </c>
      <c r="H3"/>
      <c r="J3" s="69"/>
      <c r="K3" s="69"/>
      <c r="L3"/>
    </row>
    <row r="4" spans="1:12">
      <c r="A4" s="31">
        <v>2008</v>
      </c>
      <c r="B4" s="68">
        <f>SUM('[11]CoS 2017 Load History'!$N$149:$N$160)</f>
        <v>747849.27000000014</v>
      </c>
      <c r="C4" s="68">
        <f>SUM('[11]CoS 2017 Load History'!$S$149:$S$160) + SUM('[11]CoS 2017 Load History'!$X$149:$X$160)</f>
        <v>572083.02580000006</v>
      </c>
      <c r="D4" s="68"/>
      <c r="E4" s="68">
        <f>SUM('[11]CoS 2017 Load History'!$AC$149:$AC$160)</f>
        <v>31499.200000000001</v>
      </c>
      <c r="F4" s="68">
        <f>SUM('[11]CoS 2017 Load History'!$AH$149:$AH$160)</f>
        <v>341.62</v>
      </c>
      <c r="G4" s="5">
        <f t="shared" si="0"/>
        <v>1351773.1158000003</v>
      </c>
      <c r="H4"/>
      <c r="J4" s="69"/>
      <c r="K4" s="69"/>
      <c r="L4"/>
    </row>
    <row r="5" spans="1:12">
      <c r="A5" s="31">
        <v>2009</v>
      </c>
      <c r="B5" s="68">
        <f>SUM('[11]CoS 2017 Load History'!$N$161:$N$172)</f>
        <v>719275.91000000015</v>
      </c>
      <c r="C5" s="68">
        <f>SUM('[11]CoS 2017 Load History'!$S$161:$S$172) + SUM('[11]CoS 2017 Load History'!$X$161:$X$172)</f>
        <v>530288.73339999991</v>
      </c>
      <c r="D5" s="68"/>
      <c r="E5" s="68">
        <f>SUM('[11]CoS 2017 Load History'!$AC$161:$AC$172)</f>
        <v>31053.320000000007</v>
      </c>
      <c r="F5" s="68">
        <f>SUM('[11]CoS 2017 Load History'!$AH$161:$AH$172)</f>
        <v>360.04999999999995</v>
      </c>
      <c r="G5" s="5">
        <f t="shared" si="0"/>
        <v>1280978.0134000001</v>
      </c>
      <c r="H5"/>
      <c r="J5" s="69"/>
      <c r="K5" s="69"/>
      <c r="L5"/>
    </row>
    <row r="6" spans="1:12">
      <c r="A6" s="31">
        <v>2010</v>
      </c>
      <c r="B6" s="68">
        <f>SUM('[11]CoS 2017 Load History'!$N$173:$N$184)</f>
        <v>723294.84999999986</v>
      </c>
      <c r="C6" s="68">
        <f>SUM('[11]CoS 2017 Load History'!$S$173:$S$184) + SUM('[11]CoS 2017 Load History'!$X$173:$X$184)</f>
        <v>516956.12800000003</v>
      </c>
      <c r="D6" s="68"/>
      <c r="E6" s="68">
        <f>SUM('[11]CoS 2017 Load History'!$AC$173:$AC$184)</f>
        <v>31561.720000000008</v>
      </c>
      <c r="F6" s="68">
        <f>SUM('[11]CoS 2017 Load History'!$AH$173:$AH$184)</f>
        <v>380.19000000000005</v>
      </c>
      <c r="G6" s="5">
        <f t="shared" si="0"/>
        <v>1272192.8879999998</v>
      </c>
      <c r="H6"/>
      <c r="J6" s="69"/>
      <c r="K6" s="69"/>
      <c r="L6"/>
    </row>
    <row r="7" spans="1:12">
      <c r="A7" s="31">
        <v>2011</v>
      </c>
      <c r="B7" s="68">
        <f>SUM('[11]CoS 2017 Load History'!$N$185:$N$196)</f>
        <v>732497.42999999993</v>
      </c>
      <c r="C7" s="68">
        <f>SUM('[11]CoS 2017 Load History'!$S$185:$S$196) + SUM('[11]CoS 2017 Load History'!$X$185:$X$196)</f>
        <v>504570.848</v>
      </c>
      <c r="D7" s="68"/>
      <c r="E7" s="68">
        <f>SUM('[11]CoS 2017 Load History'!$AC$185:$AC$196)</f>
        <v>31849.550000000003</v>
      </c>
      <c r="F7" s="68">
        <f>SUM('[11]CoS 2017 Load History'!$AH$185:$AH$196)</f>
        <v>336.49</v>
      </c>
      <c r="G7" s="5">
        <f t="shared" si="0"/>
        <v>1269254.318</v>
      </c>
      <c r="H7"/>
      <c r="J7" s="69"/>
      <c r="K7" s="69"/>
      <c r="L7"/>
    </row>
    <row r="8" spans="1:12">
      <c r="A8" s="31">
        <v>2012</v>
      </c>
      <c r="B8" s="68">
        <f>SUM('[11]CoS 2017 Load History'!$N$197:$N$208)</f>
        <v>734173.25</v>
      </c>
      <c r="C8" s="68">
        <f>SUM('[11]CoS 2017 Load History'!$S$197:$S$208) + SUM('[11]CoS 2017 Load History'!$X$197:$X$208)</f>
        <v>517091.88530000014</v>
      </c>
      <c r="D8" s="68"/>
      <c r="E8" s="68">
        <f>SUM('[11]CoS 2017 Load History'!$AC$197:$AC$208)</f>
        <v>30858.559999999998</v>
      </c>
      <c r="F8" s="68">
        <f>SUM('[11]CoS 2017 Load History'!$AH$197:$AH$208)</f>
        <v>381.14000000000004</v>
      </c>
      <c r="G8" s="5">
        <f t="shared" si="0"/>
        <v>1282504.8353000002</v>
      </c>
      <c r="H8"/>
      <c r="J8" s="69"/>
      <c r="K8" s="69"/>
      <c r="L8"/>
    </row>
    <row r="9" spans="1:12">
      <c r="A9" s="31">
        <v>2013</v>
      </c>
      <c r="B9" s="68">
        <f>SUM('[11]CoS 2017 Load History'!$N$209:$N$220)</f>
        <v>722899.29</v>
      </c>
      <c r="C9" s="68">
        <f>SUM('[11]CoS 2017 Load History'!$S$209:$S$220) + SUM('[11]CoS 2017 Load History'!$X$209:$X$220)</f>
        <v>510032.45079999993</v>
      </c>
      <c r="D9" s="68"/>
      <c r="E9" s="68">
        <f>SUM('[11]CoS 2017 Load History'!$AC$209:$AC$220)</f>
        <v>29850.29</v>
      </c>
      <c r="F9" s="68">
        <f>SUM('[11]CoS 2017 Load History'!$AH$209:$AH$220)</f>
        <v>389.5</v>
      </c>
      <c r="G9" s="5">
        <f t="shared" si="0"/>
        <v>1263171.5308000001</v>
      </c>
      <c r="H9"/>
      <c r="J9" s="69"/>
      <c r="K9" s="69"/>
      <c r="L9"/>
    </row>
    <row r="10" spans="1:12">
      <c r="A10" s="31">
        <v>2014</v>
      </c>
      <c r="B10" s="68">
        <f>SUM('[11]CoS 2017 Load History'!$N$221:$N$232)</f>
        <v>690826.75000000012</v>
      </c>
      <c r="C10" s="68">
        <f>SUM('[11]CoS 2017 Load History'!$S$221:$S$232) + SUM('[11]CoS 2017 Load History'!$X$221:$X$232)</f>
        <v>512108.56049999996</v>
      </c>
      <c r="D10" s="68"/>
      <c r="E10" s="68">
        <f>SUM('[11]CoS 2017 Load History'!$AC$221:$AC$232)</f>
        <v>29216.71</v>
      </c>
      <c r="F10" s="68">
        <f>SUM('[11]CoS 2017 Load History'!$AH$221:$AH$232)</f>
        <v>392.34693847656257</v>
      </c>
      <c r="G10" s="5">
        <f t="shared" si="0"/>
        <v>1232544.3674384768</v>
      </c>
      <c r="H10"/>
      <c r="J10" s="69"/>
      <c r="K10" s="69"/>
      <c r="L10"/>
    </row>
    <row r="11" spans="1:12">
      <c r="A11" s="31">
        <v>2015</v>
      </c>
      <c r="B11" s="68">
        <f>SUM('[11]CoS 2017 Load History'!$N$233:$N$244)</f>
        <v>668162.78</v>
      </c>
      <c r="C11" s="68">
        <f>SUM('[11]CoS 2017 Load History'!$S$233:$S$244) + SUM('[11]CoS 2017 Load History'!$X$233:$X$244)</f>
        <v>535701.6155999999</v>
      </c>
      <c r="D11" s="68"/>
      <c r="E11" s="68">
        <f>SUM('[11]CoS 2017 Load History'!$AC$233:$AC$244)</f>
        <v>27043.15</v>
      </c>
      <c r="F11" s="68">
        <f>SUM('[11]CoS 2017 Load History'!$AH$233:$AH$244)</f>
        <v>307.67526796460157</v>
      </c>
      <c r="G11" s="5">
        <f t="shared" si="0"/>
        <v>1231215.2208679644</v>
      </c>
      <c r="H11"/>
      <c r="J11" s="69"/>
      <c r="K11" s="69"/>
      <c r="L11"/>
    </row>
    <row r="12" spans="1:12">
      <c r="A12" s="31">
        <v>2016</v>
      </c>
      <c r="B12" s="32">
        <f>'Rate Class Energy Model'!J60*'Rate Class Load Model'!B27</f>
        <v>660214.41113955656</v>
      </c>
      <c r="C12" s="32">
        <f>'Rate Class Energy Model'!K60*'Rate Class Load Model'!C27</f>
        <v>486067.78556135576</v>
      </c>
      <c r="D12" s="32"/>
      <c r="E12" s="32">
        <f>'Rate Class Energy Model'!M60*'Rate Class Load Model'!E27</f>
        <v>25281.042893165009</v>
      </c>
      <c r="F12" s="32">
        <f>'Rate Class Energy Model'!N60*'Rate Class Load Model'!F27</f>
        <v>294.77413946971797</v>
      </c>
      <c r="G12" s="5">
        <f t="shared" si="0"/>
        <v>1171858.0137335472</v>
      </c>
      <c r="H12"/>
      <c r="I12"/>
      <c r="J12"/>
      <c r="K12"/>
      <c r="L12"/>
    </row>
    <row r="13" spans="1:12">
      <c r="A13" s="31">
        <v>2017</v>
      </c>
      <c r="B13" s="32">
        <f>'Rate Class Energy Model'!J61*'Rate Class Load Model'!B27</f>
        <v>656994.77707427274</v>
      </c>
      <c r="C13" s="32">
        <f>'Rate Class Energy Model'!K61*'Rate Class Load Model'!C27</f>
        <v>466924.2403113636</v>
      </c>
      <c r="D13" s="32"/>
      <c r="E13" s="32">
        <f>'Rate Class Energy Model'!M61*'Rate Class Load Model'!E27</f>
        <v>23590.129477102848</v>
      </c>
      <c r="F13" s="32">
        <f>'Rate Class Energy Model'!N61*'Rate Class Load Model'!F27</f>
        <v>294.77413946971797</v>
      </c>
      <c r="G13" s="5">
        <f t="shared" si="0"/>
        <v>1147803.921002209</v>
      </c>
      <c r="H13"/>
      <c r="I13"/>
      <c r="J13"/>
      <c r="K13"/>
      <c r="L13"/>
    </row>
    <row r="14" spans="1:12">
      <c r="A14" s="21"/>
      <c r="H14"/>
      <c r="I14"/>
      <c r="J14"/>
      <c r="K14"/>
      <c r="L14"/>
    </row>
    <row r="15" spans="1:12">
      <c r="A15" s="20" t="s">
        <v>46</v>
      </c>
      <c r="B15" s="4"/>
      <c r="C15" s="4"/>
      <c r="D15" s="4"/>
      <c r="E15" s="4"/>
      <c r="F15" s="4"/>
      <c r="H15"/>
      <c r="I15"/>
      <c r="J15"/>
      <c r="K15"/>
      <c r="L15"/>
    </row>
    <row r="16" spans="1:12">
      <c r="A16" s="3">
        <v>2006</v>
      </c>
      <c r="B16" s="29">
        <f>B2/'Rate Class Energy Model'!J3</f>
        <v>2.3915506994086804E-3</v>
      </c>
      <c r="C16" s="29">
        <f>C2/'Rate Class Energy Model'!K3</f>
        <v>2.7985640476263902E-3</v>
      </c>
      <c r="D16" s="29"/>
      <c r="E16" s="29">
        <f>E2/'Rate Class Energy Model'!M3</f>
        <v>3.1083600463221155E-3</v>
      </c>
      <c r="F16" s="29">
        <f>F2/'Rate Class Energy Model'!N3</f>
        <v>2.7777777777777775E-3</v>
      </c>
      <c r="H16"/>
      <c r="I16"/>
      <c r="J16"/>
      <c r="K16"/>
      <c r="L16"/>
    </row>
    <row r="17" spans="1:6">
      <c r="A17" s="3">
        <v>2007</v>
      </c>
      <c r="B17" s="29">
        <f>B3/'Rate Class Energy Model'!J4</f>
        <v>2.4374952054551442E-3</v>
      </c>
      <c r="C17" s="29">
        <f>C3/'Rate Class Energy Model'!K4</f>
        <v>2.7110567940117633E-3</v>
      </c>
      <c r="D17" s="29"/>
      <c r="E17" s="29">
        <f>E3/'Rate Class Energy Model'!M4</f>
        <v>2.8317950445302452E-3</v>
      </c>
      <c r="F17" s="29">
        <f>F3/'Rate Class Energy Model'!N4</f>
        <v>2.7777777777777779E-3</v>
      </c>
    </row>
    <row r="18" spans="1:6">
      <c r="A18" s="3">
        <v>2008</v>
      </c>
      <c r="B18" s="29">
        <f>B4/'Rate Class Energy Model'!J5</f>
        <v>2.5133652877625907E-3</v>
      </c>
      <c r="C18" s="29">
        <f>C4/'Rate Class Energy Model'!K5</f>
        <v>2.7975837713844153E-3</v>
      </c>
      <c r="D18" s="29"/>
      <c r="E18" s="29">
        <f>E4/'Rate Class Energy Model'!M5</f>
        <v>2.9072980951794381E-3</v>
      </c>
      <c r="F18" s="29">
        <f>F4/'Rate Class Energy Model'!N5</f>
        <v>2.7777777777777779E-3</v>
      </c>
    </row>
    <row r="19" spans="1:6">
      <c r="A19" s="3">
        <v>2009</v>
      </c>
      <c r="B19" s="29">
        <f>B5/'Rate Class Energy Model'!J6</f>
        <v>2.4734033795011465E-3</v>
      </c>
      <c r="C19" s="29">
        <f>C5/'Rate Class Energy Model'!K6</f>
        <v>2.7911409040949501E-3</v>
      </c>
      <c r="D19" s="29"/>
      <c r="E19" s="29">
        <f>E5/'Rate Class Energy Model'!M6</f>
        <v>2.6790144531836425E-3</v>
      </c>
      <c r="F19" s="29">
        <f>F5/'Rate Class Energy Model'!N6</f>
        <v>2.7777777777777779E-3</v>
      </c>
    </row>
    <row r="20" spans="1:6">
      <c r="A20" s="3">
        <v>2010</v>
      </c>
      <c r="B20" s="29">
        <f>B6/'Rate Class Energy Model'!J7</f>
        <v>2.537450937065912E-3</v>
      </c>
      <c r="C20" s="29">
        <f>C6/'Rate Class Energy Model'!K7</f>
        <v>2.9159799519626419E-3</v>
      </c>
      <c r="D20" s="29"/>
      <c r="E20" s="29">
        <f>E6/'Rate Class Energy Model'!M7</f>
        <v>2.8076698556321828E-3</v>
      </c>
      <c r="F20" s="29">
        <f>F6/'Rate Class Energy Model'!N7</f>
        <v>2.7777777777777779E-3</v>
      </c>
    </row>
    <row r="21" spans="1:6">
      <c r="A21" s="3">
        <v>2011</v>
      </c>
      <c r="B21" s="29">
        <f>B7/'Rate Class Energy Model'!J8</f>
        <v>2.5387646593153217E-3</v>
      </c>
      <c r="C21" s="29">
        <f>C7/'Rate Class Energy Model'!K8</f>
        <v>2.7545364706411473E-3</v>
      </c>
      <c r="D21" s="29"/>
      <c r="E21" s="29">
        <f>E7/'Rate Class Energy Model'!M8</f>
        <v>2.8324225014287399E-3</v>
      </c>
      <c r="F21" s="29">
        <f>F7/'Rate Class Energy Model'!N8</f>
        <v>2.7777777777777775E-3</v>
      </c>
    </row>
    <row r="22" spans="1:6">
      <c r="A22" s="3">
        <v>2012</v>
      </c>
      <c r="B22" s="29">
        <f>B8/'Rate Class Energy Model'!J9</f>
        <v>2.5899025546808436E-3</v>
      </c>
      <c r="C22" s="29">
        <f>C8/'Rate Class Energy Model'!K9</f>
        <v>2.7427320515054829E-3</v>
      </c>
      <c r="D22" s="29"/>
      <c r="E22" s="29">
        <f>E8/'Rate Class Energy Model'!M9</f>
        <v>2.7894260103177001E-3</v>
      </c>
      <c r="F22" s="29">
        <f>F8/'Rate Class Energy Model'!N9</f>
        <v>2.6881720430107533E-3</v>
      </c>
    </row>
    <row r="23" spans="1:6">
      <c r="A23" s="3">
        <v>2013</v>
      </c>
      <c r="B23" s="29">
        <f>B9/'Rate Class Energy Model'!J10</f>
        <v>2.5358803535195577E-3</v>
      </c>
      <c r="C23" s="29">
        <f>C9/'Rate Class Energy Model'!K10</f>
        <v>2.7130420901227957E-3</v>
      </c>
      <c r="D23" s="29"/>
      <c r="E23" s="29">
        <f>E9/'Rate Class Energy Model'!M10</f>
        <v>2.827960223372279E-3</v>
      </c>
      <c r="F23" s="29">
        <f>F9/'Rate Class Energy Model'!N10</f>
        <v>2.6881720430107529E-3</v>
      </c>
    </row>
    <row r="24" spans="1:6">
      <c r="A24" s="3">
        <v>2014</v>
      </c>
      <c r="B24" s="29">
        <f>B10/'Rate Class Energy Model'!J11</f>
        <v>2.4669083536464805E-3</v>
      </c>
      <c r="C24" s="29">
        <f>C10/'Rate Class Energy Model'!K11</f>
        <v>2.6511464321179613E-3</v>
      </c>
      <c r="D24" s="29"/>
      <c r="E24" s="29">
        <f>E10/'Rate Class Energy Model'!M11</f>
        <v>2.8335544965405138E-3</v>
      </c>
      <c r="F24" s="29">
        <f>F10/'Rate Class Energy Model'!N11</f>
        <v>2.6815578560877239E-3</v>
      </c>
    </row>
    <row r="25" spans="1:6">
      <c r="A25" s="3">
        <v>2015</v>
      </c>
      <c r="B25" s="29">
        <f>B11/'Rate Class Energy Model'!J12</f>
        <v>2.5067226460564586E-3</v>
      </c>
      <c r="C25" s="29">
        <f>C11/'Rate Class Energy Model'!K12</f>
        <v>2.6986434858009751E-3</v>
      </c>
      <c r="D25" s="29"/>
      <c r="E25" s="29">
        <f>E11/'Rate Class Energy Model'!M12</f>
        <v>2.8366859575032015E-3</v>
      </c>
      <c r="F25" s="29">
        <f>F11/'Rate Class Energy Model'!N12</f>
        <v>2.7284529033574012E-3</v>
      </c>
    </row>
    <row r="27" spans="1:6">
      <c r="A27" t="s">
        <v>9</v>
      </c>
      <c r="B27" s="29">
        <f>AVERAGE(B16:B25)</f>
        <v>2.4991444076412133E-3</v>
      </c>
      <c r="C27" s="29">
        <f>AVERAGE(C16:C25)</f>
        <v>2.7574425999268523E-3</v>
      </c>
      <c r="D27" s="29">
        <f>D25</f>
        <v>0</v>
      </c>
      <c r="E27" s="29">
        <f t="shared" ref="E27" si="1">AVERAGE(E16:E25)</f>
        <v>2.8454186684010057E-3</v>
      </c>
      <c r="F27" s="29">
        <f>F25</f>
        <v>2.7284529033574012E-3</v>
      </c>
    </row>
    <row r="28" spans="1:6">
      <c r="B28"/>
      <c r="C28"/>
      <c r="D28"/>
      <c r="E28"/>
      <c r="F28"/>
    </row>
    <row r="29" spans="1:6">
      <c r="B29"/>
      <c r="C29"/>
      <c r="D29"/>
      <c r="E29"/>
      <c r="F29"/>
    </row>
    <row r="31" spans="1:6">
      <c r="A31" s="2">
        <v>42005</v>
      </c>
      <c r="D31" s="223">
        <f>'[11]CoS 2017 Load History'!X233</f>
        <v>6361</v>
      </c>
    </row>
    <row r="32" spans="1:6">
      <c r="A32" s="2">
        <v>42036</v>
      </c>
      <c r="D32" s="223">
        <f>'[11]CoS 2017 Load History'!X234</f>
        <v>6520.35</v>
      </c>
    </row>
    <row r="33" spans="1:6">
      <c r="A33" s="2">
        <v>42064</v>
      </c>
      <c r="D33" s="223">
        <f>'[11]CoS 2017 Load History'!X235</f>
        <v>6449.01</v>
      </c>
    </row>
    <row r="34" spans="1:6">
      <c r="A34" s="2">
        <v>42095</v>
      </c>
      <c r="B34" s="27"/>
      <c r="C34" s="27"/>
      <c r="D34" s="5">
        <f>'[11]CoS 2017 Load History'!X236</f>
        <v>6124.85</v>
      </c>
      <c r="E34" s="27"/>
      <c r="F34" s="27"/>
    </row>
    <row r="35" spans="1:6">
      <c r="A35" s="2">
        <v>42125</v>
      </c>
      <c r="B35" s="27"/>
      <c r="C35" s="27"/>
      <c r="D35" s="5">
        <f>'[11]CoS 2017 Load History'!X237</f>
        <v>6254.63</v>
      </c>
      <c r="E35" s="27"/>
      <c r="F35" s="27"/>
    </row>
    <row r="36" spans="1:6">
      <c r="A36" s="2">
        <v>42156</v>
      </c>
      <c r="D36" s="5">
        <f>'[11]CoS 2017 Load History'!X238</f>
        <v>6224.3</v>
      </c>
    </row>
    <row r="37" spans="1:6">
      <c r="A37" s="2">
        <v>42186</v>
      </c>
      <c r="D37" s="5">
        <f>'[11]CoS 2017 Load History'!X239</f>
        <v>6014.97</v>
      </c>
    </row>
    <row r="38" spans="1:6">
      <c r="A38" s="2">
        <v>42217</v>
      </c>
      <c r="D38" s="5">
        <f>'[11]CoS 2017 Load History'!X240</f>
        <v>6124.33</v>
      </c>
    </row>
    <row r="39" spans="1:6">
      <c r="A39" s="2">
        <v>42248</v>
      </c>
      <c r="D39" s="5">
        <f>'[11]CoS 2017 Load History'!X241</f>
        <v>5867.16</v>
      </c>
    </row>
    <row r="40" spans="1:6">
      <c r="A40" s="2">
        <v>42278</v>
      </c>
      <c r="D40" s="5">
        <f>'[11]CoS 2017 Load History'!X242</f>
        <v>5944.91</v>
      </c>
    </row>
    <row r="41" spans="1:6">
      <c r="A41" s="2">
        <v>42309</v>
      </c>
      <c r="D41" s="5">
        <f>'[11]CoS 2017 Load History'!X243</f>
        <v>6108.96</v>
      </c>
    </row>
    <row r="42" spans="1:6">
      <c r="A42" s="2">
        <v>42339</v>
      </c>
      <c r="D42" s="223">
        <f>'[11]CoS 2017 Load History'!X244</f>
        <v>6273.43</v>
      </c>
    </row>
    <row r="43" spans="1:6">
      <c r="D43" s="5">
        <f>SUM(D31:D42)</f>
        <v>74267.900000000023</v>
      </c>
      <c r="E43" s="90" t="s">
        <v>306</v>
      </c>
    </row>
    <row r="44" spans="1:6">
      <c r="D44" s="5">
        <f>SUM(D31:D33,D42)</f>
        <v>25603.79</v>
      </c>
      <c r="E44" s="90" t="s">
        <v>308</v>
      </c>
    </row>
    <row r="45" spans="1:6">
      <c r="D45" s="5">
        <f>MAX(D31:D42)</f>
        <v>6520.35</v>
      </c>
      <c r="E45" s="90" t="s">
        <v>307</v>
      </c>
    </row>
    <row r="54" spans="2:6">
      <c r="B54" s="16"/>
      <c r="C54" s="16"/>
      <c r="D54" s="16"/>
      <c r="E54" s="16"/>
      <c r="F54" s="16"/>
    </row>
    <row r="55" spans="2:6">
      <c r="B55" s="16"/>
      <c r="C55" s="16"/>
      <c r="D55" s="16"/>
      <c r="E55" s="16"/>
      <c r="F55" s="16"/>
    </row>
  </sheetData>
  <phoneticPr fontId="0" type="noConversion"/>
  <pageMargins left="0.39370078740157483" right="0.74803149606299213" top="0.74803149606299213" bottom="0.74803149606299213" header="0.51181102362204722" footer="0.51181102362204722"/>
  <pageSetup orientation="portrait" verticalDpi="300" r:id="rId1"/>
  <headerFooter alignWithMargins="0">
    <oddFooter>&amp;L&amp;Z&amp;F&amp;A</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Z175"/>
  <sheetViews>
    <sheetView topLeftCell="AP1" workbookViewId="0">
      <pane ySplit="1" topLeftCell="A44" activePane="bottomLeft" state="frozen"/>
      <selection activeCell="BD1" sqref="BD1"/>
      <selection pane="bottomLeft" activeCell="BB57" activeCellId="1" sqref="BR78:BR81 BB57:BB61"/>
    </sheetView>
  </sheetViews>
  <sheetFormatPr defaultRowHeight="12.75"/>
  <cols>
    <col min="2" max="2" width="12.85546875" customWidth="1"/>
    <col min="3" max="3" width="12.85546875" bestFit="1" customWidth="1"/>
    <col min="4" max="4" width="13" bestFit="1" customWidth="1"/>
    <col min="5" max="5" width="12.85546875" bestFit="1" customWidth="1"/>
    <col min="6" max="6" width="13.7109375" customWidth="1"/>
    <col min="7" max="7" width="10.28515625" bestFit="1" customWidth="1"/>
    <col min="8" max="8" width="2" customWidth="1"/>
    <col min="9" max="9" width="12.85546875" bestFit="1" customWidth="1"/>
    <col min="10" max="10" width="13" bestFit="1" customWidth="1"/>
    <col min="11" max="11" width="12.85546875" bestFit="1" customWidth="1"/>
    <col min="12" max="12" width="13.7109375" customWidth="1"/>
    <col min="13" max="13" width="10.7109375" customWidth="1"/>
    <col min="14" max="14" width="2" customWidth="1"/>
    <col min="15" max="15" width="12.85546875" bestFit="1" customWidth="1"/>
    <col min="16" max="16" width="13" bestFit="1" customWidth="1"/>
    <col min="17" max="17" width="12.85546875" bestFit="1" customWidth="1"/>
    <col min="18" max="18" width="13.7109375" customWidth="1"/>
    <col min="19" max="19" width="10.7109375" customWidth="1"/>
    <col min="20" max="20" width="2" customWidth="1"/>
    <col min="21" max="21" width="12.85546875" bestFit="1" customWidth="1"/>
    <col min="22" max="22" width="13" bestFit="1" customWidth="1"/>
    <col min="23" max="23" width="12.85546875" bestFit="1" customWidth="1"/>
    <col min="24" max="24" width="13.7109375" customWidth="1"/>
    <col min="25" max="25" width="10.7109375" customWidth="1"/>
    <col min="26" max="26" width="2" customWidth="1"/>
    <col min="27" max="27" width="12.85546875" bestFit="1" customWidth="1"/>
    <col min="28" max="28" width="13" bestFit="1" customWidth="1"/>
    <col min="29" max="29" width="12.85546875" bestFit="1" customWidth="1"/>
    <col min="30" max="30" width="13.7109375" customWidth="1"/>
    <col min="31" max="31" width="10.7109375" customWidth="1"/>
    <col min="37" max="37" width="59.42578125" bestFit="1" customWidth="1"/>
    <col min="38" max="38" width="48.140625" bestFit="1" customWidth="1"/>
    <col min="39" max="42" width="12.42578125" customWidth="1"/>
    <col min="43" max="43" width="13.5703125" customWidth="1"/>
    <col min="44" max="44" width="12.28515625" customWidth="1"/>
    <col min="45" max="52" width="11.7109375" customWidth="1"/>
    <col min="53" max="53" width="14" style="35" bestFit="1" customWidth="1"/>
    <col min="54" max="55" width="11.7109375" style="35" customWidth="1"/>
    <col min="56" max="56" width="11.7109375" customWidth="1"/>
    <col min="58" max="58" width="22.85546875" customWidth="1"/>
    <col min="59" max="59" width="12.7109375" customWidth="1"/>
    <col min="60" max="63" width="12.7109375" hidden="1" customWidth="1"/>
    <col min="64" max="64" width="12.7109375" customWidth="1"/>
    <col min="65" max="65" width="12.85546875" style="35" bestFit="1" customWidth="1"/>
    <col min="66" max="66" width="10.28515625" style="35" bestFit="1" customWidth="1"/>
    <col min="67" max="70" width="11.28515625" style="35" bestFit="1" customWidth="1"/>
    <col min="71" max="71" width="11.42578125" style="35" customWidth="1"/>
    <col min="73" max="73" width="11.28515625" bestFit="1" customWidth="1"/>
    <col min="74" max="74" width="12" customWidth="1"/>
    <col min="75" max="75" width="14" bestFit="1" customWidth="1"/>
    <col min="76" max="76" width="13.5703125" customWidth="1"/>
    <col min="77" max="77" width="11.85546875" bestFit="1" customWidth="1"/>
  </cols>
  <sheetData>
    <row r="1" spans="1:74" ht="64.5" thickBot="1">
      <c r="C1" s="102" t="s">
        <v>259</v>
      </c>
      <c r="D1" s="57" t="s">
        <v>59</v>
      </c>
      <c r="I1" s="57" t="s">
        <v>116</v>
      </c>
      <c r="J1" s="57" t="s">
        <v>59</v>
      </c>
      <c r="O1" s="57" t="s">
        <v>117</v>
      </c>
      <c r="P1" s="57" t="s">
        <v>59</v>
      </c>
      <c r="U1" s="57" t="s">
        <v>118</v>
      </c>
      <c r="V1" s="57" t="s">
        <v>59</v>
      </c>
      <c r="AA1" s="57" t="s">
        <v>119</v>
      </c>
      <c r="AB1" s="57" t="s">
        <v>59</v>
      </c>
      <c r="AJ1" t="s">
        <v>81</v>
      </c>
      <c r="AK1" t="s">
        <v>82</v>
      </c>
      <c r="AL1" t="s">
        <v>83</v>
      </c>
      <c r="AM1" s="1" t="s">
        <v>110</v>
      </c>
      <c r="AN1" s="1" t="s">
        <v>79</v>
      </c>
      <c r="AO1" s="1" t="s">
        <v>80</v>
      </c>
      <c r="AP1" s="1" t="s">
        <v>111</v>
      </c>
      <c r="AQ1" t="s">
        <v>84</v>
      </c>
      <c r="AR1">
        <v>2006</v>
      </c>
      <c r="AS1">
        <v>2007</v>
      </c>
      <c r="AT1">
        <v>2008</v>
      </c>
      <c r="AU1">
        <v>2009</v>
      </c>
      <c r="AV1">
        <v>2010</v>
      </c>
      <c r="AW1">
        <v>2011</v>
      </c>
      <c r="AX1">
        <v>2012</v>
      </c>
      <c r="AY1">
        <v>2013</v>
      </c>
      <c r="AZ1">
        <v>2014</v>
      </c>
      <c r="BA1" s="35">
        <v>2015</v>
      </c>
      <c r="BB1" s="35">
        <v>2016</v>
      </c>
      <c r="BC1" s="35">
        <v>2017</v>
      </c>
      <c r="BF1" t="s">
        <v>82</v>
      </c>
      <c r="BG1" t="s">
        <v>83</v>
      </c>
      <c r="BH1" s="99" t="s">
        <v>152</v>
      </c>
      <c r="BI1" s="99" t="s">
        <v>164</v>
      </c>
      <c r="BJ1" s="99" t="s">
        <v>165</v>
      </c>
      <c r="BK1" s="99" t="s">
        <v>111</v>
      </c>
      <c r="BL1" t="s">
        <v>84</v>
      </c>
      <c r="BM1" s="35">
        <v>2011</v>
      </c>
      <c r="BN1" s="35">
        <v>2012</v>
      </c>
      <c r="BO1" s="35">
        <v>2013</v>
      </c>
      <c r="BP1" s="35">
        <v>2014</v>
      </c>
      <c r="BQ1" s="35">
        <v>2015</v>
      </c>
      <c r="BR1" s="35">
        <v>2016</v>
      </c>
      <c r="BS1" s="35">
        <v>2017</v>
      </c>
    </row>
    <row r="2" spans="1:74" ht="13.5" thickBot="1">
      <c r="A2">
        <v>2005</v>
      </c>
      <c r="C2" s="59"/>
      <c r="D2" s="60">
        <f>C2</f>
        <v>0</v>
      </c>
      <c r="E2" s="60">
        <f t="shared" ref="E2:E14" si="0">D2/$AH$14</f>
        <v>0</v>
      </c>
      <c r="F2" s="613" t="s">
        <v>60</v>
      </c>
      <c r="G2" s="613"/>
      <c r="H2" s="1"/>
      <c r="I2" s="59"/>
      <c r="J2" s="60">
        <f>I2</f>
        <v>0</v>
      </c>
      <c r="K2" s="60">
        <f t="shared" ref="K2:K14" si="1">J2/$AH$14</f>
        <v>0</v>
      </c>
      <c r="L2" s="613" t="s">
        <v>60</v>
      </c>
      <c r="M2" s="613"/>
      <c r="N2" s="1"/>
      <c r="O2" s="59"/>
      <c r="P2" s="60">
        <f>O2</f>
        <v>0</v>
      </c>
      <c r="Q2" s="60">
        <f t="shared" ref="Q2:Q14" si="2">P2/$AH$14</f>
        <v>0</v>
      </c>
      <c r="R2" s="613" t="s">
        <v>60</v>
      </c>
      <c r="S2" s="613"/>
      <c r="T2" s="1"/>
      <c r="U2" s="59"/>
      <c r="V2" s="60">
        <f>U2</f>
        <v>0</v>
      </c>
      <c r="W2" s="60">
        <f t="shared" ref="W2:W14" si="3">V2/$AH$14</f>
        <v>0</v>
      </c>
      <c r="X2" s="613" t="s">
        <v>60</v>
      </c>
      <c r="Y2" s="613"/>
      <c r="Z2" s="1"/>
      <c r="AA2" s="59"/>
      <c r="AB2" s="60">
        <f>AA2</f>
        <v>0</v>
      </c>
      <c r="AC2" s="60">
        <f t="shared" ref="AC2:AC14" si="4">AB2/$AH$14</f>
        <v>0</v>
      </c>
      <c r="AD2" s="613" t="s">
        <v>60</v>
      </c>
      <c r="AE2" s="613"/>
      <c r="AG2" s="58" t="s">
        <v>61</v>
      </c>
      <c r="AH2" s="58">
        <v>1</v>
      </c>
      <c r="AR2" s="607" t="s">
        <v>260</v>
      </c>
      <c r="AS2" s="608"/>
      <c r="AT2" s="608"/>
      <c r="AU2" s="608"/>
      <c r="AV2" s="608"/>
      <c r="AW2" s="608"/>
      <c r="AX2" s="608"/>
      <c r="AY2" s="608"/>
      <c r="AZ2" s="608"/>
      <c r="BA2" s="608"/>
      <c r="BB2" s="608"/>
      <c r="BC2" s="609"/>
      <c r="BM2" s="610" t="s">
        <v>260</v>
      </c>
      <c r="BN2" s="611"/>
      <c r="BO2" s="611"/>
      <c r="BP2" s="611"/>
      <c r="BQ2" s="611"/>
      <c r="BR2" s="611"/>
      <c r="BS2" s="612"/>
    </row>
    <row r="3" spans="1:74" ht="15">
      <c r="A3">
        <v>2006</v>
      </c>
      <c r="C3" s="60">
        <f>$AR$69</f>
        <v>1623155.213645139</v>
      </c>
      <c r="D3" s="60">
        <f>C3</f>
        <v>1623155.213645139</v>
      </c>
      <c r="E3" s="60">
        <f t="shared" si="0"/>
        <v>20809.682226219731</v>
      </c>
      <c r="F3" s="61">
        <f>D30</f>
        <v>1623155.2136451395</v>
      </c>
      <c r="G3" s="61">
        <f>C3-F3</f>
        <v>0</v>
      </c>
      <c r="H3" s="61"/>
      <c r="I3" s="60">
        <f>$AR$64</f>
        <v>1623155.213645139</v>
      </c>
      <c r="J3" s="60">
        <f>I3</f>
        <v>1623155.213645139</v>
      </c>
      <c r="K3" s="60">
        <f t="shared" si="1"/>
        <v>20809.682226219731</v>
      </c>
      <c r="L3" s="61">
        <f>J30</f>
        <v>1623155.2136451395</v>
      </c>
      <c r="M3" s="61">
        <f>I3-L3</f>
        <v>0</v>
      </c>
      <c r="N3" s="61"/>
      <c r="O3" s="60">
        <f>$AR$65</f>
        <v>0</v>
      </c>
      <c r="P3" s="60">
        <f>O3</f>
        <v>0</v>
      </c>
      <c r="Q3" s="60">
        <f t="shared" si="2"/>
        <v>0</v>
      </c>
      <c r="R3" s="61">
        <f>P30</f>
        <v>0</v>
      </c>
      <c r="S3" s="61">
        <f>O3-R3</f>
        <v>0</v>
      </c>
      <c r="T3" s="61"/>
      <c r="U3" s="60">
        <f>$AR$66</f>
        <v>0</v>
      </c>
      <c r="V3" s="60">
        <f>U3</f>
        <v>0</v>
      </c>
      <c r="W3" s="60">
        <f t="shared" si="3"/>
        <v>0</v>
      </c>
      <c r="X3" s="61">
        <f>V30</f>
        <v>0</v>
      </c>
      <c r="Y3" s="61">
        <f>U3-X3</f>
        <v>0</v>
      </c>
      <c r="Z3" s="61"/>
      <c r="AA3" s="60">
        <f>$AR$67</f>
        <v>0</v>
      </c>
      <c r="AB3" s="60">
        <f>AA3</f>
        <v>0</v>
      </c>
      <c r="AC3" s="60">
        <f t="shared" si="4"/>
        <v>0</v>
      </c>
      <c r="AD3" s="61">
        <f>AB30</f>
        <v>0</v>
      </c>
      <c r="AE3" s="61">
        <f>AA3-AD3</f>
        <v>0</v>
      </c>
      <c r="AG3" s="58" t="s">
        <v>62</v>
      </c>
      <c r="AH3" s="58">
        <v>2</v>
      </c>
      <c r="AJ3">
        <v>1</v>
      </c>
      <c r="AK3" t="s">
        <v>85</v>
      </c>
      <c r="AL3" t="s">
        <v>86</v>
      </c>
      <c r="AM3" s="27">
        <v>1</v>
      </c>
      <c r="AQ3">
        <v>2006</v>
      </c>
      <c r="AR3" s="71">
        <f>'[13]Initiative Level - LDC'!G91*1000*0.5</f>
        <v>24038.770774203331</v>
      </c>
      <c r="AS3" s="71">
        <f>'[13]Initiative Level - LDC'!H91*1000</f>
        <v>48077.541548406662</v>
      </c>
      <c r="AT3" s="71">
        <f>'[13]Initiative Level - LDC'!I91*1000</f>
        <v>48077.541548406662</v>
      </c>
      <c r="AU3" s="71">
        <f>'[13]Initiative Level - LDC'!J91*1000</f>
        <v>48077.541548406662</v>
      </c>
      <c r="AV3" s="71">
        <f>'[13]Initiative Level - LDC'!K91*1000</f>
        <v>48077.541548406662</v>
      </c>
      <c r="AW3" s="71">
        <f>'[13]Initiative Level - LDC'!L91*1000</f>
        <v>48077.541548406662</v>
      </c>
      <c r="AX3" s="71">
        <f>'[13]Initiative Level - LDC'!M91*1000</f>
        <v>0</v>
      </c>
      <c r="AY3" s="71">
        <f>'[13]Initiative Level - LDC'!N91*1000</f>
        <v>0</v>
      </c>
      <c r="AZ3" s="71">
        <f>'[13]Initiative Level - LDC'!O91*1000</f>
        <v>0</v>
      </c>
      <c r="BA3" s="517">
        <f>'[13]Initiative Level - LDC'!P91*1000</f>
        <v>0</v>
      </c>
      <c r="BB3" s="517">
        <f>'[13]Initiative Level - LDC'!Q91*1000</f>
        <v>0</v>
      </c>
      <c r="BC3" s="517">
        <f>'[13]Initiative Level - LDC'!R91*1000</f>
        <v>0</v>
      </c>
      <c r="BF3" s="69" t="str">
        <f>'5. Static CDM Result by Program'!B9</f>
        <v>Appliance Retirement</v>
      </c>
      <c r="BG3" s="69" t="str">
        <f>'5. Static CDM Result by Program'!C9</f>
        <v>RS</v>
      </c>
      <c r="BH3" s="27">
        <v>1</v>
      </c>
      <c r="BL3" s="514">
        <v>2011</v>
      </c>
      <c r="BM3" s="517">
        <f>'5. Static CDM Result by Program'!E9*0.5</f>
        <v>154891.53049999999</v>
      </c>
      <c r="BN3" s="519">
        <f>+'[14]2011'!AS17</f>
        <v>309783.06078400864</v>
      </c>
      <c r="BO3" s="519">
        <f>+'[14]2011'!AT17</f>
        <v>309783.06078400864</v>
      </c>
      <c r="BP3" s="519">
        <f>+'[14]2011'!AU17</f>
        <v>308772.5023423261</v>
      </c>
      <c r="BQ3" s="519">
        <f>+'[14]2011'!AV17</f>
        <v>219589.88672205005</v>
      </c>
      <c r="BR3" s="519">
        <f>+'[14]2011'!AW17</f>
        <v>0</v>
      </c>
      <c r="BS3" s="519">
        <f>+'[14]2011'!AX17</f>
        <v>0</v>
      </c>
    </row>
    <row r="4" spans="1:74" ht="15">
      <c r="A4">
        <v>2007</v>
      </c>
      <c r="C4" s="60">
        <f>$AS$69</f>
        <v>4646180.5660392176</v>
      </c>
      <c r="D4" s="60">
        <f>C4-E30</f>
        <v>1649586.3254635758</v>
      </c>
      <c r="E4" s="60">
        <f t="shared" si="0"/>
        <v>21148.542634148409</v>
      </c>
      <c r="F4" s="61">
        <f>D42</f>
        <v>4646180.5660392158</v>
      </c>
      <c r="G4" s="61">
        <f t="shared" ref="G4:G14" si="5">C4-F4</f>
        <v>0</v>
      </c>
      <c r="H4" s="61"/>
      <c r="I4" s="60">
        <f>$AS$64</f>
        <v>4646180.5660392176</v>
      </c>
      <c r="J4" s="60">
        <f>I4-K30</f>
        <v>1649586.3254635758</v>
      </c>
      <c r="K4" s="60">
        <f t="shared" si="1"/>
        <v>21148.542634148409</v>
      </c>
      <c r="L4" s="61">
        <f>J42</f>
        <v>4646180.5660392158</v>
      </c>
      <c r="M4" s="61">
        <f t="shared" ref="M4:M14" si="6">I4-L4</f>
        <v>0</v>
      </c>
      <c r="N4" s="61"/>
      <c r="O4" s="60">
        <f>$AS$65</f>
        <v>0</v>
      </c>
      <c r="P4" s="60">
        <f>O4-Q30</f>
        <v>0</v>
      </c>
      <c r="Q4" s="60">
        <f t="shared" si="2"/>
        <v>0</v>
      </c>
      <c r="R4" s="61">
        <f>P42</f>
        <v>0</v>
      </c>
      <c r="S4" s="61">
        <f t="shared" ref="S4:S14" si="7">O4-R4</f>
        <v>0</v>
      </c>
      <c r="T4" s="61"/>
      <c r="U4" s="60">
        <f>$AS$66</f>
        <v>0</v>
      </c>
      <c r="V4" s="60">
        <f>U4-W30</f>
        <v>0</v>
      </c>
      <c r="W4" s="60">
        <f t="shared" si="3"/>
        <v>0</v>
      </c>
      <c r="X4" s="61">
        <f>V42</f>
        <v>0</v>
      </c>
      <c r="Y4" s="61">
        <f t="shared" ref="Y4:Y14" si="8">U4-X4</f>
        <v>0</v>
      </c>
      <c r="Z4" s="61"/>
      <c r="AA4" s="60">
        <f>$AS$67</f>
        <v>0</v>
      </c>
      <c r="AB4" s="60">
        <f>AA4-AC30</f>
        <v>0</v>
      </c>
      <c r="AC4" s="60">
        <f t="shared" si="4"/>
        <v>0</v>
      </c>
      <c r="AD4" s="61">
        <f>AB42</f>
        <v>0</v>
      </c>
      <c r="AE4" s="61">
        <f t="shared" ref="AE4:AE14" si="9">AA4-AD4</f>
        <v>0</v>
      </c>
      <c r="AG4" s="58" t="s">
        <v>63</v>
      </c>
      <c r="AH4" s="58">
        <v>3</v>
      </c>
      <c r="AJ4">
        <v>2</v>
      </c>
      <c r="AK4" t="s">
        <v>87</v>
      </c>
      <c r="AL4" t="s">
        <v>86</v>
      </c>
      <c r="AM4" s="27">
        <v>1</v>
      </c>
      <c r="AQ4">
        <v>2006</v>
      </c>
      <c r="AR4" s="71">
        <f>'[13]Initiative Level - LDC'!G92*1000*0.5</f>
        <v>59341.623937688659</v>
      </c>
      <c r="AS4" s="71">
        <f>'[13]Initiative Level - LDC'!H92*1000</f>
        <v>118683.24787537732</v>
      </c>
      <c r="AT4" s="71">
        <f>'[13]Initiative Level - LDC'!I92*1000</f>
        <v>118683.24787537732</v>
      </c>
      <c r="AU4" s="71">
        <f>'[13]Initiative Level - LDC'!J92*1000</f>
        <v>118683.24787537732</v>
      </c>
      <c r="AV4" s="71">
        <f>'[13]Initiative Level - LDC'!K92*1000</f>
        <v>118683.24787537732</v>
      </c>
      <c r="AW4" s="71">
        <f>'[13]Initiative Level - LDC'!L92*1000</f>
        <v>118683.24787537732</v>
      </c>
      <c r="AX4" s="71">
        <f>'[13]Initiative Level - LDC'!M92*1000</f>
        <v>118683.24787537732</v>
      </c>
      <c r="AY4" s="71">
        <f>'[13]Initiative Level - LDC'!N92*1000</f>
        <v>118683.24787537732</v>
      </c>
      <c r="AZ4" s="71">
        <f>'[13]Initiative Level - LDC'!O92*1000</f>
        <v>87560.759981566574</v>
      </c>
      <c r="BA4" s="517">
        <f>'[13]Initiative Level - LDC'!P92*1000</f>
        <v>87560.759981566574</v>
      </c>
      <c r="BB4" s="517">
        <f>'[13]Initiative Level - LDC'!Q92*1000</f>
        <v>87560.759981566574</v>
      </c>
      <c r="BC4" s="517">
        <f>'[13]Initiative Level - LDC'!R92*1000</f>
        <v>87560.759981566574</v>
      </c>
      <c r="BF4" s="69" t="str">
        <f>'5. Static CDM Result by Program'!B10</f>
        <v>Appliance Exchange</v>
      </c>
      <c r="BG4" s="69" t="str">
        <f>'5. Static CDM Result by Program'!C10</f>
        <v>RS</v>
      </c>
      <c r="BH4" s="27">
        <v>1</v>
      </c>
      <c r="BL4" s="514">
        <v>2011</v>
      </c>
      <c r="BM4" s="517">
        <f>'5. Static CDM Result by Program'!E10*0.5</f>
        <v>984.2835</v>
      </c>
      <c r="BN4" s="519">
        <f>+'[14]2011'!AS16</f>
        <v>1968.5666043124309</v>
      </c>
      <c r="BO4" s="519">
        <f>+'[14]2011'!AT16</f>
        <v>1968.5666043124309</v>
      </c>
      <c r="BP4" s="519">
        <f>+'[14]2011'!AU16</f>
        <v>1292.127833017166</v>
      </c>
      <c r="BQ4" s="519">
        <f>+'[14]2011'!AV16</f>
        <v>0</v>
      </c>
      <c r="BR4" s="519">
        <f>+'[14]2011'!AW16</f>
        <v>0</v>
      </c>
      <c r="BS4" s="519">
        <f>+'[14]2011'!AX16</f>
        <v>0</v>
      </c>
    </row>
    <row r="5" spans="1:74" ht="15">
      <c r="A5">
        <v>2008</v>
      </c>
      <c r="C5" s="60">
        <f>$AT$69</f>
        <v>6995958.7480950691</v>
      </c>
      <c r="D5" s="60">
        <f>C5-E42</f>
        <v>953974.36820205953</v>
      </c>
      <c r="E5" s="60">
        <f t="shared" si="0"/>
        <v>12230.440617975122</v>
      </c>
      <c r="F5" s="61">
        <f>D54</f>
        <v>6995958.7480950672</v>
      </c>
      <c r="G5" s="61">
        <f t="shared" si="5"/>
        <v>0</v>
      </c>
      <c r="H5" s="61"/>
      <c r="I5" s="60">
        <f>$AT$64</f>
        <v>6816130.0086207483</v>
      </c>
      <c r="J5" s="60">
        <f>I5-K42</f>
        <v>774145.62872773875</v>
      </c>
      <c r="K5" s="60">
        <f t="shared" si="1"/>
        <v>9924.943958047932</v>
      </c>
      <c r="L5" s="61">
        <f>J54</f>
        <v>6816130.0086207455</v>
      </c>
      <c r="M5" s="61">
        <f t="shared" si="6"/>
        <v>0</v>
      </c>
      <c r="N5" s="61"/>
      <c r="O5" s="60">
        <f>$AT$65</f>
        <v>50032.177031538566</v>
      </c>
      <c r="P5" s="60">
        <f>O5-Q42</f>
        <v>50032.177031538566</v>
      </c>
      <c r="Q5" s="60">
        <f t="shared" si="2"/>
        <v>641.43816707100723</v>
      </c>
      <c r="R5" s="61">
        <f>P54</f>
        <v>50032.177031538566</v>
      </c>
      <c r="S5" s="61">
        <f t="shared" si="7"/>
        <v>0</v>
      </c>
      <c r="T5" s="61"/>
      <c r="U5" s="60">
        <f>$AT$66</f>
        <v>129796.56244278199</v>
      </c>
      <c r="V5" s="60">
        <f>U5-W42</f>
        <v>129796.56244278199</v>
      </c>
      <c r="W5" s="60">
        <f t="shared" si="3"/>
        <v>1664.0584928561793</v>
      </c>
      <c r="X5" s="61">
        <f>V54</f>
        <v>129796.56244278203</v>
      </c>
      <c r="Y5" s="61">
        <f t="shared" si="8"/>
        <v>0</v>
      </c>
      <c r="Z5" s="61"/>
      <c r="AA5" s="60">
        <f>$AT$67</f>
        <v>0</v>
      </c>
      <c r="AB5" s="60">
        <f>AA5-AC42</f>
        <v>0</v>
      </c>
      <c r="AC5" s="60">
        <f t="shared" si="4"/>
        <v>0</v>
      </c>
      <c r="AD5" s="61">
        <f>AB54</f>
        <v>0</v>
      </c>
      <c r="AE5" s="61">
        <f t="shared" si="9"/>
        <v>0</v>
      </c>
      <c r="AG5" s="58" t="s">
        <v>64</v>
      </c>
      <c r="AH5" s="58">
        <v>4</v>
      </c>
      <c r="AJ5">
        <v>3</v>
      </c>
      <c r="AK5" t="s">
        <v>88</v>
      </c>
      <c r="AL5" t="s">
        <v>86</v>
      </c>
      <c r="AM5" s="27">
        <v>1</v>
      </c>
      <c r="AQ5">
        <v>2006</v>
      </c>
      <c r="AR5" s="71">
        <f>'[13]Initiative Level - LDC'!G93*1000*0.5</f>
        <v>1539774.8189332471</v>
      </c>
      <c r="AS5" s="71">
        <f>'[13]Initiative Level - LDC'!H93*1000</f>
        <v>3079549.6378664942</v>
      </c>
      <c r="AT5" s="71">
        <f>'[13]Initiative Level - LDC'!I93*1000</f>
        <v>3079549.6378664942</v>
      </c>
      <c r="AU5" s="71">
        <f>'[13]Initiative Level - LDC'!J93*1000</f>
        <v>3079549.6378664942</v>
      </c>
      <c r="AV5" s="71">
        <f>'[13]Initiative Level - LDC'!K93*1000</f>
        <v>397051.45020394842</v>
      </c>
      <c r="AW5" s="71">
        <f>'[13]Initiative Level - LDC'!L93*1000</f>
        <v>397051.45020394842</v>
      </c>
      <c r="AX5" s="71">
        <f>'[13]Initiative Level - LDC'!M93*1000</f>
        <v>397051.45020394842</v>
      </c>
      <c r="AY5" s="71">
        <f>'[13]Initiative Level - LDC'!N93*1000</f>
        <v>397051.45020394842</v>
      </c>
      <c r="AZ5" s="71">
        <f>'[13]Initiative Level - LDC'!O93*1000</f>
        <v>397051.45020394842</v>
      </c>
      <c r="BA5" s="517">
        <f>'[13]Initiative Level - LDC'!P93*1000</f>
        <v>397051.45020394842</v>
      </c>
      <c r="BB5" s="517">
        <f>'[13]Initiative Level - LDC'!Q93*1000</f>
        <v>370290.88381848071</v>
      </c>
      <c r="BC5" s="517">
        <f>'[13]Initiative Level - LDC'!R93*1000</f>
        <v>370290.88381848071</v>
      </c>
      <c r="BF5" s="69" t="str">
        <f>'5. Static CDM Result by Program'!B11</f>
        <v>HVAC Incentives</v>
      </c>
      <c r="BG5" s="69" t="str">
        <f>'5. Static CDM Result by Program'!C11</f>
        <v>RS</v>
      </c>
      <c r="BH5" s="27">
        <v>1</v>
      </c>
      <c r="BL5" s="514">
        <v>2011</v>
      </c>
      <c r="BM5" s="517">
        <f>'5. Static CDM Result by Program'!E11*0.5</f>
        <v>176272.255</v>
      </c>
      <c r="BN5" s="519">
        <f>+'[14]2011'!AS20</f>
        <v>352544.5101604904</v>
      </c>
      <c r="BO5" s="519">
        <f>+'[14]2011'!AT20</f>
        <v>352544.5101604904</v>
      </c>
      <c r="BP5" s="519">
        <f>+'[14]2011'!AU20</f>
        <v>352544.5101604904</v>
      </c>
      <c r="BQ5" s="519">
        <f>+'[14]2011'!AV20</f>
        <v>352544.5101604904</v>
      </c>
      <c r="BR5" s="519">
        <f>+'[14]2011'!AW20</f>
        <v>352544.5101604904</v>
      </c>
      <c r="BS5" s="519">
        <f>+'[14]2011'!AX20</f>
        <v>352544.5101604904</v>
      </c>
    </row>
    <row r="6" spans="1:74" ht="15">
      <c r="A6">
        <v>2009</v>
      </c>
      <c r="C6" s="60">
        <f>$AU$69</f>
        <v>10186807.960330183</v>
      </c>
      <c r="D6" s="60">
        <f>C6-E54</f>
        <v>2383640.1314487606</v>
      </c>
      <c r="E6" s="60">
        <f t="shared" si="0"/>
        <v>30559.4888647277</v>
      </c>
      <c r="F6" s="61">
        <f>D66</f>
        <v>10186807.960330181</v>
      </c>
      <c r="G6" s="61">
        <f t="shared" si="5"/>
        <v>0</v>
      </c>
      <c r="H6" s="61"/>
      <c r="I6" s="60">
        <f>$AU$64</f>
        <v>8262415.9752332782</v>
      </c>
      <c r="J6" s="60">
        <f>I6-K54</f>
        <v>791239.66538137104</v>
      </c>
      <c r="K6" s="60">
        <f t="shared" si="1"/>
        <v>10144.098274120142</v>
      </c>
      <c r="L6" s="61">
        <f>J66</f>
        <v>8262415.9752332764</v>
      </c>
      <c r="M6" s="61">
        <f t="shared" si="6"/>
        <v>0</v>
      </c>
      <c r="N6" s="61"/>
      <c r="O6" s="60">
        <f>$AU$65</f>
        <v>713364.2645495201</v>
      </c>
      <c r="P6" s="60">
        <f>O6-Q54</f>
        <v>620997.16849129507</v>
      </c>
      <c r="Q6" s="60">
        <f t="shared" si="2"/>
        <v>7961.5021601448088</v>
      </c>
      <c r="R6" s="61">
        <f>P66</f>
        <v>713364.2645495201</v>
      </c>
      <c r="S6" s="61">
        <f t="shared" si="7"/>
        <v>0</v>
      </c>
      <c r="T6" s="61"/>
      <c r="U6" s="60">
        <f>$AU$66</f>
        <v>1205415.6887927018</v>
      </c>
      <c r="V6" s="60">
        <f>U6-W54</f>
        <v>965791.26582141197</v>
      </c>
      <c r="W6" s="60">
        <f t="shared" si="3"/>
        <v>12381.939305402717</v>
      </c>
      <c r="X6" s="61">
        <f>V66</f>
        <v>1205415.6887927018</v>
      </c>
      <c r="Y6" s="61">
        <f t="shared" si="8"/>
        <v>0</v>
      </c>
      <c r="Z6" s="61"/>
      <c r="AA6" s="60">
        <f>$AU$67</f>
        <v>5612.0317546812485</v>
      </c>
      <c r="AB6" s="60">
        <f>AA6-AC54</f>
        <v>5612.0317546812485</v>
      </c>
      <c r="AC6" s="60">
        <f t="shared" si="4"/>
        <v>71.949125060016001</v>
      </c>
      <c r="AD6" s="61">
        <f>AB66</f>
        <v>5612.0317546812494</v>
      </c>
      <c r="AE6" s="61">
        <f t="shared" si="9"/>
        <v>0</v>
      </c>
      <c r="AG6" s="58" t="s">
        <v>65</v>
      </c>
      <c r="AH6" s="58">
        <v>5</v>
      </c>
      <c r="AJ6">
        <v>6</v>
      </c>
      <c r="AK6" t="s">
        <v>91</v>
      </c>
      <c r="AL6" t="s">
        <v>86</v>
      </c>
      <c r="AM6" s="27">
        <v>1</v>
      </c>
      <c r="AQ6">
        <v>2007</v>
      </c>
      <c r="AR6" s="71">
        <f>'[13]Initiative Level - LDC'!G96*1000</f>
        <v>0</v>
      </c>
      <c r="AS6" s="71">
        <f>'[13]Initiative Level - LDC'!H96*1000*0.5</f>
        <v>106203.87384696097</v>
      </c>
      <c r="AT6" s="71">
        <f>'[13]Initiative Level - LDC'!I96*1000</f>
        <v>212407.74769392193</v>
      </c>
      <c r="AU6" s="71">
        <f>'[13]Initiative Level - LDC'!J96*1000</f>
        <v>212407.74769392193</v>
      </c>
      <c r="AV6" s="71">
        <f>'[13]Initiative Level - LDC'!K96*1000</f>
        <v>212407.74769392193</v>
      </c>
      <c r="AW6" s="71">
        <f>'[13]Initiative Level - LDC'!L96*1000</f>
        <v>212200.71928367164</v>
      </c>
      <c r="AX6" s="71">
        <f>'[13]Initiative Level - LDC'!M96*1000</f>
        <v>211993.69087342132</v>
      </c>
      <c r="AY6" s="71">
        <f>'[13]Initiative Level - LDC'!N96*1000</f>
        <v>211993.69087342132</v>
      </c>
      <c r="AZ6" s="71">
        <f>'[13]Initiative Level - LDC'!O96*1000</f>
        <v>211993.69087342132</v>
      </c>
      <c r="BA6" s="517">
        <f>'[13]Initiative Level - LDC'!P96*1000</f>
        <v>176317.27387376598</v>
      </c>
      <c r="BB6" s="517">
        <f>'[13]Initiative Level - LDC'!Q96*1000</f>
        <v>0</v>
      </c>
      <c r="BC6" s="517">
        <f>'[13]Initiative Level - LDC'!R96*1000</f>
        <v>0</v>
      </c>
      <c r="BF6" s="513" t="str">
        <f>'5. Static CDM Result by Program'!B12</f>
        <v>Conservation Instant Coupon Booklet</v>
      </c>
      <c r="BG6" s="513" t="str">
        <f>'5. Static CDM Result by Program'!C12</f>
        <v>RS</v>
      </c>
      <c r="BH6" s="27">
        <v>1</v>
      </c>
      <c r="BL6" s="514">
        <v>2011</v>
      </c>
      <c r="BM6" s="517">
        <f>'5. Static CDM Result by Program'!E12*0.5</f>
        <v>83451.001999999993</v>
      </c>
      <c r="BN6" s="519">
        <f>+'[14]2011'!AS19</f>
        <v>166902.00350839252</v>
      </c>
      <c r="BO6" s="519">
        <f>+'[14]2011'!AT19</f>
        <v>166902.00350839252</v>
      </c>
      <c r="BP6" s="519">
        <f>+'[14]2011'!AU19</f>
        <v>166902.00350839252</v>
      </c>
      <c r="BQ6" s="519">
        <f>+'[14]2011'!AV19</f>
        <v>153448.45702906101</v>
      </c>
      <c r="BR6" s="519">
        <f>+'[14]2011'!AW19</f>
        <v>138751.0242034134</v>
      </c>
      <c r="BS6" s="519">
        <f>+'[14]2011'!AX19</f>
        <v>109187.96256188773</v>
      </c>
    </row>
    <row r="7" spans="1:74" ht="15">
      <c r="A7">
        <v>2010</v>
      </c>
      <c r="C7" s="60">
        <f>$AV$69</f>
        <v>10803490.516097954</v>
      </c>
      <c r="D7" s="60">
        <f>C7-E66</f>
        <v>-1400243.7093042526</v>
      </c>
      <c r="E7" s="60">
        <f t="shared" si="0"/>
        <v>-17951.842426977597</v>
      </c>
      <c r="F7" s="61">
        <f>D78</f>
        <v>10803490.516097954</v>
      </c>
      <c r="G7" s="61">
        <f t="shared" si="5"/>
        <v>0</v>
      </c>
      <c r="H7" s="61"/>
      <c r="I7" s="60">
        <f>$AV$64</f>
        <v>6707812.2110402873</v>
      </c>
      <c r="J7" s="60">
        <f>I7-K66</f>
        <v>-2224114.2502849186</v>
      </c>
      <c r="K7" s="60">
        <f t="shared" si="1"/>
        <v>-28514.285260063058</v>
      </c>
      <c r="L7" s="61">
        <f>J78</f>
        <v>6707812.2110402901</v>
      </c>
      <c r="M7" s="61">
        <f t="shared" si="6"/>
        <v>0</v>
      </c>
      <c r="N7" s="61"/>
      <c r="O7" s="60">
        <f>$AV$65</f>
        <v>1834512.0953367227</v>
      </c>
      <c r="P7" s="60">
        <f>O7-Q66</f>
        <v>595688.68821764505</v>
      </c>
      <c r="Q7" s="60">
        <f t="shared" si="2"/>
        <v>7637.0344643287826</v>
      </c>
      <c r="R7" s="61">
        <f>P78</f>
        <v>1834512.0953367229</v>
      </c>
      <c r="S7" s="61">
        <f t="shared" si="7"/>
        <v>0</v>
      </c>
      <c r="T7" s="61"/>
      <c r="U7" s="60">
        <f>$AV$66</f>
        <v>2242150.1214050464</v>
      </c>
      <c r="V7" s="60">
        <f>U7-W66</f>
        <v>219526.43845576514</v>
      </c>
      <c r="W7" s="60">
        <f t="shared" si="3"/>
        <v>2814.4415186636556</v>
      </c>
      <c r="X7" s="61">
        <f>V78</f>
        <v>2242150.1214050474</v>
      </c>
      <c r="Y7" s="61">
        <f t="shared" si="8"/>
        <v>0</v>
      </c>
      <c r="Z7" s="61"/>
      <c r="AA7" s="60">
        <f>$AV$67</f>
        <v>19016.088315895944</v>
      </c>
      <c r="AB7" s="60">
        <f>AA7-AC66</f>
        <v>8655.4143072536372</v>
      </c>
      <c r="AC7" s="60">
        <f t="shared" si="4"/>
        <v>110.96685009299534</v>
      </c>
      <c r="AD7" s="61">
        <f>AB78</f>
        <v>19016.088315895948</v>
      </c>
      <c r="AE7" s="61">
        <f t="shared" si="9"/>
        <v>0</v>
      </c>
      <c r="AG7" s="58" t="s">
        <v>66</v>
      </c>
      <c r="AH7" s="58">
        <v>6</v>
      </c>
      <c r="AJ7">
        <v>7</v>
      </c>
      <c r="AK7" t="s">
        <v>87</v>
      </c>
      <c r="AL7" t="s">
        <v>86</v>
      </c>
      <c r="AM7" s="27">
        <v>1</v>
      </c>
      <c r="AQ7">
        <v>2007</v>
      </c>
      <c r="AR7" s="71">
        <f>'[13]Initiative Level - LDC'!G97*1000</f>
        <v>0</v>
      </c>
      <c r="AS7" s="71">
        <f>'[13]Initiative Level - LDC'!H97*1000*0.5</f>
        <v>91478.165909908057</v>
      </c>
      <c r="AT7" s="71">
        <f>'[13]Initiative Level - LDC'!I97*1000</f>
        <v>182956.33181981611</v>
      </c>
      <c r="AU7" s="71">
        <f>'[13]Initiative Level - LDC'!J97*1000</f>
        <v>182956.33181981611</v>
      </c>
      <c r="AV7" s="71">
        <f>'[13]Initiative Level - LDC'!K97*1000</f>
        <v>182956.33181981611</v>
      </c>
      <c r="AW7" s="71">
        <f>'[13]Initiative Level - LDC'!L97*1000</f>
        <v>182956.33181981611</v>
      </c>
      <c r="AX7" s="71">
        <f>'[13]Initiative Level - LDC'!M97*1000</f>
        <v>174282.4483182508</v>
      </c>
      <c r="AY7" s="71">
        <f>'[13]Initiative Level - LDC'!N97*1000</f>
        <v>174282.4483182508</v>
      </c>
      <c r="AZ7" s="71">
        <f>'[13]Initiative Level - LDC'!O97*1000</f>
        <v>174282.4483182508</v>
      </c>
      <c r="BA7" s="517">
        <f>'[13]Initiative Level - LDC'!P97*1000</f>
        <v>174282.4483182508</v>
      </c>
      <c r="BB7" s="517">
        <f>'[13]Initiative Level - LDC'!Q97*1000</f>
        <v>174282.4483182508</v>
      </c>
      <c r="BC7" s="517">
        <f>'[13]Initiative Level - LDC'!R97*1000</f>
        <v>174282.4483182508</v>
      </c>
      <c r="BF7" s="513" t="str">
        <f>'5. Static CDM Result by Program'!B13</f>
        <v>Bi-Annual Retailer Event</v>
      </c>
      <c r="BG7" s="513" t="str">
        <f>'5. Static CDM Result by Program'!C13</f>
        <v>RS</v>
      </c>
      <c r="BH7" s="27">
        <v>1</v>
      </c>
      <c r="BL7" s="514">
        <v>2011</v>
      </c>
      <c r="BM7" s="517">
        <f>'5. Static CDM Result by Program'!E13*0.5</f>
        <v>128395.3615</v>
      </c>
      <c r="BN7" s="519">
        <f>+'[14]2011'!AS18</f>
        <v>256790.7225936504</v>
      </c>
      <c r="BO7" s="519">
        <f>+'[14]2011'!AT18</f>
        <v>256790.7225936504</v>
      </c>
      <c r="BP7" s="519">
        <f>+'[14]2011'!AU18</f>
        <v>256790.7225936504</v>
      </c>
      <c r="BQ7" s="519">
        <f>+'[14]2011'!AV18</f>
        <v>234687.80914563985</v>
      </c>
      <c r="BR7" s="519">
        <f>+'[14]2011'!AW18</f>
        <v>210541.30724353463</v>
      </c>
      <c r="BS7" s="519">
        <f>+'[14]2011'!AX18</f>
        <v>158734.72398830962</v>
      </c>
      <c r="BU7" s="70">
        <f>SUM(BM3:BP7)</f>
        <v>3806274.0262395856</v>
      </c>
      <c r="BV7" s="70">
        <f>BU7-'5. Static CDM Result by Program'!Q14</f>
        <v>-545681.43376041437</v>
      </c>
    </row>
    <row r="8" spans="1:74" ht="15">
      <c r="A8">
        <v>2011</v>
      </c>
      <c r="C8" s="60">
        <f>$AW$69</f>
        <v>12098105.9615006</v>
      </c>
      <c r="D8" s="60">
        <f>C8-E78</f>
        <v>2479437.0455831662</v>
      </c>
      <c r="E8" s="60">
        <f t="shared" si="0"/>
        <v>31787.654430553412</v>
      </c>
      <c r="F8" s="61">
        <f>D90</f>
        <v>12098105.9615006</v>
      </c>
      <c r="G8" s="61">
        <f t="shared" si="5"/>
        <v>0</v>
      </c>
      <c r="H8" s="61"/>
      <c r="I8" s="60">
        <f>$AW$64</f>
        <v>7261361.956700353</v>
      </c>
      <c r="J8" s="60">
        <f>I8-K78</f>
        <v>2435492.5728242239</v>
      </c>
      <c r="K8" s="60">
        <f t="shared" si="1"/>
        <v>31224.263754156716</v>
      </c>
      <c r="L8" s="61">
        <f>J90</f>
        <v>7261361.9567003557</v>
      </c>
      <c r="M8" s="61">
        <f t="shared" si="6"/>
        <v>0</v>
      </c>
      <c r="N8" s="61"/>
      <c r="O8" s="60">
        <f>$AW$65</f>
        <v>2580473.4600397875</v>
      </c>
      <c r="P8" s="60">
        <f>O8-Q78</f>
        <v>241917.09005736513</v>
      </c>
      <c r="Q8" s="60">
        <f t="shared" si="2"/>
        <v>3101.5011545816042</v>
      </c>
      <c r="R8" s="61">
        <f>P90</f>
        <v>2580473.4600397875</v>
      </c>
      <c r="S8" s="61">
        <f t="shared" si="7"/>
        <v>0</v>
      </c>
      <c r="T8" s="61"/>
      <c r="U8" s="60">
        <f>$AW$66</f>
        <v>2172752.5882172165</v>
      </c>
      <c r="V8" s="60">
        <f>U8-W78</f>
        <v>-255150.67341963202</v>
      </c>
      <c r="W8" s="60">
        <f t="shared" si="3"/>
        <v>-3271.1624797388722</v>
      </c>
      <c r="X8" s="61">
        <f>V90</f>
        <v>2172752.5882172156</v>
      </c>
      <c r="Y8" s="61">
        <f t="shared" si="8"/>
        <v>0</v>
      </c>
      <c r="Z8" s="61"/>
      <c r="AA8" s="60">
        <f>$AW$67</f>
        <v>83517.956543244305</v>
      </c>
      <c r="AB8" s="60">
        <f>AA8-AC78</f>
        <v>57178.05612121067</v>
      </c>
      <c r="AC8" s="60">
        <f t="shared" si="4"/>
        <v>733.0520015539829</v>
      </c>
      <c r="AD8" s="61">
        <f>AB90</f>
        <v>83517.956543244305</v>
      </c>
      <c r="AE8" s="61">
        <f t="shared" si="9"/>
        <v>0</v>
      </c>
      <c r="AG8" s="58" t="s">
        <v>67</v>
      </c>
      <c r="AH8" s="58">
        <v>7</v>
      </c>
      <c r="AJ8">
        <v>8</v>
      </c>
      <c r="AK8" t="s">
        <v>88</v>
      </c>
      <c r="AL8" t="s">
        <v>86</v>
      </c>
      <c r="AM8" s="27">
        <v>1</v>
      </c>
      <c r="AQ8">
        <v>2007</v>
      </c>
      <c r="AR8" s="71">
        <f>'[13]Initiative Level - LDC'!G98*1000</f>
        <v>0</v>
      </c>
      <c r="AS8" s="71">
        <f>'[13]Initiative Level - LDC'!H98*1000*0.5</f>
        <v>548359.55116949079</v>
      </c>
      <c r="AT8" s="71">
        <f>'[13]Initiative Level - LDC'!I98*1000</f>
        <v>1083306.3093436284</v>
      </c>
      <c r="AU8" s="71">
        <f>'[13]Initiative Level - LDC'!J98*1000</f>
        <v>1083306.3093436284</v>
      </c>
      <c r="AV8" s="71">
        <f>'[13]Initiative Level - LDC'!K98*1000</f>
        <v>1083306.3093436284</v>
      </c>
      <c r="AW8" s="71">
        <f>'[13]Initiative Level - LDC'!L98*1000</f>
        <v>1083306.3093436284</v>
      </c>
      <c r="AX8" s="71">
        <f>'[13]Initiative Level - LDC'!M98*1000</f>
        <v>1046311.8721829965</v>
      </c>
      <c r="AY8" s="71">
        <f>'[13]Initiative Level - LDC'!N98*1000</f>
        <v>1046311.8721829965</v>
      </c>
      <c r="AZ8" s="71">
        <f>'[13]Initiative Level - LDC'!O98*1000</f>
        <v>1046311.8721829965</v>
      </c>
      <c r="BA8" s="517">
        <f>'[13]Initiative Level - LDC'!P98*1000</f>
        <v>84977.039720991204</v>
      </c>
      <c r="BB8" s="517">
        <f>'[13]Initiative Level - LDC'!Q98*1000</f>
        <v>84977.039720991204</v>
      </c>
      <c r="BC8" s="517">
        <f>'[13]Initiative Level - LDC'!R98*1000</f>
        <v>16011.971167969257</v>
      </c>
      <c r="BF8" s="513" t="str">
        <f>'5. Static CDM Result by Program'!B17</f>
        <v>Retrofit</v>
      </c>
      <c r="BG8" s="513" t="str">
        <f>'5. Static CDM Result by Program'!C17</f>
        <v>GS &lt; 50</v>
      </c>
      <c r="BH8" s="27"/>
      <c r="BI8" s="27">
        <v>1</v>
      </c>
      <c r="BL8" s="514">
        <v>2011</v>
      </c>
      <c r="BM8" s="517">
        <f>'5. Static CDM Result by Program'!E17*0.5</f>
        <v>85270.5</v>
      </c>
      <c r="BN8" s="519">
        <f>+'[14]2011'!AS36</f>
        <v>170541.26434474444</v>
      </c>
      <c r="BO8" s="519">
        <f>+'[14]2011'!AT36</f>
        <v>170541.26434474444</v>
      </c>
      <c r="BP8" s="519">
        <f>+'[14]2011'!AU36</f>
        <v>170541.26434474444</v>
      </c>
      <c r="BQ8" s="519">
        <f>+'[14]2011'!AV36</f>
        <v>170541.26434474444</v>
      </c>
      <c r="BR8" s="519">
        <f>+'[14]2011'!AW36</f>
        <v>170541.26434474444</v>
      </c>
      <c r="BS8" s="519">
        <f>+'[14]2011'!AX36</f>
        <v>170541.26434474444</v>
      </c>
    </row>
    <row r="9" spans="1:74" ht="15">
      <c r="A9">
        <v>2012</v>
      </c>
      <c r="C9" s="60">
        <f>$AX$69</f>
        <v>14377494.472340049</v>
      </c>
      <c r="D9" s="60">
        <f>C9-E90</f>
        <v>181403.31842292659</v>
      </c>
      <c r="E9" s="60">
        <f t="shared" si="0"/>
        <v>2325.6835695247</v>
      </c>
      <c r="F9" s="61">
        <f>D102</f>
        <v>14377494.472340044</v>
      </c>
      <c r="G9" s="61">
        <f t="shared" si="5"/>
        <v>0</v>
      </c>
      <c r="H9" s="61"/>
      <c r="I9" s="60">
        <f>$AX$64</f>
        <v>7818796.6486679036</v>
      </c>
      <c r="J9" s="60">
        <f>I9-K90</f>
        <v>-1503366.7158067971</v>
      </c>
      <c r="K9" s="60">
        <f t="shared" si="1"/>
        <v>-19273.932253933297</v>
      </c>
      <c r="L9" s="61">
        <f>J102</f>
        <v>7818796.6486679055</v>
      </c>
      <c r="M9" s="61">
        <f t="shared" si="6"/>
        <v>0</v>
      </c>
      <c r="N9" s="61"/>
      <c r="O9" s="60">
        <f>$AX$65</f>
        <v>3418593.1120574865</v>
      </c>
      <c r="P9" s="60">
        <f>O9-Q90</f>
        <v>633420.57581531256</v>
      </c>
      <c r="Q9" s="60">
        <f t="shared" si="2"/>
        <v>8120.7766130168275</v>
      </c>
      <c r="R9" s="61">
        <f>P102</f>
        <v>3418593.112057487</v>
      </c>
      <c r="S9" s="61">
        <f t="shared" si="7"/>
        <v>0</v>
      </c>
      <c r="T9" s="61"/>
      <c r="U9" s="60">
        <f>$AX$66</f>
        <v>2953081.6058564926</v>
      </c>
      <c r="V9" s="60">
        <f>U9-W90</f>
        <v>996225.74130204273</v>
      </c>
      <c r="W9" s="60">
        <f t="shared" si="3"/>
        <v>12772.124888487728</v>
      </c>
      <c r="X9" s="61">
        <f>V102</f>
        <v>2953081.6058564931</v>
      </c>
      <c r="Y9" s="61">
        <f t="shared" si="8"/>
        <v>0</v>
      </c>
      <c r="Z9" s="61"/>
      <c r="AA9" s="60">
        <f>$AX$67</f>
        <v>187023.10575816603</v>
      </c>
      <c r="AB9" s="60">
        <f>AA9-AC90</f>
        <v>55123.717112358863</v>
      </c>
      <c r="AC9" s="60">
        <f t="shared" si="4"/>
        <v>706.71432195331874</v>
      </c>
      <c r="AD9" s="61">
        <f>AB102</f>
        <v>187023.10575816603</v>
      </c>
      <c r="AE9" s="61">
        <f t="shared" si="9"/>
        <v>0</v>
      </c>
      <c r="AG9" s="58" t="s">
        <v>68</v>
      </c>
      <c r="AH9" s="58">
        <v>8</v>
      </c>
      <c r="AJ9">
        <v>10</v>
      </c>
      <c r="AK9" t="s">
        <v>93</v>
      </c>
      <c r="AL9" t="s">
        <v>86</v>
      </c>
      <c r="AM9" s="27">
        <v>1</v>
      </c>
      <c r="AQ9">
        <v>2007</v>
      </c>
      <c r="AR9" s="71">
        <f>'[13]Initiative Level - LDC'!G100*1000</f>
        <v>0</v>
      </c>
      <c r="AS9" s="71">
        <f>'[13]Initiative Level - LDC'!H100*1000*0.5</f>
        <v>375465.68360921496</v>
      </c>
      <c r="AT9" s="71">
        <f>'[13]Initiative Level - LDC'!I100*1000</f>
        <v>126571.30791977121</v>
      </c>
      <c r="AU9" s="71">
        <f>'[13]Initiative Level - LDC'!J100*1000</f>
        <v>47909.279003399221</v>
      </c>
      <c r="AV9" s="71">
        <f>'[13]Initiative Level - LDC'!K100*1000</f>
        <v>47909.279003399221</v>
      </c>
      <c r="AW9" s="71">
        <f>'[13]Initiative Level - LDC'!L100*1000</f>
        <v>47909.279003399221</v>
      </c>
      <c r="AX9" s="71">
        <f>'[13]Initiative Level - LDC'!M100*1000</f>
        <v>47909.279003399221</v>
      </c>
      <c r="AY9" s="71">
        <f>'[13]Initiative Level - LDC'!N100*1000</f>
        <v>47909.279003399221</v>
      </c>
      <c r="AZ9" s="71">
        <f>'[13]Initiative Level - LDC'!O100*1000</f>
        <v>47909.279003399221</v>
      </c>
      <c r="BA9" s="517">
        <f>'[13]Initiative Level - LDC'!P100*1000</f>
        <v>30427.403100223848</v>
      </c>
      <c r="BB9" s="517">
        <f>'[13]Initiative Level - LDC'!Q100*1000</f>
        <v>30427.403100223848</v>
      </c>
      <c r="BC9" s="517">
        <f>'[13]Initiative Level - LDC'!R100*1000</f>
        <v>30427.403100223848</v>
      </c>
      <c r="BF9" s="513" t="str">
        <f>'5. Static CDM Result by Program'!B18</f>
        <v>Retrofit</v>
      </c>
      <c r="BG9" s="513" t="str">
        <f>'5. Static CDM Result by Program'!C18</f>
        <v>GS 50-999</v>
      </c>
      <c r="BH9" s="27"/>
      <c r="BJ9" s="27">
        <v>1</v>
      </c>
      <c r="BL9" s="514">
        <v>2011</v>
      </c>
      <c r="BM9" s="517">
        <f>'5. Static CDM Result by Program'!E18*0.5</f>
        <v>175113</v>
      </c>
      <c r="BN9" s="519">
        <f>+'[14]2011'!AS37</f>
        <v>350226.54286302102</v>
      </c>
      <c r="BO9" s="519">
        <f>+'[14]2011'!AT37</f>
        <v>350226.54286302102</v>
      </c>
      <c r="BP9" s="519">
        <f>+'[14]2011'!AU37</f>
        <v>350226.54286302102</v>
      </c>
      <c r="BQ9" s="519">
        <f>+'[14]2011'!AV37</f>
        <v>350226.54286302102</v>
      </c>
      <c r="BR9" s="519">
        <f>+'[14]2011'!AW37</f>
        <v>350226.54286302102</v>
      </c>
      <c r="BS9" s="519">
        <f>+'[14]2011'!AX37</f>
        <v>350226.54286302102</v>
      </c>
    </row>
    <row r="10" spans="1:74" ht="15">
      <c r="A10">
        <v>2013</v>
      </c>
      <c r="C10" s="60">
        <f>$AY$69</f>
        <v>20154698.342075609</v>
      </c>
      <c r="D10" s="60">
        <f>C10-E102</f>
        <v>5623708.7541469336</v>
      </c>
      <c r="E10" s="60">
        <f t="shared" si="0"/>
        <v>72098.83018137094</v>
      </c>
      <c r="F10" s="61">
        <f>D114</f>
        <v>20154698.342075609</v>
      </c>
      <c r="G10" s="61">
        <f t="shared" si="5"/>
        <v>0</v>
      </c>
      <c r="H10" s="61"/>
      <c r="I10" s="60">
        <f>$AY$64</f>
        <v>8253039.4152895045</v>
      </c>
      <c r="J10" s="60">
        <f>I10-K102</f>
        <v>1706322.2953811958</v>
      </c>
      <c r="K10" s="60">
        <f t="shared" si="1"/>
        <v>21875.926863861485</v>
      </c>
      <c r="L10" s="61">
        <f>J114</f>
        <v>8253039.4152895063</v>
      </c>
      <c r="M10" s="61">
        <f t="shared" si="6"/>
        <v>0</v>
      </c>
      <c r="N10" s="61"/>
      <c r="O10" s="60">
        <f>$AY$65</f>
        <v>4757562.3195355311</v>
      </c>
      <c r="P10" s="60">
        <f>O10-Q102</f>
        <v>802997.95101893228</v>
      </c>
      <c r="Q10" s="60">
        <f t="shared" si="2"/>
        <v>10294.845525883748</v>
      </c>
      <c r="R10" s="61">
        <f>P114</f>
        <v>4757562.3195355292</v>
      </c>
      <c r="S10" s="61">
        <f t="shared" si="7"/>
        <v>0</v>
      </c>
      <c r="T10" s="61"/>
      <c r="U10" s="60">
        <f>$AY$66</f>
        <v>4625958.5316054821</v>
      </c>
      <c r="V10" s="60">
        <f>U10-W102</f>
        <v>829916.68310879776</v>
      </c>
      <c r="W10" s="60">
        <f t="shared" si="3"/>
        <v>10639.957475753818</v>
      </c>
      <c r="X10" s="61">
        <f>V114</f>
        <v>4625958.5316054793</v>
      </c>
      <c r="Y10" s="61">
        <f t="shared" si="8"/>
        <v>0</v>
      </c>
      <c r="Z10" s="61"/>
      <c r="AA10" s="60">
        <f>$AY$67</f>
        <v>2518138.0756450878</v>
      </c>
      <c r="AB10" s="60">
        <f>AA10-AC102</f>
        <v>2284471.8246380026</v>
      </c>
      <c r="AC10" s="60">
        <f t="shared" si="4"/>
        <v>29288.100315871827</v>
      </c>
      <c r="AD10" s="61">
        <f>AB114</f>
        <v>2518138.0756450873</v>
      </c>
      <c r="AE10" s="61">
        <f t="shared" si="9"/>
        <v>0</v>
      </c>
      <c r="AG10" s="58" t="s">
        <v>69</v>
      </c>
      <c r="AH10" s="58">
        <v>9</v>
      </c>
      <c r="AJ10">
        <v>11</v>
      </c>
      <c r="AK10" t="s">
        <v>94</v>
      </c>
      <c r="AL10" t="s">
        <v>86</v>
      </c>
      <c r="AM10" s="27">
        <v>1</v>
      </c>
      <c r="AQ10">
        <v>2007</v>
      </c>
      <c r="AR10" s="71">
        <f>'[13]Initiative Level - LDC'!G101*1000</f>
        <v>0</v>
      </c>
      <c r="AS10" s="71">
        <f>'[13]Initiative Level - LDC'!H101*1000*0.5</f>
        <v>192150</v>
      </c>
      <c r="AT10" s="71">
        <f>'[13]Initiative Level - LDC'!I101*1000</f>
        <v>384300</v>
      </c>
      <c r="AU10" s="71">
        <f>'[13]Initiative Level - LDC'!J101*1000</f>
        <v>384300</v>
      </c>
      <c r="AV10" s="71">
        <f>'[13]Initiative Level - LDC'!K101*1000</f>
        <v>384300</v>
      </c>
      <c r="AW10" s="71">
        <f>'[13]Initiative Level - LDC'!L101*1000</f>
        <v>0</v>
      </c>
      <c r="AX10" s="71">
        <f>'[13]Initiative Level - LDC'!M101*1000</f>
        <v>0</v>
      </c>
      <c r="AY10" s="71">
        <f>'[13]Initiative Level - LDC'!N101*1000</f>
        <v>0</v>
      </c>
      <c r="AZ10" s="71">
        <f>'[13]Initiative Level - LDC'!O101*1000</f>
        <v>0</v>
      </c>
      <c r="BA10" s="517">
        <f>'[13]Initiative Level - LDC'!P101*1000</f>
        <v>0</v>
      </c>
      <c r="BB10" s="517">
        <f>'[13]Initiative Level - LDC'!Q101*1000</f>
        <v>0</v>
      </c>
      <c r="BC10" s="517">
        <f>'[13]Initiative Level - LDC'!R101*1000</f>
        <v>0</v>
      </c>
      <c r="BF10" s="513" t="str">
        <f>'5. Static CDM Result by Program'!B19</f>
        <v>Retrofit</v>
      </c>
      <c r="BG10" s="513" t="str">
        <f>'5. Static CDM Result by Program'!C19</f>
        <v>GS &gt; 1000</v>
      </c>
      <c r="BH10" s="27"/>
      <c r="BK10" s="27">
        <v>1</v>
      </c>
      <c r="BL10" s="514">
        <v>2011</v>
      </c>
      <c r="BM10" s="517">
        <f>'5. Static CDM Result by Program'!E19*0.5</f>
        <v>27937</v>
      </c>
      <c r="BN10" s="519">
        <f>+'[14]2011'!AS38</f>
        <v>55874.086606729477</v>
      </c>
      <c r="BO10" s="519">
        <f>+'[14]2011'!AT38</f>
        <v>55874.086606729477</v>
      </c>
      <c r="BP10" s="519">
        <f>+'[14]2011'!AU38</f>
        <v>55874.086606729477</v>
      </c>
      <c r="BQ10" s="519">
        <f>+'[14]2011'!AV38</f>
        <v>55874.086606729477</v>
      </c>
      <c r="BR10" s="519">
        <f>+'[14]2011'!AW38</f>
        <v>55874.086606729477</v>
      </c>
      <c r="BS10" s="519">
        <f>+'[14]2011'!AX38</f>
        <v>55874.086606729477</v>
      </c>
    </row>
    <row r="11" spans="1:74" ht="15">
      <c r="A11">
        <v>2014</v>
      </c>
      <c r="C11" s="60">
        <f>$AZ$69</f>
        <v>29397170.239233129</v>
      </c>
      <c r="D11" s="60">
        <f>C11-E114</f>
        <v>4483949.1051870361</v>
      </c>
      <c r="E11" s="60">
        <f t="shared" si="0"/>
        <v>57486.526989577389</v>
      </c>
      <c r="F11" s="61">
        <f>D126</f>
        <v>29397170.239233125</v>
      </c>
      <c r="G11" s="61">
        <f t="shared" si="5"/>
        <v>0</v>
      </c>
      <c r="H11" s="61"/>
      <c r="I11" s="60">
        <f>$AZ$64</f>
        <v>8615819.7132881004</v>
      </c>
      <c r="J11" s="60">
        <f>I11-K114</f>
        <v>-1081030.8750162646</v>
      </c>
      <c r="K11" s="60">
        <f t="shared" si="1"/>
        <v>-13859.370192516213</v>
      </c>
      <c r="L11" s="61">
        <f>J126</f>
        <v>8615819.7132880986</v>
      </c>
      <c r="M11" s="61">
        <f t="shared" si="6"/>
        <v>0</v>
      </c>
      <c r="N11" s="61"/>
      <c r="O11" s="60">
        <f>$AZ$65</f>
        <v>6261863.538312396</v>
      </c>
      <c r="P11" s="60">
        <f>O11-Q114</f>
        <v>824841.41406854149</v>
      </c>
      <c r="Q11" s="60">
        <f t="shared" si="2"/>
        <v>10574.889923955659</v>
      </c>
      <c r="R11" s="61">
        <f>P126</f>
        <v>6261863.538312396</v>
      </c>
      <c r="S11" s="61">
        <f t="shared" si="7"/>
        <v>0</v>
      </c>
      <c r="T11" s="61"/>
      <c r="U11" s="60">
        <f>$AZ$66</f>
        <v>7042383.0340626836</v>
      </c>
      <c r="V11" s="60">
        <f>U11-W114</f>
        <v>1714187.3090574536</v>
      </c>
      <c r="W11" s="60">
        <f t="shared" si="3"/>
        <v>21976.760372531458</v>
      </c>
      <c r="X11" s="61">
        <f>V126</f>
        <v>7042383.0340626873</v>
      </c>
      <c r="Y11" s="61">
        <f t="shared" si="8"/>
        <v>0</v>
      </c>
      <c r="Z11" s="61"/>
      <c r="AA11" s="60">
        <f>$AZ$67</f>
        <v>7477103.9535699487</v>
      </c>
      <c r="AB11" s="60">
        <f>AA11-AC114</f>
        <v>3025951.2570773205</v>
      </c>
      <c r="AC11" s="60">
        <f t="shared" si="4"/>
        <v>38794.24688560667</v>
      </c>
      <c r="AD11" s="61">
        <f>AB126</f>
        <v>7477103.9535699477</v>
      </c>
      <c r="AE11" s="61">
        <f t="shared" si="9"/>
        <v>0</v>
      </c>
      <c r="AG11" s="58" t="s">
        <v>70</v>
      </c>
      <c r="AH11" s="58">
        <v>10</v>
      </c>
      <c r="AJ11">
        <v>13</v>
      </c>
      <c r="AK11" t="s">
        <v>96</v>
      </c>
      <c r="AL11" t="s">
        <v>95</v>
      </c>
      <c r="AM11" s="27">
        <v>1</v>
      </c>
      <c r="AQ11">
        <v>2007</v>
      </c>
      <c r="AR11" s="71">
        <f>'[13]Initiative Level - LDC'!G103*1000</f>
        <v>0</v>
      </c>
      <c r="AS11" s="71">
        <f>'[13]Initiative Level - LDC'!H103*1000*0.5</f>
        <v>49838.918241127074</v>
      </c>
      <c r="AT11" s="71">
        <f>'[13]Initiative Level - LDC'!I103*1000</f>
        <v>99677.836482254148</v>
      </c>
      <c r="AU11" s="71">
        <f>'[13]Initiative Level - LDC'!J103*1000</f>
        <v>99677.836482254148</v>
      </c>
      <c r="AV11" s="71">
        <f>'[13]Initiative Level - LDC'!K103*1000</f>
        <v>99677.836482254148</v>
      </c>
      <c r="AW11" s="71">
        <f>'[13]Initiative Level - LDC'!L103*1000</f>
        <v>99677.836482254148</v>
      </c>
      <c r="AX11" s="71">
        <f>'[13]Initiative Level - LDC'!M103*1000</f>
        <v>99677.836482254148</v>
      </c>
      <c r="AY11" s="71">
        <f>'[13]Initiative Level - LDC'!N103*1000</f>
        <v>99677.836482254148</v>
      </c>
      <c r="AZ11" s="71">
        <f>'[13]Initiative Level - LDC'!O103*1000</f>
        <v>99677.836482254148</v>
      </c>
      <c r="BA11" s="517">
        <f>'[13]Initiative Level - LDC'!P103*1000</f>
        <v>99677.836482254148</v>
      </c>
      <c r="BB11" s="517">
        <f>'[13]Initiative Level - LDC'!Q103*1000</f>
        <v>99677.836482254148</v>
      </c>
      <c r="BC11" s="517">
        <f>'[13]Initiative Level - LDC'!R103*1000</f>
        <v>0</v>
      </c>
      <c r="BF11" s="513" t="str">
        <f>'5. Static CDM Result by Program'!B21</f>
        <v>Direct Install Lighting</v>
      </c>
      <c r="BG11" s="513" t="str">
        <f>'5. Static CDM Result by Program'!C21</f>
        <v>GS &lt; 50</v>
      </c>
      <c r="BI11" s="27">
        <v>1</v>
      </c>
      <c r="BL11" s="514">
        <v>2011</v>
      </c>
      <c r="BM11" s="517">
        <f>'5. Static CDM Result by Program'!E21*0.5</f>
        <v>147855.39799999999</v>
      </c>
      <c r="BN11" s="519">
        <f>+'[14]2011'!AS22</f>
        <v>295710.79623582261</v>
      </c>
      <c r="BO11" s="519">
        <f>+'[14]2011'!AT22</f>
        <v>295710.79623582261</v>
      </c>
      <c r="BP11" s="519">
        <f>+'[14]2011'!AU22</f>
        <v>170939.22460999314</v>
      </c>
      <c r="BQ11" s="519">
        <f>+'[14]2011'!AV22</f>
        <v>170939.22460999314</v>
      </c>
      <c r="BR11" s="519">
        <f>+'[14]2011'!AW22</f>
        <v>170939.22460999314</v>
      </c>
      <c r="BS11" s="519">
        <f>+'[14]2011'!AX22</f>
        <v>41529.655445965058</v>
      </c>
      <c r="BU11" s="70">
        <f>SUM(BM8:BP11)</f>
        <v>2928462.3965251232</v>
      </c>
      <c r="BV11" s="70">
        <f>BU11-'5. Static CDM Result by Program'!Q28</f>
        <v>-560944.78747487674</v>
      </c>
    </row>
    <row r="12" spans="1:74" ht="15">
      <c r="A12">
        <v>2015</v>
      </c>
      <c r="C12" s="60">
        <f>$BA$69</f>
        <v>42735765.596878402</v>
      </c>
      <c r="D12" s="60">
        <f>C12-E126</f>
        <v>9544484.5763331726</v>
      </c>
      <c r="E12" s="60">
        <f t="shared" si="0"/>
        <v>122365.18687606632</v>
      </c>
      <c r="F12" s="61">
        <f>D138</f>
        <v>42735765.596878417</v>
      </c>
      <c r="G12" s="61">
        <f t="shared" si="5"/>
        <v>0</v>
      </c>
      <c r="H12" s="61"/>
      <c r="I12" s="60">
        <f>$BA$64</f>
        <v>8793615.0518031921</v>
      </c>
      <c r="J12" s="60">
        <f>I12-K126</f>
        <v>1092513.7712211665</v>
      </c>
      <c r="K12" s="60">
        <f t="shared" si="1"/>
        <v>14006.586810527775</v>
      </c>
      <c r="L12" s="61">
        <f>J138</f>
        <v>8793615.0518031884</v>
      </c>
      <c r="M12" s="61">
        <f t="shared" si="6"/>
        <v>0</v>
      </c>
      <c r="N12" s="61"/>
      <c r="O12" s="60">
        <f>$BA$65</f>
        <v>7255234.346112065</v>
      </c>
      <c r="P12" s="60">
        <f>O12-Q126</f>
        <v>295428.07281859592</v>
      </c>
      <c r="Q12" s="60">
        <f t="shared" si="2"/>
        <v>3787.5393951102042</v>
      </c>
      <c r="R12" s="61">
        <f>P138</f>
        <v>7255234.3461120659</v>
      </c>
      <c r="S12" s="61">
        <f t="shared" si="7"/>
        <v>0</v>
      </c>
      <c r="T12" s="61"/>
      <c r="U12" s="60">
        <f>$BA$66</f>
        <v>9704337.5262477193</v>
      </c>
      <c r="V12" s="60">
        <f>U12-W126</f>
        <v>1211488.3075979557</v>
      </c>
      <c r="W12" s="60">
        <f t="shared" si="3"/>
        <v>15531.901379460971</v>
      </c>
      <c r="X12" s="61">
        <f>V138</f>
        <v>9704337.5262477156</v>
      </c>
      <c r="Y12" s="61">
        <f t="shared" si="8"/>
        <v>0</v>
      </c>
      <c r="Z12" s="61"/>
      <c r="AA12" s="60">
        <f>$BA$67</f>
        <v>16583532.820502872</v>
      </c>
      <c r="AB12" s="60">
        <f>AA12-AC126</f>
        <v>6546008.5724828821</v>
      </c>
      <c r="AC12" s="60">
        <f t="shared" si="4"/>
        <v>83923.186826703619</v>
      </c>
      <c r="AD12" s="61">
        <f>AB138</f>
        <v>16583532.82050287</v>
      </c>
      <c r="AE12" s="61">
        <f t="shared" si="9"/>
        <v>0</v>
      </c>
      <c r="AG12" s="58" t="s">
        <v>71</v>
      </c>
      <c r="AH12" s="58">
        <v>11</v>
      </c>
      <c r="AJ12">
        <v>14</v>
      </c>
      <c r="AK12" t="s">
        <v>97</v>
      </c>
      <c r="AL12" t="s">
        <v>95</v>
      </c>
      <c r="AM12" s="27">
        <v>1</v>
      </c>
      <c r="AQ12">
        <v>2007</v>
      </c>
      <c r="AR12" s="71">
        <f>'[13]Initiative Level - LDC'!G104*1000</f>
        <v>0</v>
      </c>
      <c r="AS12" s="71">
        <f>'[13]Initiative Level - LDC'!H104*1000*0.5</f>
        <v>36373.945972236696</v>
      </c>
      <c r="AT12" s="71">
        <f>'[13]Initiative Level - LDC'!I104*1000</f>
        <v>72747.891944473391</v>
      </c>
      <c r="AU12" s="71">
        <f>'[13]Initiative Level - LDC'!J104*1000</f>
        <v>72747.891944473391</v>
      </c>
      <c r="AV12" s="71">
        <f>'[13]Initiative Level - LDC'!K104*1000</f>
        <v>72747.891944473391</v>
      </c>
      <c r="AW12" s="71">
        <f>'[13]Initiative Level - LDC'!L104*1000</f>
        <v>72747.891944473391</v>
      </c>
      <c r="AX12" s="71">
        <f>'[13]Initiative Level - LDC'!M104*1000</f>
        <v>72747.891944473391</v>
      </c>
      <c r="AY12" s="71">
        <f>'[13]Initiative Level - LDC'!N104*1000</f>
        <v>72747.891944473391</v>
      </c>
      <c r="AZ12" s="71">
        <f>'[13]Initiative Level - LDC'!O104*1000</f>
        <v>72747.891944473391</v>
      </c>
      <c r="BA12" s="517">
        <f>'[13]Initiative Level - LDC'!P104*1000</f>
        <v>72747.891944473391</v>
      </c>
      <c r="BB12" s="517">
        <f>'[13]Initiative Level - LDC'!Q104*1000</f>
        <v>72747.891944473391</v>
      </c>
      <c r="BC12" s="517">
        <f>'[13]Initiative Level - LDC'!R104*1000</f>
        <v>72747.891944473391</v>
      </c>
      <c r="BF12" s="513" t="str">
        <f>'5. Static CDM Result by Program'!B34</f>
        <v>Retrofit</v>
      </c>
      <c r="BG12" s="513" t="str">
        <f>'5. Static CDM Result by Program'!C34</f>
        <v>GS &gt; 1000</v>
      </c>
      <c r="BK12" s="27">
        <v>1</v>
      </c>
      <c r="BL12" s="514">
        <v>2011</v>
      </c>
      <c r="BM12" s="517">
        <f>'5. Static CDM Result by Program'!E34*0.5</f>
        <v>54547.031499999997</v>
      </c>
      <c r="BN12" s="519">
        <f>+'[14]2011'!AS25</f>
        <v>109094.06251893996</v>
      </c>
      <c r="BO12" s="519">
        <f>+'[14]2011'!AT25</f>
        <v>109094.06251893996</v>
      </c>
      <c r="BP12" s="519">
        <f>+'[14]2011'!AU25</f>
        <v>109094.06251893996</v>
      </c>
      <c r="BQ12" s="519">
        <f>+'[14]2011'!AV25</f>
        <v>109094.06251893996</v>
      </c>
      <c r="BR12" s="519">
        <f>+'[14]2011'!AW25</f>
        <v>109094.06251893996</v>
      </c>
      <c r="BS12" s="519">
        <f>+'[14]2011'!AX25</f>
        <v>109094.06251893996</v>
      </c>
      <c r="BU12" s="70">
        <f>SUM(BM12:BP12)</f>
        <v>381829.21905681986</v>
      </c>
      <c r="BV12" s="70">
        <f>BU12-'5. Static CDM Result by Program'!Q36</f>
        <v>-54547.032943180122</v>
      </c>
    </row>
    <row r="13" spans="1:74" ht="15">
      <c r="A13">
        <v>2016</v>
      </c>
      <c r="C13" s="60">
        <f>$BB$69</f>
        <v>50722239.798312947</v>
      </c>
      <c r="D13" s="60">
        <f>C13-E138</f>
        <v>-89628.132385849953</v>
      </c>
      <c r="E13" s="60">
        <f t="shared" si="0"/>
        <v>-1149.0786203314096</v>
      </c>
      <c r="F13" s="61">
        <f>D150</f>
        <v>50722239.798312955</v>
      </c>
      <c r="G13" s="61">
        <f t="shared" si="5"/>
        <v>0</v>
      </c>
      <c r="H13" s="61"/>
      <c r="I13" s="60">
        <f>$BB$64</f>
        <v>8764898.1253954507</v>
      </c>
      <c r="J13" s="60">
        <f>I13-K138</f>
        <v>-953151.65590256639</v>
      </c>
      <c r="K13" s="60">
        <f t="shared" si="1"/>
        <v>-12219.893024391877</v>
      </c>
      <c r="L13" s="61">
        <f>J150</f>
        <v>8764898.1253954526</v>
      </c>
      <c r="M13" s="61">
        <f t="shared" si="6"/>
        <v>0</v>
      </c>
      <c r="N13" s="61"/>
      <c r="O13" s="60">
        <f>$BB$65</f>
        <v>7216281.2640150217</v>
      </c>
      <c r="P13" s="60">
        <f>O13-Q138</f>
        <v>-288930.68217431847</v>
      </c>
      <c r="Q13" s="60">
        <f t="shared" si="2"/>
        <v>-3704.2395150553648</v>
      </c>
      <c r="R13" s="61">
        <f>P150</f>
        <v>7216281.2640150245</v>
      </c>
      <c r="S13" s="61">
        <f t="shared" si="7"/>
        <v>0</v>
      </c>
      <c r="T13" s="61"/>
      <c r="U13" s="60">
        <f>$BB$66</f>
        <v>10899237.105891444</v>
      </c>
      <c r="V13" s="60">
        <f>U13-W138</f>
        <v>169794.0885993056</v>
      </c>
      <c r="W13" s="60">
        <f t="shared" si="3"/>
        <v>2176.8472897346874</v>
      </c>
      <c r="X13" s="61">
        <f>V150</f>
        <v>10899237.10589144</v>
      </c>
      <c r="Y13" s="61">
        <f t="shared" si="8"/>
        <v>0</v>
      </c>
      <c r="Z13" s="61"/>
      <c r="AA13" s="60">
        <f>$BB$67</f>
        <v>23055030.925067522</v>
      </c>
      <c r="AB13" s="60">
        <f>AA13-AC138</f>
        <v>932567.77400221303</v>
      </c>
      <c r="AC13" s="60">
        <f t="shared" si="4"/>
        <v>11955.997102592475</v>
      </c>
      <c r="AD13" s="61">
        <f>AB150</f>
        <v>23055030.925067514</v>
      </c>
      <c r="AE13" s="61">
        <f t="shared" si="9"/>
        <v>0</v>
      </c>
      <c r="AG13" s="58" t="s">
        <v>73</v>
      </c>
      <c r="AH13" s="58">
        <v>12</v>
      </c>
      <c r="AJ13">
        <v>20</v>
      </c>
      <c r="AK13" t="s">
        <v>91</v>
      </c>
      <c r="AL13" t="s">
        <v>86</v>
      </c>
      <c r="AM13" s="27">
        <v>1</v>
      </c>
      <c r="AQ13">
        <v>2008</v>
      </c>
      <c r="AR13" s="71">
        <f>'[13]Initiative Level - LDC'!G110*1000</f>
        <v>0</v>
      </c>
      <c r="AS13" s="71">
        <f>'[13]Initiative Level - LDC'!H110*1000</f>
        <v>0</v>
      </c>
      <c r="AT13" s="71">
        <f>'[13]Initiative Level - LDC'!I110*1000*0.5</f>
        <v>307051.19500000001</v>
      </c>
      <c r="AU13" s="71">
        <f>'[13]Initiative Level - LDC'!J110*1000</f>
        <v>614102.39</v>
      </c>
      <c r="AV13" s="71">
        <f>'[13]Initiative Level - LDC'!K110*1000</f>
        <v>614102.39</v>
      </c>
      <c r="AW13" s="71">
        <f>'[13]Initiative Level - LDC'!L110*1000</f>
        <v>614102.39</v>
      </c>
      <c r="AX13" s="71">
        <f>'[13]Initiative Level - LDC'!M110*1000</f>
        <v>613322.27</v>
      </c>
      <c r="AY13" s="71">
        <f>'[13]Initiative Level - LDC'!N110*1000</f>
        <v>612542.15</v>
      </c>
      <c r="AZ13" s="71">
        <f>'[13]Initiative Level - LDC'!O110*1000</f>
        <v>612542.15</v>
      </c>
      <c r="BA13" s="517">
        <f>'[13]Initiative Level - LDC'!P110*1000</f>
        <v>612542.15</v>
      </c>
      <c r="BB13" s="517">
        <f>'[13]Initiative Level - LDC'!Q110*1000</f>
        <v>494023.75</v>
      </c>
      <c r="BC13" s="517">
        <f>'[13]Initiative Level - LDC'!R110*1000</f>
        <v>0</v>
      </c>
      <c r="BF13" s="513" t="str">
        <f>'5. Static CDM Result by Program'!B48</f>
        <v>Electricity Retrofit Incentive Program</v>
      </c>
      <c r="BG13" s="513" t="str">
        <f>'5. Static CDM Result by Program'!C48</f>
        <v>GS 50-999</v>
      </c>
      <c r="BH13" s="27"/>
      <c r="BJ13" s="27">
        <v>1</v>
      </c>
      <c r="BL13" s="514">
        <v>2011</v>
      </c>
      <c r="BM13" s="517">
        <f>'5. Static CDM Result by Program'!E48*0.5</f>
        <v>42658.289499999999</v>
      </c>
      <c r="BN13" s="519">
        <f>+'[14]2011'!AS26</f>
        <v>85316.578947600035</v>
      </c>
      <c r="BO13" s="519">
        <f>+'[14]2011'!AT26</f>
        <v>85316.578947600035</v>
      </c>
      <c r="BP13" s="519">
        <f>+'[14]2011'!AT26</f>
        <v>85316.578947600035</v>
      </c>
      <c r="BQ13" s="519">
        <f>+'[14]2011'!AU26</f>
        <v>85316.578947600035</v>
      </c>
      <c r="BR13" s="519">
        <f>+'[14]2011'!AV26</f>
        <v>85316.578947600035</v>
      </c>
      <c r="BS13" s="519">
        <f>+'[14]2011'!AW26</f>
        <v>85316.578947600035</v>
      </c>
    </row>
    <row r="14" spans="1:74" ht="15">
      <c r="A14">
        <v>2017</v>
      </c>
      <c r="C14" s="60">
        <f>$BC$69</f>
        <v>46975947.664935142</v>
      </c>
      <c r="D14" s="60">
        <f>C14-E150</f>
        <v>-3670452.9444359392</v>
      </c>
      <c r="E14" s="60">
        <f t="shared" si="0"/>
        <v>-47057.089031229989</v>
      </c>
      <c r="F14" s="61">
        <f>D162</f>
        <v>46975947.664935134</v>
      </c>
      <c r="G14" s="61">
        <f t="shared" si="5"/>
        <v>0</v>
      </c>
      <c r="H14" s="61"/>
      <c r="I14" s="60">
        <f>$BC$64</f>
        <v>7640624.6398385055</v>
      </c>
      <c r="J14" s="60">
        <f>I14-K150</f>
        <v>-317760.54594708607</v>
      </c>
      <c r="K14" s="60">
        <f t="shared" si="1"/>
        <v>-4073.85315316777</v>
      </c>
      <c r="L14" s="61">
        <f>J162</f>
        <v>7640624.6398385065</v>
      </c>
      <c r="M14" s="61">
        <f t="shared" si="6"/>
        <v>0</v>
      </c>
      <c r="N14" s="61"/>
      <c r="O14" s="60">
        <f>$BC$65</f>
        <v>5364658.7894995185</v>
      </c>
      <c r="P14" s="60">
        <f>O14-Q150</f>
        <v>-1607142.6665218556</v>
      </c>
      <c r="Q14" s="60">
        <f t="shared" si="2"/>
        <v>-20604.393160536612</v>
      </c>
      <c r="R14" s="61">
        <f>P162</f>
        <v>5364658.7894995194</v>
      </c>
      <c r="S14" s="61">
        <f t="shared" si="7"/>
        <v>0</v>
      </c>
      <c r="T14" s="61"/>
      <c r="U14" s="60">
        <f>$BC$66</f>
        <v>10530820.354635421</v>
      </c>
      <c r="V14" s="60">
        <f>U14-W150</f>
        <v>-512088.67237850465</v>
      </c>
      <c r="W14" s="60">
        <f t="shared" si="3"/>
        <v>-6565.2393894680081</v>
      </c>
      <c r="X14" s="61">
        <f>V162</f>
        <v>10530820.354635423</v>
      </c>
      <c r="Y14" s="61">
        <f t="shared" si="8"/>
        <v>0</v>
      </c>
      <c r="Z14" s="61"/>
      <c r="AA14" s="60">
        <f>$BC$67</f>
        <v>22687663.424780957</v>
      </c>
      <c r="AB14" s="60">
        <f>AA14-AC150</f>
        <v>-1156463.309057653</v>
      </c>
      <c r="AC14" s="60">
        <f t="shared" si="4"/>
        <v>-14826.452680226319</v>
      </c>
      <c r="AD14" s="61">
        <f>AB162</f>
        <v>22687663.424780954</v>
      </c>
      <c r="AE14" s="61">
        <f t="shared" si="9"/>
        <v>0</v>
      </c>
      <c r="AG14" s="58" t="s">
        <v>5</v>
      </c>
      <c r="AH14" s="58">
        <f>SUM(AH2:AH13)</f>
        <v>78</v>
      </c>
      <c r="AJ14">
        <v>21</v>
      </c>
      <c r="AK14" t="s">
        <v>100</v>
      </c>
      <c r="AL14" t="s">
        <v>86</v>
      </c>
      <c r="AM14" s="27">
        <v>1</v>
      </c>
      <c r="AQ14">
        <v>2008</v>
      </c>
      <c r="AR14" s="71">
        <f>'[13]Initiative Level - LDC'!G111*1000</f>
        <v>0</v>
      </c>
      <c r="AS14" s="71">
        <f>'[13]Initiative Level - LDC'!H111*1000</f>
        <v>0</v>
      </c>
      <c r="AT14" s="71">
        <f>'[13]Initiative Level - LDC'!I111*1000*0.5</f>
        <v>101191.54598535939</v>
      </c>
      <c r="AU14" s="71">
        <f>'[13]Initiative Level - LDC'!J111*1000</f>
        <v>202383.09197071879</v>
      </c>
      <c r="AV14" s="71">
        <f>'[13]Initiative Level - LDC'!K111*1000</f>
        <v>202383.09197071879</v>
      </c>
      <c r="AW14" s="71">
        <f>'[13]Initiative Level - LDC'!L111*1000</f>
        <v>202383.09197071879</v>
      </c>
      <c r="AX14" s="71">
        <f>'[13]Initiative Level - LDC'!M111*1000</f>
        <v>202383.09197071879</v>
      </c>
      <c r="AY14" s="71">
        <f>'[13]Initiative Level - LDC'!N111*1000</f>
        <v>202383.09197071879</v>
      </c>
      <c r="AZ14" s="71">
        <f>'[13]Initiative Level - LDC'!O111*1000</f>
        <v>202383.09197071879</v>
      </c>
      <c r="BA14" s="517">
        <f>'[13]Initiative Level - LDC'!P111*1000</f>
        <v>202383.09197071879</v>
      </c>
      <c r="BB14" s="517">
        <f>'[13]Initiative Level - LDC'!Q111*1000</f>
        <v>202383.09197071879</v>
      </c>
      <c r="BC14" s="517">
        <f>'[13]Initiative Level - LDC'!R111*1000</f>
        <v>202383.09197071879</v>
      </c>
      <c r="BF14" s="513" t="str">
        <f>'5. Static CDM Result by Program'!B49</f>
        <v>High Performance New Construction</v>
      </c>
      <c r="BG14" s="513" t="str">
        <f>'5. Static CDM Result by Program'!C49</f>
        <v>GS 50-999</v>
      </c>
      <c r="BH14" s="27"/>
      <c r="BJ14" s="27">
        <v>1</v>
      </c>
      <c r="BL14" s="514">
        <v>2011</v>
      </c>
      <c r="BM14" s="517">
        <f>'5. Static CDM Result by Program'!E49*0.5</f>
        <v>1363.2815000000001</v>
      </c>
      <c r="BN14" s="519">
        <f>+'[14]2011'!AS27</f>
        <v>2726.5629938465586</v>
      </c>
      <c r="BO14" s="519">
        <f>+'[14]2011'!AT27</f>
        <v>2726.5629938465586</v>
      </c>
      <c r="BP14" s="519">
        <f>+'[14]2011'!AU27</f>
        <v>2726.5629938465586</v>
      </c>
      <c r="BQ14" s="519">
        <f>+'[14]2011'!AV27</f>
        <v>2726.5629938465586</v>
      </c>
      <c r="BR14" s="519">
        <f>+'[14]2011'!AW27</f>
        <v>2726.5629938465586</v>
      </c>
      <c r="BS14" s="519">
        <f>+'[14]2011'!AX27</f>
        <v>2726.5629938465586</v>
      </c>
      <c r="BU14" s="70">
        <f>SUM(BM13:BP14)</f>
        <v>308150.99682433973</v>
      </c>
      <c r="BV14" s="70">
        <f>BU14-'5. Static CDM Result by Program'!Q53</f>
        <v>-44021.57117566024</v>
      </c>
    </row>
    <row r="15" spans="1:74" ht="15">
      <c r="A15" t="s">
        <v>5</v>
      </c>
      <c r="C15" s="60">
        <f>SUM(C3:C14)</f>
        <v>250717015.07948348</v>
      </c>
      <c r="D15" s="60"/>
      <c r="E15" s="60"/>
      <c r="I15" s="60">
        <f>SUM(I3:I14)</f>
        <v>85203849.525561675</v>
      </c>
      <c r="J15" s="60"/>
      <c r="K15" s="60"/>
      <c r="O15" s="60">
        <f>SUM(O3:O14)</f>
        <v>39452575.366489589</v>
      </c>
      <c r="P15" s="60"/>
      <c r="Q15" s="60"/>
      <c r="U15" s="60">
        <f>SUM(U3:U14)</f>
        <v>51505933.119156986</v>
      </c>
      <c r="V15" s="60"/>
      <c r="W15" s="60"/>
      <c r="AA15" s="60">
        <f>SUM(AA3:AA14)</f>
        <v>72616638.381938368</v>
      </c>
      <c r="AB15" s="60"/>
      <c r="AC15" s="60"/>
      <c r="AJ15">
        <v>22</v>
      </c>
      <c r="AK15" t="s">
        <v>101</v>
      </c>
      <c r="AL15" t="s">
        <v>86</v>
      </c>
      <c r="AM15" s="27">
        <v>1</v>
      </c>
      <c r="AQ15">
        <v>2008</v>
      </c>
      <c r="AR15" s="71">
        <f>'[13]Initiative Level - LDC'!G112*1000</f>
        <v>0</v>
      </c>
      <c r="AS15" s="71">
        <f>'[13]Initiative Level - LDC'!H112*1000</f>
        <v>0</v>
      </c>
      <c r="AT15" s="71">
        <f>'[13]Initiative Level - LDC'!I112*1000*0.5</f>
        <v>513673.47901891754</v>
      </c>
      <c r="AU15" s="71">
        <f>'[13]Initiative Level - LDC'!J112*1000</f>
        <v>1022877.8502854062</v>
      </c>
      <c r="AV15" s="71">
        <f>'[13]Initiative Level - LDC'!K112*1000</f>
        <v>1022877.8502854062</v>
      </c>
      <c r="AW15" s="71">
        <f>'[13]Initiative Level - LDC'!L112*1000</f>
        <v>1022877.8502854062</v>
      </c>
      <c r="AX15" s="71">
        <f>'[13]Initiative Level - LDC'!M112*1000</f>
        <v>868184.79677149886</v>
      </c>
      <c r="AY15" s="71">
        <f>'[13]Initiative Level - LDC'!N112*1000</f>
        <v>868184.79677149886</v>
      </c>
      <c r="AZ15" s="71">
        <f>'[13]Initiative Level - LDC'!O112*1000</f>
        <v>707098.90904116095</v>
      </c>
      <c r="BA15" s="517">
        <f>'[13]Initiative Level - LDC'!P112*1000</f>
        <v>586754.11016507423</v>
      </c>
      <c r="BB15" s="517">
        <f>'[13]Initiative Level - LDC'!Q112*1000</f>
        <v>370457.41603335878</v>
      </c>
      <c r="BC15" s="517">
        <f>'[13]Initiative Level - LDC'!R112*1000</f>
        <v>365735.50937175634</v>
      </c>
      <c r="BF15" s="513" t="str">
        <f>'5. Static CDM Result by Program'!B77</f>
        <v>Appliance Retirement</v>
      </c>
      <c r="BG15" s="513" t="str">
        <f>'5. Static CDM Result by Program'!C77</f>
        <v>RS</v>
      </c>
      <c r="BH15" s="27">
        <v>1</v>
      </c>
      <c r="BL15" s="515">
        <v>2011</v>
      </c>
      <c r="BM15" s="517">
        <f>'5. Static CDM Result by Program'!E77</f>
        <v>0</v>
      </c>
      <c r="BN15" s="519"/>
      <c r="BO15" s="519"/>
      <c r="BP15" s="519"/>
      <c r="BQ15" s="519"/>
      <c r="BR15" s="519"/>
      <c r="BS15" s="519"/>
    </row>
    <row r="16" spans="1:74" ht="15">
      <c r="C16" s="60">
        <f>C15-SUM($AR$69:$BC$69)</f>
        <v>0</v>
      </c>
      <c r="D16" s="60">
        <f>C15-I15-O15-U15-AA15</f>
        <v>1938018.686336875</v>
      </c>
      <c r="E16" s="60">
        <f>D16-SUM(BA68:BC68)</f>
        <v>7.7299773693084717E-8</v>
      </c>
      <c r="I16" s="60">
        <f>I15-SUM($AR$64:$BC$64)</f>
        <v>0</v>
      </c>
      <c r="O16" s="60">
        <f>O15-SUM($AR$65:$BC$65)</f>
        <v>0</v>
      </c>
      <c r="U16" s="60">
        <f>U15-SUM($AR$66:$BC$66)</f>
        <v>0</v>
      </c>
      <c r="AA16" s="60">
        <f>AA15-SUM($AR$67:$BC$67)</f>
        <v>0</v>
      </c>
      <c r="AJ16">
        <v>24</v>
      </c>
      <c r="AK16" t="s">
        <v>102</v>
      </c>
      <c r="AL16" t="s">
        <v>86</v>
      </c>
      <c r="AM16" s="27">
        <v>1</v>
      </c>
      <c r="AQ16">
        <v>2008</v>
      </c>
      <c r="AR16" s="71">
        <f>'[13]Initiative Level - LDC'!G114*1000</f>
        <v>0</v>
      </c>
      <c r="AS16" s="71">
        <f>'[13]Initiative Level - LDC'!H114*1000</f>
        <v>0</v>
      </c>
      <c r="AT16" s="71">
        <f>'[13]Initiative Level - LDC'!I114*1000*0.5</f>
        <v>485935.93612232769</v>
      </c>
      <c r="AU16" s="71">
        <f>'[13]Initiative Level - LDC'!J114*1000</f>
        <v>350703.22985059145</v>
      </c>
      <c r="AV16" s="71">
        <f>'[13]Initiative Level - LDC'!K114*1000</f>
        <v>350703.22985059145</v>
      </c>
      <c r="AW16" s="71">
        <f>'[13]Initiative Level - LDC'!L114*1000</f>
        <v>350703.22985059145</v>
      </c>
      <c r="AX16" s="71">
        <f>'[13]Initiative Level - LDC'!M114*1000</f>
        <v>350703.22985059145</v>
      </c>
      <c r="AY16" s="71">
        <f>'[13]Initiative Level - LDC'!N114*1000</f>
        <v>350703.22985059145</v>
      </c>
      <c r="AZ16" s="71">
        <f>'[13]Initiative Level - LDC'!O114*1000</f>
        <v>350703.22985059145</v>
      </c>
      <c r="BA16" s="517">
        <f>'[13]Initiative Level - LDC'!P114*1000</f>
        <v>350703.22985059145</v>
      </c>
      <c r="BB16" s="517">
        <f>'[13]Initiative Level - LDC'!Q114*1000</f>
        <v>192127.73701447042</v>
      </c>
      <c r="BC16" s="517">
        <f>'[13]Initiative Level - LDC'!R114*1000</f>
        <v>192127.73701447042</v>
      </c>
      <c r="BF16" s="513" t="str">
        <f>'5. Static CDM Result by Program'!B79</f>
        <v>HVAC Incentives</v>
      </c>
      <c r="BG16" s="513" t="str">
        <f>'5. Static CDM Result by Program'!C79</f>
        <v>RS</v>
      </c>
      <c r="BH16" s="27">
        <v>1</v>
      </c>
      <c r="BL16" s="515">
        <v>2011</v>
      </c>
      <c r="BM16" s="517">
        <f>'5. Static CDM Result by Program'!E79*0.5</f>
        <v>-36960.809500000003</v>
      </c>
      <c r="BN16" s="519">
        <f>+'[14]2012'!AS36</f>
        <v>-73921.61856742177</v>
      </c>
      <c r="BO16" s="519">
        <f>+'[14]2012'!AT36</f>
        <v>-73921.61856742177</v>
      </c>
      <c r="BP16" s="519">
        <f>+'[14]2012'!AU36</f>
        <v>-73921.61856742177</v>
      </c>
      <c r="BQ16" s="519">
        <f>+'[14]2012'!AV36</f>
        <v>-73921.61856742177</v>
      </c>
      <c r="BR16" s="519">
        <f>+'[14]2012'!AW36</f>
        <v>-73921.61856742177</v>
      </c>
      <c r="BS16" s="519">
        <f>+'[14]2012'!AX36</f>
        <v>-73921.61856742177</v>
      </c>
    </row>
    <row r="17" spans="1:78" ht="15">
      <c r="C17" s="60" t="s">
        <v>72</v>
      </c>
      <c r="I17" s="60" t="s">
        <v>72</v>
      </c>
      <c r="O17" s="60" t="s">
        <v>72</v>
      </c>
      <c r="U17" s="60" t="s">
        <v>72</v>
      </c>
      <c r="AA17" s="60" t="s">
        <v>72</v>
      </c>
      <c r="AJ17">
        <v>25</v>
      </c>
      <c r="AK17" t="s">
        <v>98</v>
      </c>
      <c r="AL17" t="s">
        <v>92</v>
      </c>
      <c r="AM17" s="27">
        <v>0</v>
      </c>
      <c r="AN17" s="27">
        <v>0.28000000000000003</v>
      </c>
      <c r="AO17" s="27">
        <v>0.72</v>
      </c>
      <c r="AQ17">
        <v>2008</v>
      </c>
      <c r="AR17" s="71">
        <f>'[13]Initiative Level - LDC'!G115*1000</f>
        <v>0</v>
      </c>
      <c r="AS17" s="71">
        <f>'[13]Initiative Level - LDC'!H115*1000</f>
        <v>0</v>
      </c>
      <c r="AT17" s="71">
        <f>'[13]Initiative Level - LDC'!I115*1000*0.5</f>
        <v>178686.34654120915</v>
      </c>
      <c r="AU17" s="71">
        <f>'[13]Initiative Level - LDC'!J115*1000</f>
        <v>357370.25250163663</v>
      </c>
      <c r="AV17" s="71">
        <f>'[13]Initiative Level - LDC'!K115*1000</f>
        <v>357370.25250163663</v>
      </c>
      <c r="AW17" s="71">
        <f>'[13]Initiative Level - LDC'!L115*1000</f>
        <v>357370.25250163663</v>
      </c>
      <c r="AX17" s="71">
        <f>'[13]Initiative Level - LDC'!M115*1000</f>
        <v>357370.25250163663</v>
      </c>
      <c r="AY17" s="71">
        <f>'[13]Initiative Level - LDC'!N115*1000</f>
        <v>357370.25250163663</v>
      </c>
      <c r="AZ17" s="71">
        <f>'[13]Initiative Level - LDC'!O115*1000</f>
        <v>357370.25250163663</v>
      </c>
      <c r="BA17" s="517">
        <f>'[13]Initiative Level - LDC'!P115*1000</f>
        <v>357370.25250163663</v>
      </c>
      <c r="BB17" s="517">
        <f>'[13]Initiative Level - LDC'!Q115*1000</f>
        <v>328218.9503620973</v>
      </c>
      <c r="BC17" s="517">
        <f>'[13]Initiative Level - LDC'!R115*1000</f>
        <v>328218.9503620973</v>
      </c>
      <c r="BF17" s="513" t="str">
        <f>'5. Static CDM Result by Program'!B80</f>
        <v>Conservation Instant Coupon Booklet</v>
      </c>
      <c r="BG17" s="513" t="str">
        <f>'5. Static CDM Result by Program'!C80</f>
        <v>RS</v>
      </c>
      <c r="BH17" s="27">
        <v>1</v>
      </c>
      <c r="BI17" s="27"/>
      <c r="BJ17" s="27"/>
      <c r="BL17" s="515">
        <v>2011</v>
      </c>
      <c r="BM17" s="517">
        <f>'5. Static CDM Result by Program'!E80*0.5</f>
        <v>1204.3515</v>
      </c>
      <c r="BN17" s="519">
        <f>+'[14]2012'!AS38</f>
        <v>2408.7029360796728</v>
      </c>
      <c r="BO17" s="519">
        <f>+'[14]2012'!AT38</f>
        <v>2408.7029360796728</v>
      </c>
      <c r="BP17" s="519">
        <f>+'[14]2012'!AU38</f>
        <v>2408.7029360796728</v>
      </c>
      <c r="BQ17" s="519">
        <f>+'[14]2012'!AV38</f>
        <v>2408.7029360796728</v>
      </c>
      <c r="BR17" s="519">
        <f>+'[14]2012'!AW38</f>
        <v>2200.7855748839243</v>
      </c>
      <c r="BS17" s="519">
        <f>+'[14]2012'!AX38</f>
        <v>1350.1629249336227</v>
      </c>
    </row>
    <row r="18" spans="1:78" ht="15">
      <c r="C18" s="60"/>
      <c r="I18" s="60"/>
      <c r="O18" s="60"/>
      <c r="U18" s="60"/>
      <c r="AA18" s="60"/>
      <c r="AJ18">
        <v>27</v>
      </c>
      <c r="AK18" t="s">
        <v>103</v>
      </c>
      <c r="AL18" t="s">
        <v>99</v>
      </c>
      <c r="AM18" s="27">
        <v>0</v>
      </c>
      <c r="AO18" s="27">
        <v>1</v>
      </c>
      <c r="AQ18">
        <v>2008</v>
      </c>
      <c r="AR18" s="71">
        <f>'[13]Initiative Level - LDC'!G117*1000</f>
        <v>0</v>
      </c>
      <c r="AS18" s="71">
        <f>'[13]Initiative Level - LDC'!H117*1000</f>
        <v>0</v>
      </c>
      <c r="AT18" s="71">
        <f>'[13]Initiative Level - LDC'!I117*1000*0.5</f>
        <v>1142.3929331114118</v>
      </c>
      <c r="AU18" s="71">
        <f>'[13]Initiative Level - LDC'!J117*1000</f>
        <v>2284.7858662228236</v>
      </c>
      <c r="AV18" s="71">
        <f>'[13]Initiative Level - LDC'!K117*1000</f>
        <v>2284.7858662228236</v>
      </c>
      <c r="AW18" s="71">
        <f>'[13]Initiative Level - LDC'!L117*1000</f>
        <v>2284.7858662228236</v>
      </c>
      <c r="AX18" s="71">
        <f>'[13]Initiative Level - LDC'!M117*1000</f>
        <v>2284.7858662228236</v>
      </c>
      <c r="AY18" s="71">
        <f>'[13]Initiative Level - LDC'!N117*1000</f>
        <v>2284.7858662228236</v>
      </c>
      <c r="AZ18" s="71">
        <f>'[13]Initiative Level - LDC'!O117*1000</f>
        <v>2284.7858662228236</v>
      </c>
      <c r="BA18" s="517">
        <f>'[13]Initiative Level - LDC'!P117*1000</f>
        <v>2284.7858662228236</v>
      </c>
      <c r="BB18" s="517">
        <f>'[13]Initiative Level - LDC'!Q117*1000</f>
        <v>2284.7858662228236</v>
      </c>
      <c r="BC18" s="517">
        <f>'[13]Initiative Level - LDC'!R117*1000</f>
        <v>2284.7858662228236</v>
      </c>
      <c r="BF18" s="513" t="str">
        <f>'5. Static CDM Result by Program'!B81</f>
        <v>Bi-Annual Retailer Event</v>
      </c>
      <c r="BG18" s="513" t="str">
        <f>'5. Static CDM Result by Program'!C81</f>
        <v>RS</v>
      </c>
      <c r="BH18" s="27">
        <v>1</v>
      </c>
      <c r="BJ18" s="27"/>
      <c r="BL18" s="515">
        <v>2011</v>
      </c>
      <c r="BM18" s="517">
        <f>'5. Static CDM Result by Program'!E81*0.5</f>
        <v>9539.3464999999997</v>
      </c>
      <c r="BN18" s="519">
        <f>+'[14]2012'!AS37</f>
        <v>19078.693181615501</v>
      </c>
      <c r="BO18" s="519">
        <f>+'[14]2012'!AT37</f>
        <v>19078.693181615501</v>
      </c>
      <c r="BP18" s="519">
        <f>+'[14]2012'!AU37</f>
        <v>19078.693181615501</v>
      </c>
      <c r="BQ18" s="519">
        <f>+'[14]2012'!AV37</f>
        <v>19078.693181615501</v>
      </c>
      <c r="BR18" s="519">
        <f>+'[14]2012'!AW37</f>
        <v>17337.0634616801</v>
      </c>
      <c r="BS18" s="519">
        <f>+'[14]2012'!AX37</f>
        <v>9360.092549684854</v>
      </c>
      <c r="BU18" s="70">
        <f>SUM(BM15:BP18)</f>
        <v>-183519.7788491798</v>
      </c>
      <c r="BV18" s="70">
        <f>BU18-'5. Static CDM Result by Program'!Q86</f>
        <v>89448.113150820252</v>
      </c>
    </row>
    <row r="19" spans="1:78" ht="15">
      <c r="A19" s="2">
        <v>38718</v>
      </c>
      <c r="B19" s="2"/>
      <c r="C19" s="60">
        <f>E3</f>
        <v>20809.682226219731</v>
      </c>
      <c r="I19" s="60">
        <f>K3</f>
        <v>20809.682226219731</v>
      </c>
      <c r="O19" s="60">
        <f>Q3</f>
        <v>0</v>
      </c>
      <c r="U19" s="60">
        <f>W3</f>
        <v>0</v>
      </c>
      <c r="AA19" s="60">
        <f>AC3</f>
        <v>0</v>
      </c>
      <c r="AJ19">
        <v>35</v>
      </c>
      <c r="AK19" t="s">
        <v>91</v>
      </c>
      <c r="AL19" t="s">
        <v>86</v>
      </c>
      <c r="AM19" s="27">
        <v>1</v>
      </c>
      <c r="AQ19">
        <v>2009</v>
      </c>
      <c r="AR19" s="71">
        <f>'[13]Initiative Level - LDC'!G125*1000</f>
        <v>0</v>
      </c>
      <c r="AS19" s="71">
        <f>'[13]Initiative Level - LDC'!H125*1000</f>
        <v>0</v>
      </c>
      <c r="AT19" s="71">
        <f>'[13]Initiative Level - LDC'!I125*1000</f>
        <v>0</v>
      </c>
      <c r="AU19" s="71">
        <f>'[13]Initiative Level - LDC'!J125*1000*0.5</f>
        <v>377262.96411811473</v>
      </c>
      <c r="AV19" s="71">
        <f>'[13]Initiative Level - LDC'!K125*1000</f>
        <v>754525.92823622946</v>
      </c>
      <c r="AW19" s="71">
        <f>'[13]Initiative Level - LDC'!L125*1000</f>
        <v>754525.92823622946</v>
      </c>
      <c r="AX19" s="71">
        <f>'[13]Initiative Level - LDC'!M125*1000</f>
        <v>753309.11574211658</v>
      </c>
      <c r="AY19" s="71">
        <f>'[13]Initiative Level - LDC'!N125*1000</f>
        <v>575607.77665463416</v>
      </c>
      <c r="AZ19" s="71">
        <f>'[13]Initiative Level - LDC'!O125*1000</f>
        <v>0</v>
      </c>
      <c r="BA19" s="517">
        <f>'[13]Initiative Level - LDC'!P125*1000</f>
        <v>0</v>
      </c>
      <c r="BB19" s="517">
        <f>'[13]Initiative Level - LDC'!Q125*1000</f>
        <v>0</v>
      </c>
      <c r="BC19" s="517">
        <f>'[13]Initiative Level - LDC'!R125*1000</f>
        <v>0</v>
      </c>
      <c r="BF19" s="513" t="str">
        <f>'5. Static CDM Result by Program'!B89</f>
        <v>Retrofit</v>
      </c>
      <c r="BG19" s="513" t="str">
        <f>'5. Static CDM Result by Program'!C89</f>
        <v>GS &lt; 50</v>
      </c>
      <c r="BH19" s="27"/>
      <c r="BI19" s="27">
        <v>1</v>
      </c>
      <c r="BL19" s="515">
        <v>2011</v>
      </c>
      <c r="BM19" s="517">
        <f>'5. Static CDM Result by Program'!E89*0.5</f>
        <v>3155.1688364239235</v>
      </c>
      <c r="BN19" s="519">
        <f>+'[14]2012'!AS60</f>
        <v>6309.9761936993</v>
      </c>
      <c r="BO19" s="519">
        <f>+'[14]2012'!AT60</f>
        <v>6309.9761936993</v>
      </c>
      <c r="BP19" s="519">
        <f>+'[14]2012'!AU60</f>
        <v>6309.9761936993</v>
      </c>
      <c r="BQ19" s="519">
        <f>+'[14]2012'!AV60</f>
        <v>6309.9761936993</v>
      </c>
      <c r="BR19" s="519">
        <f>+'[14]2012'!AW60</f>
        <v>6309.9761936993</v>
      </c>
      <c r="BS19" s="519">
        <f>+'[14]2012'!AX60</f>
        <v>5502.873928661872</v>
      </c>
    </row>
    <row r="20" spans="1:78" ht="15">
      <c r="A20" s="2">
        <v>38749</v>
      </c>
      <c r="B20" s="2"/>
      <c r="C20" s="60">
        <f>C19+E3</f>
        <v>41619.364452439462</v>
      </c>
      <c r="I20" s="60">
        <f>I19+K3</f>
        <v>41619.364452439462</v>
      </c>
      <c r="O20" s="60">
        <f>O19+Q3</f>
        <v>0</v>
      </c>
      <c r="U20" s="60">
        <f>U19+W3</f>
        <v>0</v>
      </c>
      <c r="AA20" s="60">
        <f>AA19+AC3</f>
        <v>0</v>
      </c>
      <c r="AJ20">
        <v>36</v>
      </c>
      <c r="AK20" t="s">
        <v>100</v>
      </c>
      <c r="AL20" t="s">
        <v>86</v>
      </c>
      <c r="AM20" s="27">
        <v>1</v>
      </c>
      <c r="AQ20">
        <v>2009</v>
      </c>
      <c r="AR20" s="71">
        <f>'[13]Initiative Level - LDC'!G126*1000</f>
        <v>0</v>
      </c>
      <c r="AS20" s="71">
        <f>'[13]Initiative Level - LDC'!H126*1000</f>
        <v>0</v>
      </c>
      <c r="AT20" s="71">
        <f>'[13]Initiative Level - LDC'!I126*1000</f>
        <v>0</v>
      </c>
      <c r="AU20" s="71">
        <f>'[13]Initiative Level - LDC'!J126*1000*0.5</f>
        <v>126885.73054090477</v>
      </c>
      <c r="AV20" s="71">
        <f>'[13]Initiative Level - LDC'!K126*1000</f>
        <v>253771.46108180954</v>
      </c>
      <c r="AW20" s="71">
        <f>'[13]Initiative Level - LDC'!L126*1000</f>
        <v>253771.46108180954</v>
      </c>
      <c r="AX20" s="71">
        <f>'[13]Initiative Level - LDC'!M126*1000</f>
        <v>252868.97155354352</v>
      </c>
      <c r="AY20" s="71">
        <f>'[13]Initiative Level - LDC'!N126*1000</f>
        <v>251571.15721532991</v>
      </c>
      <c r="AZ20" s="71">
        <f>'[13]Initiative Level - LDC'!O126*1000</f>
        <v>250044.15551587933</v>
      </c>
      <c r="BA20" s="517">
        <f>'[13]Initiative Level - LDC'!P126*1000</f>
        <v>250044.15551587933</v>
      </c>
      <c r="BB20" s="517">
        <f>'[13]Initiative Level - LDC'!Q126*1000</f>
        <v>250044.15551587933</v>
      </c>
      <c r="BC20" s="517">
        <f>'[13]Initiative Level - LDC'!R126*1000</f>
        <v>250044.15551587933</v>
      </c>
      <c r="BF20" s="513" t="str">
        <f>'5. Static CDM Result by Program'!B90</f>
        <v>Retrofit</v>
      </c>
      <c r="BG20" s="513" t="str">
        <f>'5. Static CDM Result by Program'!C90</f>
        <v>GS 50-999</v>
      </c>
      <c r="BH20" s="27"/>
      <c r="BJ20" s="27">
        <v>1</v>
      </c>
      <c r="BL20" s="515">
        <v>2011</v>
      </c>
      <c r="BM20" s="517">
        <f>'5. Static CDM Result by Program'!E90*0.5</f>
        <v>6479.4061203317833</v>
      </c>
      <c r="BN20" s="519">
        <f>+'[14]2012'!AS61</f>
        <v>12958.069912652329</v>
      </c>
      <c r="BO20" s="519">
        <f>+'[14]2012'!AT61</f>
        <v>12958.069912652329</v>
      </c>
      <c r="BP20" s="519">
        <f>+'[14]2012'!AU61</f>
        <v>12958.069912652329</v>
      </c>
      <c r="BQ20" s="519">
        <f>+'[14]2012'!AV61</f>
        <v>12958.069912652329</v>
      </c>
      <c r="BR20" s="519">
        <f>+'[14]2012'!AW61</f>
        <v>12958.069912652329</v>
      </c>
      <c r="BS20" s="519">
        <f>+'[14]2012'!AX61</f>
        <v>11300.617133756243</v>
      </c>
    </row>
    <row r="21" spans="1:78" ht="15">
      <c r="A21" s="2">
        <v>38777</v>
      </c>
      <c r="B21" s="2"/>
      <c r="C21" s="60">
        <f>C20+E3</f>
        <v>62429.046678659193</v>
      </c>
      <c r="I21" s="60">
        <f>I20+K3</f>
        <v>62429.046678659193</v>
      </c>
      <c r="O21" s="60">
        <f>O20+Q3</f>
        <v>0</v>
      </c>
      <c r="U21" s="60">
        <f>U20+W3</f>
        <v>0</v>
      </c>
      <c r="AA21" s="60">
        <f>AA20+AC3</f>
        <v>0</v>
      </c>
      <c r="AJ21">
        <v>37</v>
      </c>
      <c r="AK21" t="s">
        <v>101</v>
      </c>
      <c r="AL21" t="s">
        <v>86</v>
      </c>
      <c r="AM21" s="27">
        <v>1</v>
      </c>
      <c r="AQ21">
        <v>2009</v>
      </c>
      <c r="AR21" s="71">
        <f>'[13]Initiative Level - LDC'!G127*1000</f>
        <v>0</v>
      </c>
      <c r="AS21" s="71">
        <f>'[13]Initiative Level - LDC'!H127*1000</f>
        <v>0</v>
      </c>
      <c r="AT21" s="71">
        <f>'[13]Initiative Level - LDC'!I127*1000</f>
        <v>0</v>
      </c>
      <c r="AU21" s="71">
        <f>'[13]Initiative Level - LDC'!J127*1000*0.5</f>
        <v>220634.8948897722</v>
      </c>
      <c r="AV21" s="71">
        <f>'[13]Initiative Level - LDC'!K127*1000</f>
        <v>422959.13980731642</v>
      </c>
      <c r="AW21" s="71">
        <f>'[13]Initiative Level - LDC'!L127*1000</f>
        <v>422959.13980731642</v>
      </c>
      <c r="AX21" s="71">
        <f>'[13]Initiative Level - LDC'!M127*1000</f>
        <v>422933.28810947627</v>
      </c>
      <c r="AY21" s="71">
        <f>'[13]Initiative Level - LDC'!N127*1000</f>
        <v>420119.43022914539</v>
      </c>
      <c r="AZ21" s="71">
        <f>'[13]Initiative Level - LDC'!O127*1000</f>
        <v>403546.91692606825</v>
      </c>
      <c r="BA21" s="517">
        <f>'[13]Initiative Level - LDC'!P127*1000</f>
        <v>321287.36325140443</v>
      </c>
      <c r="BB21" s="517">
        <f>'[13]Initiative Level - LDC'!Q127*1000</f>
        <v>319492.51882401668</v>
      </c>
      <c r="BC21" s="517">
        <f>'[13]Initiative Level - LDC'!R127*1000</f>
        <v>204342.95038029717</v>
      </c>
      <c r="BF21" s="513" t="str">
        <f>'5. Static CDM Result by Program'!B91</f>
        <v>Retrofit</v>
      </c>
      <c r="BG21" s="513" t="str">
        <f>'5. Static CDM Result by Program'!C91</f>
        <v>GS &gt; 1000</v>
      </c>
      <c r="BH21" s="27"/>
      <c r="BK21" s="27">
        <v>1</v>
      </c>
      <c r="BL21" s="515">
        <v>2011</v>
      </c>
      <c r="BM21" s="517">
        <f>'5. Static CDM Result by Program'!E91*0.5</f>
        <v>1033.925043244315</v>
      </c>
      <c r="BN21" s="519">
        <f>+'[14]2012'!AS62</f>
        <v>2067.7316324965714</v>
      </c>
      <c r="BO21" s="519">
        <f>+'[14]2012'!AT62</f>
        <v>2067.7316324965714</v>
      </c>
      <c r="BP21" s="519">
        <f>+'[14]2012'!AU62</f>
        <v>2067.7316324965714</v>
      </c>
      <c r="BQ21" s="519">
        <f>+'[14]2012'!AV62</f>
        <v>2067.7316324965714</v>
      </c>
      <c r="BR21" s="519">
        <f>+'[14]2012'!AW62</f>
        <v>2067.7316324965714</v>
      </c>
      <c r="BS21" s="519">
        <f>+'[14]2012'!AX62</f>
        <v>1803.2503043825384</v>
      </c>
    </row>
    <row r="22" spans="1:78" ht="15">
      <c r="A22" s="2">
        <v>38808</v>
      </c>
      <c r="B22" s="2"/>
      <c r="C22" s="60">
        <f>C21+E3</f>
        <v>83238.728904878924</v>
      </c>
      <c r="I22" s="60">
        <f>I21+K3</f>
        <v>83238.728904878924</v>
      </c>
      <c r="O22" s="60">
        <f>O21+Q3</f>
        <v>0</v>
      </c>
      <c r="U22" s="60">
        <f>U21+W3</f>
        <v>0</v>
      </c>
      <c r="AA22" s="60">
        <f>AA21+AC3</f>
        <v>0</v>
      </c>
      <c r="AJ22">
        <v>39</v>
      </c>
      <c r="AK22" t="s">
        <v>98</v>
      </c>
      <c r="AL22" t="s">
        <v>92</v>
      </c>
      <c r="AM22" s="27">
        <v>0</v>
      </c>
      <c r="AN22" s="27">
        <v>0.28000000000000003</v>
      </c>
      <c r="AO22" s="27">
        <v>0.72</v>
      </c>
      <c r="AQ22">
        <v>2009</v>
      </c>
      <c r="AR22" s="71">
        <f>'[13]Initiative Level - LDC'!G129*1000</f>
        <v>0</v>
      </c>
      <c r="AS22" s="71">
        <f>'[13]Initiative Level - LDC'!H129*1000</f>
        <v>0</v>
      </c>
      <c r="AT22" s="71">
        <f>'[13]Initiative Level - LDC'!I129*1000</f>
        <v>0</v>
      </c>
      <c r="AU22" s="71">
        <f>'[13]Initiative Level - LDC'!J129*1000*0.5</f>
        <v>813409.09090909082</v>
      </c>
      <c r="AV22" s="71">
        <f>'[13]Initiative Level - LDC'!K129*1000</f>
        <v>1626818.1818181816</v>
      </c>
      <c r="AW22" s="71">
        <f>'[13]Initiative Level - LDC'!L129*1000</f>
        <v>1626818.1818181816</v>
      </c>
      <c r="AX22" s="71">
        <f>'[13]Initiative Level - LDC'!M129*1000</f>
        <v>1626818.1818181816</v>
      </c>
      <c r="AY22" s="71">
        <f>'[13]Initiative Level - LDC'!N129*1000</f>
        <v>1626818.1818181816</v>
      </c>
      <c r="AZ22" s="71">
        <f>'[13]Initiative Level - LDC'!O129*1000</f>
        <v>1626818.1818181816</v>
      </c>
      <c r="BA22" s="517">
        <f>'[13]Initiative Level - LDC'!P129*1000</f>
        <v>1626818.1818181816</v>
      </c>
      <c r="BB22" s="517">
        <f>'[13]Initiative Level - LDC'!Q129*1000</f>
        <v>1626818.1818181816</v>
      </c>
      <c r="BC22" s="517">
        <f>'[13]Initiative Level - LDC'!R129*1000</f>
        <v>1626818.1818181816</v>
      </c>
      <c r="BF22" s="513" t="str">
        <f>'5. Static CDM Result by Program'!B93</f>
        <v>Direct Install Lighting</v>
      </c>
      <c r="BG22" s="513" t="str">
        <f>'5. Static CDM Result by Program'!C93</f>
        <v>GS &lt; 50</v>
      </c>
      <c r="BI22" s="27">
        <v>1</v>
      </c>
      <c r="BL22" s="515">
        <v>2011</v>
      </c>
      <c r="BM22" s="517">
        <f>'[14]2014'!$AR$37*0.5</f>
        <v>1833.0609285</v>
      </c>
      <c r="BN22" s="519">
        <f>+'[14]2014'!AS37</f>
        <v>3666.1218570000001</v>
      </c>
      <c r="BO22" s="519">
        <f>+'[14]2014'!AT37</f>
        <v>3666.1218570000001</v>
      </c>
      <c r="BP22" s="519">
        <f>+'[14]2014'!AU37</f>
        <v>3666.1218570000001</v>
      </c>
      <c r="BQ22" s="519">
        <f>+'[14]2014'!AV37</f>
        <v>0</v>
      </c>
      <c r="BR22" s="519">
        <f>+'[14]2014'!AW37</f>
        <v>0</v>
      </c>
      <c r="BS22" s="519">
        <f>+'[14]2014'!AX37</f>
        <v>0</v>
      </c>
    </row>
    <row r="23" spans="1:78" ht="15">
      <c r="A23" s="2">
        <v>38838</v>
      </c>
      <c r="B23" s="2"/>
      <c r="C23" s="60">
        <f>C22+E3</f>
        <v>104048.41113109866</v>
      </c>
      <c r="I23" s="60">
        <f>I22+K3</f>
        <v>104048.41113109866</v>
      </c>
      <c r="O23" s="60">
        <f>O22+Q3</f>
        <v>0</v>
      </c>
      <c r="U23" s="60">
        <f>U22+W3</f>
        <v>0</v>
      </c>
      <c r="AA23" s="60">
        <f>AA22+AC3</f>
        <v>0</v>
      </c>
      <c r="AJ23">
        <v>41</v>
      </c>
      <c r="AK23" t="s">
        <v>103</v>
      </c>
      <c r="AL23" t="s">
        <v>99</v>
      </c>
      <c r="AM23" s="27">
        <v>0</v>
      </c>
      <c r="AO23" s="27">
        <v>1</v>
      </c>
      <c r="AQ23">
        <v>2009</v>
      </c>
      <c r="AR23" s="71">
        <f>'[13]Initiative Level - LDC'!G131*1000</f>
        <v>0</v>
      </c>
      <c r="AS23" s="71">
        <f>'[13]Initiative Level - LDC'!H131*1000</f>
        <v>0</v>
      </c>
      <c r="AT23" s="71">
        <f>'[13]Initiative Level - LDC'!I131*1000</f>
        <v>0</v>
      </c>
      <c r="AU23" s="71">
        <f>'[13]Initiative Level - LDC'!J131*1000*0.5</f>
        <v>35473.652721340171</v>
      </c>
      <c r="AV23" s="71">
        <f>'[13]Initiative Level - LDC'!K131*1000</f>
        <v>70947.305442680343</v>
      </c>
      <c r="AW23" s="71">
        <f>'[13]Initiative Level - LDC'!L131*1000</f>
        <v>70947.305442680343</v>
      </c>
      <c r="AX23" s="71">
        <f>'[13]Initiative Level - LDC'!M131*1000</f>
        <v>70947.305442680343</v>
      </c>
      <c r="AY23" s="71">
        <f>'[13]Initiative Level - LDC'!N131*1000</f>
        <v>70947.305442680343</v>
      </c>
      <c r="AZ23" s="71">
        <f>'[13]Initiative Level - LDC'!O131*1000</f>
        <v>70947.305442680343</v>
      </c>
      <c r="BA23" s="517">
        <f>'[13]Initiative Level - LDC'!P131*1000</f>
        <v>70947.305442680343</v>
      </c>
      <c r="BB23" s="517">
        <f>'[13]Initiative Level - LDC'!Q131*1000</f>
        <v>70947.305442680343</v>
      </c>
      <c r="BC23" s="517">
        <f>'[13]Initiative Level - LDC'!R131*1000</f>
        <v>70947.305442680343</v>
      </c>
      <c r="BF23" s="513" t="str">
        <f>'5. Static CDM Result by Program'!B96</f>
        <v>Energy Audit</v>
      </c>
      <c r="BG23" s="513" t="str">
        <f>'5. Static CDM Result by Program'!C96</f>
        <v>GS 50-999</v>
      </c>
      <c r="BH23" s="27"/>
      <c r="BI23" s="27"/>
      <c r="BJ23" s="27">
        <v>1</v>
      </c>
      <c r="BL23" s="515">
        <v>2011</v>
      </c>
      <c r="BM23" s="517">
        <f>'[14]2012'!$AR$34*0.5</f>
        <v>37764.381693844611</v>
      </c>
      <c r="BN23" s="519">
        <f>+'[14]2012'!AS34</f>
        <v>75528.763387689221</v>
      </c>
      <c r="BO23" s="519">
        <f>+'[14]2012'!AT34</f>
        <v>75528.763387689221</v>
      </c>
      <c r="BP23" s="519">
        <f>+'[14]2012'!AU34</f>
        <v>75528.763387689221</v>
      </c>
      <c r="BQ23" s="519">
        <f>+'[14]2012'!AV34</f>
        <v>75528.763387689221</v>
      </c>
      <c r="BR23" s="519">
        <f>+'[14]2012'!AW34</f>
        <v>0</v>
      </c>
      <c r="BS23" s="519">
        <f>+'[14]2012'!AX34</f>
        <v>0</v>
      </c>
      <c r="BU23" s="70">
        <f>SUM(BM19:BP23)</f>
        <v>351857.93157295696</v>
      </c>
      <c r="BV23" s="70">
        <f>BU23-'5. Static CDM Result by Program'!Q100</f>
        <v>12961.391572956811</v>
      </c>
      <c r="BW23" s="70">
        <f>BU7+BU11+BU12+BU14+BU18+BU23</f>
        <v>7593054.7913696459</v>
      </c>
      <c r="BX23" s="70">
        <f>BW23-'5. Static CDM Result by Program'!E579</f>
        <v>-1102785.3206303539</v>
      </c>
      <c r="BY23" s="70">
        <f>('5. Static CDM Result by Program'!E61+'5. Static CDM Result by Program'!E133)*0.5</f>
        <v>1102787.764</v>
      </c>
      <c r="BZ23" s="70">
        <f>BX23+BY23</f>
        <v>2.4433696460910141</v>
      </c>
    </row>
    <row r="24" spans="1:78" ht="15">
      <c r="A24" s="2">
        <v>38869</v>
      </c>
      <c r="B24" s="2"/>
      <c r="C24" s="60">
        <f>C23+E3</f>
        <v>124858.0933573184</v>
      </c>
      <c r="I24" s="60">
        <f>I23+K3</f>
        <v>124858.0933573184</v>
      </c>
      <c r="O24" s="60">
        <f>O23+Q3</f>
        <v>0</v>
      </c>
      <c r="U24" s="60">
        <f>U23+W3</f>
        <v>0</v>
      </c>
      <c r="AA24" s="60">
        <f>AA23+AC3</f>
        <v>0</v>
      </c>
      <c r="AJ24">
        <v>42</v>
      </c>
      <c r="AK24" t="s">
        <v>104</v>
      </c>
      <c r="AL24" t="s">
        <v>99</v>
      </c>
      <c r="AM24" s="27">
        <v>0</v>
      </c>
      <c r="AN24" s="27">
        <v>1</v>
      </c>
      <c r="AQ24">
        <v>2009</v>
      </c>
      <c r="AR24" s="71">
        <f>'[13]Initiative Level - LDC'!G132*1000</f>
        <v>0</v>
      </c>
      <c r="AS24" s="71">
        <f>'[13]Initiative Level - LDC'!H132*1000</f>
        <v>0</v>
      </c>
      <c r="AT24" s="71">
        <f>'[13]Initiative Level - LDC'!I132*1000</f>
        <v>0</v>
      </c>
      <c r="AU24" s="71">
        <f>'[13]Initiative Level - LDC'!J132*1000*0.5</f>
        <v>385546.04839451646</v>
      </c>
      <c r="AV24" s="71">
        <f>'[13]Initiative Level - LDC'!K132*1000</f>
        <v>771092.09678903292</v>
      </c>
      <c r="AW24" s="71">
        <f>'[13]Initiative Level - LDC'!L132*1000</f>
        <v>771092.09678903292</v>
      </c>
      <c r="AX24" s="71">
        <f>'[13]Initiative Level - LDC'!M132*1000</f>
        <v>771092.09678903292</v>
      </c>
      <c r="AY24" s="71">
        <f>'[13]Initiative Level - LDC'!N132*1000</f>
        <v>771092.09678903292</v>
      </c>
      <c r="AZ24" s="71">
        <f>'[13]Initiative Level - LDC'!O132*1000</f>
        <v>771092.09678903292</v>
      </c>
      <c r="BA24" s="517">
        <f>'[13]Initiative Level - LDC'!P132*1000</f>
        <v>771092.09678903292</v>
      </c>
      <c r="BB24" s="517">
        <f>'[13]Initiative Level - LDC'!Q132*1000</f>
        <v>771092.09678903292</v>
      </c>
      <c r="BC24" s="517">
        <f>'[13]Initiative Level - LDC'!R132*1000</f>
        <v>434293.2499157025</v>
      </c>
      <c r="BF24" s="513" t="str">
        <f>'5. Static CDM Result by Program'!B153</f>
        <v>Appliance Retirement</v>
      </c>
      <c r="BG24" s="513" t="str">
        <f>'5. Static CDM Result by Program'!C153</f>
        <v>RS</v>
      </c>
      <c r="BH24" s="27">
        <v>1</v>
      </c>
      <c r="BI24" s="27"/>
      <c r="BL24" s="515">
        <v>2012</v>
      </c>
      <c r="BM24" s="517"/>
      <c r="BN24" s="517">
        <f>'5. Static CDM Result by Program'!E153*0.5</f>
        <v>86865.348499999993</v>
      </c>
      <c r="BO24" s="517">
        <f>+'[14]2012'!AT27</f>
        <v>173730.69740103834</v>
      </c>
      <c r="BP24" s="517">
        <f>+'[14]2012'!AU27</f>
        <v>173730.69740103834</v>
      </c>
      <c r="BQ24" s="517">
        <f>+'[14]2012'!AV27</f>
        <v>173628.21234603837</v>
      </c>
      <c r="BR24" s="517">
        <f>+'[14]2012'!AW27</f>
        <v>107107.44552681581</v>
      </c>
      <c r="BS24" s="517">
        <f>+'[14]2012'!AX27</f>
        <v>0</v>
      </c>
      <c r="BU24" s="71"/>
    </row>
    <row r="25" spans="1:78" ht="15">
      <c r="A25" s="2">
        <v>38899</v>
      </c>
      <c r="B25" s="2"/>
      <c r="C25" s="60">
        <f>C24+E3</f>
        <v>145667.77558353814</v>
      </c>
      <c r="I25" s="60">
        <f>I24+K3</f>
        <v>145667.77558353814</v>
      </c>
      <c r="O25" s="60">
        <f>O24+Q3</f>
        <v>0</v>
      </c>
      <c r="U25" s="60">
        <f>U24+W3</f>
        <v>0</v>
      </c>
      <c r="AA25" s="60">
        <f>AA24+AC3</f>
        <v>0</v>
      </c>
      <c r="AJ25">
        <v>44</v>
      </c>
      <c r="AK25" t="s">
        <v>89</v>
      </c>
      <c r="AL25" t="s">
        <v>90</v>
      </c>
      <c r="AM25" s="27">
        <v>0</v>
      </c>
      <c r="AO25" s="27">
        <v>1</v>
      </c>
      <c r="AQ25">
        <v>2009</v>
      </c>
      <c r="AR25" s="71">
        <f>'[13]Initiative Level - LDC'!G134*1000</f>
        <v>0</v>
      </c>
      <c r="AS25" s="71">
        <f>'[13]Initiative Level - LDC'!H134*1000</f>
        <v>0</v>
      </c>
      <c r="AT25" s="71">
        <f>'[13]Initiative Level - LDC'!I134*1000</f>
        <v>0</v>
      </c>
      <c r="AU25" s="71">
        <f>'[13]Initiative Level - LDC'!J134*1000*0.5</f>
        <v>30866.174650746863</v>
      </c>
      <c r="AV25" s="71">
        <f>'[13]Initiative Level - LDC'!K134*1000</f>
        <v>0</v>
      </c>
      <c r="AW25" s="71">
        <f>'[13]Initiative Level - LDC'!L134*1000</f>
        <v>0</v>
      </c>
      <c r="AX25" s="71">
        <f>'[13]Initiative Level - LDC'!M134*1000</f>
        <v>0</v>
      </c>
      <c r="AY25" s="71">
        <f>'[13]Initiative Level - LDC'!N134*1000</f>
        <v>0</v>
      </c>
      <c r="AZ25" s="71">
        <f>'[13]Initiative Level - LDC'!O134*1000</f>
        <v>0</v>
      </c>
      <c r="BA25" s="517">
        <f>'[13]Initiative Level - LDC'!P134*1000</f>
        <v>0</v>
      </c>
      <c r="BB25" s="517">
        <f>'[13]Initiative Level - LDC'!Q134*1000</f>
        <v>0</v>
      </c>
      <c r="BC25" s="517">
        <f>'[13]Initiative Level - LDC'!R134*1000</f>
        <v>0</v>
      </c>
      <c r="BF25" s="513" t="str">
        <f>'5. Static CDM Result by Program'!B154</f>
        <v>Appliance Exchange</v>
      </c>
      <c r="BG25" s="513" t="str">
        <f>'5. Static CDM Result by Program'!C154</f>
        <v>RS</v>
      </c>
      <c r="BH25" s="27">
        <v>1</v>
      </c>
      <c r="BJ25" s="27"/>
      <c r="BL25" s="515">
        <v>2012</v>
      </c>
      <c r="BM25" s="517"/>
      <c r="BN25" s="517">
        <f>'5. Static CDM Result by Program'!E154*0.5</f>
        <v>5985.5990000000002</v>
      </c>
      <c r="BO25" s="517">
        <f>+'[14]2012'!AT26</f>
        <v>11971.198425996685</v>
      </c>
      <c r="BP25" s="517">
        <f>+'[14]2012'!AU26</f>
        <v>11971.198425996685</v>
      </c>
      <c r="BQ25" s="517">
        <f>+'[14]2012'!AV26</f>
        <v>11954.586471888253</v>
      </c>
      <c r="BR25" s="517">
        <f>+'[14]2012'!AW26</f>
        <v>0</v>
      </c>
      <c r="BS25" s="517">
        <f>+'[14]2012'!AX26</f>
        <v>0</v>
      </c>
      <c r="BU25" s="71"/>
    </row>
    <row r="26" spans="1:78" ht="15">
      <c r="A26" s="2">
        <v>38930</v>
      </c>
      <c r="B26" s="2"/>
      <c r="C26" s="60">
        <f>C25+E3</f>
        <v>166477.45780975788</v>
      </c>
      <c r="I26" s="60">
        <f>I25+K3</f>
        <v>166477.45780975788</v>
      </c>
      <c r="O26" s="60">
        <f>O25+Q3</f>
        <v>0</v>
      </c>
      <c r="U26" s="60">
        <f>U25+W3</f>
        <v>0</v>
      </c>
      <c r="AA26" s="60">
        <f>AA25+AC3</f>
        <v>0</v>
      </c>
      <c r="AJ26">
        <v>45</v>
      </c>
      <c r="AK26" t="s">
        <v>108</v>
      </c>
      <c r="AL26" t="s">
        <v>90</v>
      </c>
      <c r="AM26" s="27">
        <v>0</v>
      </c>
      <c r="AO26" s="27">
        <v>1</v>
      </c>
      <c r="AQ26">
        <v>2009</v>
      </c>
      <c r="AR26" s="71">
        <f>'[13]Initiative Level - LDC'!G135*1000</f>
        <v>0</v>
      </c>
      <c r="AS26" s="71">
        <f>'[13]Initiative Level - LDC'!H135*1000</f>
        <v>0</v>
      </c>
      <c r="AT26" s="71">
        <f>'[13]Initiative Level - LDC'!I135*1000</f>
        <v>0</v>
      </c>
      <c r="AU26" s="71">
        <f>'[13]Initiative Level - LDC'!J135*1000*0.5</f>
        <v>293829.9482986682</v>
      </c>
      <c r="AV26" s="71">
        <f>'[13]Initiative Level - LDC'!K135*1000</f>
        <v>0</v>
      </c>
      <c r="AW26" s="71">
        <f>'[13]Initiative Level - LDC'!L135*1000</f>
        <v>0</v>
      </c>
      <c r="AX26" s="71">
        <f>'[13]Initiative Level - LDC'!M135*1000</f>
        <v>0</v>
      </c>
      <c r="AY26" s="71">
        <f>'[13]Initiative Level - LDC'!N135*1000</f>
        <v>0</v>
      </c>
      <c r="AZ26" s="71">
        <f>'[13]Initiative Level - LDC'!O135*1000</f>
        <v>0</v>
      </c>
      <c r="BA26" s="517">
        <f>'[13]Initiative Level - LDC'!P135*1000</f>
        <v>0</v>
      </c>
      <c r="BB26" s="517">
        <f>'[13]Initiative Level - LDC'!Q135*1000</f>
        <v>0</v>
      </c>
      <c r="BC26" s="517">
        <f>'[13]Initiative Level - LDC'!R135*1000</f>
        <v>0</v>
      </c>
      <c r="BF26" s="513" t="str">
        <f>'5. Static CDM Result by Program'!B155</f>
        <v>HVAC Incentives</v>
      </c>
      <c r="BG26" s="513" t="str">
        <f>'5. Static CDM Result by Program'!C155</f>
        <v>RS</v>
      </c>
      <c r="BH26" s="27">
        <v>1</v>
      </c>
      <c r="BJ26" s="27"/>
      <c r="BL26" s="515">
        <v>2012</v>
      </c>
      <c r="BM26" s="517"/>
      <c r="BN26" s="517">
        <f>'5. Static CDM Result by Program'!E155*0.5</f>
        <v>75986.223499999993</v>
      </c>
      <c r="BO26" s="517">
        <f>+'[14]2012'!AT30</f>
        <v>151972.44716716939</v>
      </c>
      <c r="BP26" s="517">
        <f>+'[14]2012'!AU30</f>
        <v>151972.44716716939</v>
      </c>
      <c r="BQ26" s="517">
        <f>+'[14]2012'!AV30</f>
        <v>151972.44716716939</v>
      </c>
      <c r="BR26" s="517">
        <f>+'[14]2012'!AW30</f>
        <v>151972.44716716939</v>
      </c>
      <c r="BS26" s="517">
        <f>+'[14]2012'!AX30</f>
        <v>151972.44716716939</v>
      </c>
      <c r="BU26" s="71"/>
    </row>
    <row r="27" spans="1:78" ht="15">
      <c r="A27" s="2">
        <v>38961</v>
      </c>
      <c r="B27" s="2"/>
      <c r="C27" s="60">
        <f>C26+E3</f>
        <v>187287.14003597762</v>
      </c>
      <c r="I27" s="60">
        <f>I26+K3</f>
        <v>187287.14003597762</v>
      </c>
      <c r="O27" s="60">
        <f>O26+Q3</f>
        <v>0</v>
      </c>
      <c r="U27" s="60">
        <f>U26+W3</f>
        <v>0</v>
      </c>
      <c r="AA27" s="60">
        <f>AA26+AC3</f>
        <v>0</v>
      </c>
      <c r="AJ27">
        <v>46</v>
      </c>
      <c r="AK27" t="s">
        <v>105</v>
      </c>
      <c r="AL27" t="s">
        <v>90</v>
      </c>
      <c r="AM27" s="27">
        <v>0</v>
      </c>
      <c r="AP27" s="27">
        <v>1</v>
      </c>
      <c r="AQ27">
        <v>2009</v>
      </c>
      <c r="AR27" s="71">
        <f>'[13]Initiative Level - LDC'!G136*1000</f>
        <v>0</v>
      </c>
      <c r="AS27" s="71">
        <f>'[13]Initiative Level - LDC'!H136*1000</f>
        <v>0</v>
      </c>
      <c r="AT27" s="71">
        <f>'[13]Initiative Level - LDC'!I136*1000</f>
        <v>0</v>
      </c>
      <c r="AU27" s="71">
        <f>'[13]Initiative Level - LDC'!J136*1000*0.5</f>
        <v>5612.0317546812485</v>
      </c>
      <c r="AV27" s="71">
        <f>'[13]Initiative Level - LDC'!K136*1000</f>
        <v>0</v>
      </c>
      <c r="AW27" s="71">
        <f>'[13]Initiative Level - LDC'!L136*1000</f>
        <v>0</v>
      </c>
      <c r="AX27" s="71">
        <f>'[13]Initiative Level - LDC'!M136*1000</f>
        <v>0</v>
      </c>
      <c r="AY27" s="71">
        <f>'[13]Initiative Level - LDC'!N136*1000</f>
        <v>0</v>
      </c>
      <c r="AZ27" s="71">
        <f>'[13]Initiative Level - LDC'!O136*1000</f>
        <v>0</v>
      </c>
      <c r="BA27" s="517">
        <f>'[13]Initiative Level - LDC'!P136*1000</f>
        <v>0</v>
      </c>
      <c r="BB27" s="517">
        <f>'[13]Initiative Level - LDC'!Q136*1000</f>
        <v>0</v>
      </c>
      <c r="BC27" s="517">
        <f>'[13]Initiative Level - LDC'!R136*1000</f>
        <v>0</v>
      </c>
      <c r="BF27" s="513" t="str">
        <f>'5. Static CDM Result by Program'!B156</f>
        <v>Conservation Instant Coupon Booklet</v>
      </c>
      <c r="BG27" s="513" t="str">
        <f>'5. Static CDM Result by Program'!C156</f>
        <v>RS</v>
      </c>
      <c r="BH27" s="27">
        <v>1</v>
      </c>
      <c r="BK27" s="27"/>
      <c r="BL27" s="515">
        <v>2012</v>
      </c>
      <c r="BM27" s="517"/>
      <c r="BN27" s="517">
        <f>'5. Static CDM Result by Program'!E156*0.5</f>
        <v>6108.8159999999998</v>
      </c>
      <c r="BO27" s="517">
        <f>+'[14]2012'!AT29</f>
        <v>12217.631634725787</v>
      </c>
      <c r="BP27" s="517">
        <f>+'[14]2012'!AU29</f>
        <v>12217.631634725787</v>
      </c>
      <c r="BQ27" s="517">
        <f>+'[14]2012'!AV29</f>
        <v>12217.631634725787</v>
      </c>
      <c r="BR27" s="517">
        <f>+'[14]2012'!AW29</f>
        <v>12034.080174996086</v>
      </c>
      <c r="BS27" s="517">
        <f>+'[14]2012'!AX29</f>
        <v>12034.080174996086</v>
      </c>
      <c r="BU27" s="71"/>
    </row>
    <row r="28" spans="1:78" ht="15">
      <c r="A28" s="2">
        <v>38991</v>
      </c>
      <c r="B28" s="2"/>
      <c r="C28" s="60">
        <f>C27+E3</f>
        <v>208096.82226219735</v>
      </c>
      <c r="I28" s="60">
        <f>I27+K3</f>
        <v>208096.82226219735</v>
      </c>
      <c r="O28" s="60">
        <f>O27+Q3</f>
        <v>0</v>
      </c>
      <c r="U28" s="60">
        <f>U27+W3</f>
        <v>0</v>
      </c>
      <c r="AA28" s="60">
        <f>AA27+AC3</f>
        <v>0</v>
      </c>
      <c r="AJ28">
        <v>48</v>
      </c>
      <c r="AK28" t="s">
        <v>109</v>
      </c>
      <c r="AL28" t="s">
        <v>86</v>
      </c>
      <c r="AM28" s="27">
        <v>1</v>
      </c>
      <c r="AQ28">
        <v>2009</v>
      </c>
      <c r="AR28" s="71">
        <f>'[13]Initiative Level - LDC'!G138*1000</f>
        <v>0</v>
      </c>
      <c r="AS28" s="71">
        <f>'[13]Initiative Level - LDC'!H138*1000</f>
        <v>0</v>
      </c>
      <c r="AT28" s="71">
        <f>'[13]Initiative Level - LDC'!I138*1000</f>
        <v>0</v>
      </c>
      <c r="AU28" s="71">
        <f>'[13]Initiative Level - LDC'!J138*1000*0.5</f>
        <v>17950</v>
      </c>
      <c r="AV28" s="71">
        <f>'[13]Initiative Level - LDC'!K138*1000</f>
        <v>0</v>
      </c>
      <c r="AW28" s="71">
        <f>'[13]Initiative Level - LDC'!L138*1000</f>
        <v>0</v>
      </c>
      <c r="AX28" s="71">
        <f>'[13]Initiative Level - LDC'!M138*1000</f>
        <v>0</v>
      </c>
      <c r="AY28" s="71">
        <f>'[13]Initiative Level - LDC'!N138*1000</f>
        <v>0</v>
      </c>
      <c r="AZ28" s="71">
        <f>'[13]Initiative Level - LDC'!O138*1000</f>
        <v>0</v>
      </c>
      <c r="BA28" s="517">
        <f>'[13]Initiative Level - LDC'!P138*1000</f>
        <v>0</v>
      </c>
      <c r="BB28" s="517">
        <f>'[13]Initiative Level - LDC'!Q138*1000</f>
        <v>0</v>
      </c>
      <c r="BC28" s="517">
        <f>'[13]Initiative Level - LDC'!R138*1000</f>
        <v>0</v>
      </c>
      <c r="BF28" s="513" t="str">
        <f>'5. Static CDM Result by Program'!B157</f>
        <v>Bi-Annual Retailer Event</v>
      </c>
      <c r="BG28" s="513" t="str">
        <f>'5. Static CDM Result by Program'!C157</f>
        <v>RS</v>
      </c>
      <c r="BH28" s="27">
        <v>1</v>
      </c>
      <c r="BL28" s="515">
        <v>2012</v>
      </c>
      <c r="BM28" s="517"/>
      <c r="BN28" s="517">
        <f>'5. Static CDM Result by Program'!E157*0.5</f>
        <v>117010.5125</v>
      </c>
      <c r="BO28" s="517">
        <f>+'[14]2012'!AT28</f>
        <v>234021.02487097622</v>
      </c>
      <c r="BP28" s="517">
        <f>+'[14]2012'!AU28</f>
        <v>234021.02487097622</v>
      </c>
      <c r="BQ28" s="517">
        <f>+'[14]2012'!AV28</f>
        <v>234021.02487097622</v>
      </c>
      <c r="BR28" s="517">
        <f>+'[14]2012'!AW28</f>
        <v>210370.01398197483</v>
      </c>
      <c r="BS28" s="517">
        <f>+'[14]2012'!AX28</f>
        <v>171060.86939158515</v>
      </c>
      <c r="BU28" s="71">
        <f>SUM(BN24:BP28)</f>
        <v>1459782.498499813</v>
      </c>
      <c r="BV28" s="70">
        <f>BU28-'5. Static CDM Result by Program'!Q162</f>
        <v>-291956.49850018695</v>
      </c>
    </row>
    <row r="29" spans="1:78" ht="15">
      <c r="A29" s="2">
        <v>39022</v>
      </c>
      <c r="B29" s="2"/>
      <c r="C29" s="60">
        <f>C28+E3</f>
        <v>228906.50448841709</v>
      </c>
      <c r="D29" s="213" t="s">
        <v>60</v>
      </c>
      <c r="I29" s="60">
        <f>I28+K3</f>
        <v>228906.50448841709</v>
      </c>
      <c r="J29" s="213" t="s">
        <v>60</v>
      </c>
      <c r="O29" s="60">
        <f>O28+Q3</f>
        <v>0</v>
      </c>
      <c r="P29" s="213" t="s">
        <v>60</v>
      </c>
      <c r="U29" s="60">
        <f>U28+W3</f>
        <v>0</v>
      </c>
      <c r="V29" s="213" t="s">
        <v>60</v>
      </c>
      <c r="AA29" s="60">
        <f>AA28+AC3</f>
        <v>0</v>
      </c>
      <c r="AB29" s="213" t="s">
        <v>60</v>
      </c>
      <c r="AJ29">
        <v>53</v>
      </c>
      <c r="AK29" t="s">
        <v>91</v>
      </c>
      <c r="AL29" t="s">
        <v>86</v>
      </c>
      <c r="AM29" s="27">
        <v>1</v>
      </c>
      <c r="AQ29">
        <v>2010</v>
      </c>
      <c r="AR29" s="71">
        <f>'[13]Initiative Level - LDC'!G143*1000</f>
        <v>0</v>
      </c>
      <c r="AS29" s="71">
        <f>'[13]Initiative Level - LDC'!H143*1000</f>
        <v>0</v>
      </c>
      <c r="AT29" s="71">
        <f>'[13]Initiative Level - LDC'!I143*1000</f>
        <v>0</v>
      </c>
      <c r="AU29" s="71">
        <f>'[13]Initiative Level - LDC'!J143*1000</f>
        <v>0</v>
      </c>
      <c r="AV29" s="71">
        <f>'[13]Initiative Level - LDC'!K143*1000*0.5</f>
        <v>291164.12048880087</v>
      </c>
      <c r="AW29" s="71">
        <f>'[13]Initiative Level - LDC'!L143*1000</f>
        <v>582328.24097760173</v>
      </c>
      <c r="AX29" s="71">
        <f>'[13]Initiative Level - LDC'!M143*1000</f>
        <v>582328.24097760173</v>
      </c>
      <c r="AY29" s="71">
        <f>'[13]Initiative Level - LDC'!N143*1000</f>
        <v>580178.31161520293</v>
      </c>
      <c r="AZ29" s="71">
        <f>'[13]Initiative Level - LDC'!O143*1000</f>
        <v>468203.75986560137</v>
      </c>
      <c r="BA29" s="517">
        <f>'[13]Initiative Level - LDC'!P143*1000</f>
        <v>0</v>
      </c>
      <c r="BB29" s="517">
        <f>'[13]Initiative Level - LDC'!Q143*1000</f>
        <v>0</v>
      </c>
      <c r="BC29" s="517">
        <f>'[13]Initiative Level - LDC'!R143*1000</f>
        <v>0</v>
      </c>
      <c r="BF29" s="513" t="str">
        <f>'5. Static CDM Result by Program'!B165</f>
        <v>Retrofit</v>
      </c>
      <c r="BG29" s="513" t="str">
        <f>'5. Static CDM Result by Program'!C165</f>
        <v>GS &lt; 50</v>
      </c>
      <c r="BH29" s="27"/>
      <c r="BI29" s="27">
        <v>1</v>
      </c>
      <c r="BL29" s="515">
        <v>2012</v>
      </c>
      <c r="BM29" s="517"/>
      <c r="BN29" s="517">
        <f>'5. Static CDM Result by Program'!E165*0.5</f>
        <v>201997</v>
      </c>
      <c r="BO29" s="517">
        <f>+'[14]2012'!AT50</f>
        <v>403993.88372434629</v>
      </c>
      <c r="BP29" s="517">
        <f>+'[14]2012'!AU50</f>
        <v>403388.56005087082</v>
      </c>
      <c r="BQ29" s="517">
        <f>+'[14]2012'!AV50</f>
        <v>396960.99083658255</v>
      </c>
      <c r="BR29" s="517">
        <f>+'[14]2012'!AW50</f>
        <v>396960.99083658255</v>
      </c>
      <c r="BS29" s="517">
        <f>+'[14]2012'!AX50</f>
        <v>348837.86218680826</v>
      </c>
      <c r="BT29" s="71"/>
    </row>
    <row r="30" spans="1:78" ht="15">
      <c r="A30" s="2">
        <v>39052</v>
      </c>
      <c r="B30" s="2"/>
      <c r="C30" s="60">
        <f>C29+E3</f>
        <v>249716.18671463683</v>
      </c>
      <c r="D30" s="60">
        <f>SUM(C19:C30)</f>
        <v>1623155.2136451395</v>
      </c>
      <c r="E30" s="60">
        <f>C30*12</f>
        <v>2996594.2405756419</v>
      </c>
      <c r="I30" s="60">
        <f>I29+K3</f>
        <v>249716.18671463683</v>
      </c>
      <c r="J30" s="60">
        <f>SUM(I19:I30)</f>
        <v>1623155.2136451395</v>
      </c>
      <c r="K30" s="60">
        <f>I30*12</f>
        <v>2996594.2405756419</v>
      </c>
      <c r="O30" s="60">
        <f>O29+Q3</f>
        <v>0</v>
      </c>
      <c r="P30" s="60">
        <f>SUM(O19:O30)</f>
        <v>0</v>
      </c>
      <c r="Q30" s="60">
        <f>O30*12</f>
        <v>0</v>
      </c>
      <c r="U30" s="60">
        <f>U29+W3</f>
        <v>0</v>
      </c>
      <c r="V30" s="60">
        <f>SUM(U19:U30)</f>
        <v>0</v>
      </c>
      <c r="W30" s="60">
        <f>U30*12</f>
        <v>0</v>
      </c>
      <c r="AA30" s="60">
        <f>AA29+AC3</f>
        <v>0</v>
      </c>
      <c r="AB30" s="60">
        <f>SUM(AA19:AA30)</f>
        <v>0</v>
      </c>
      <c r="AC30" s="60">
        <f>AA30*12</f>
        <v>0</v>
      </c>
      <c r="AJ30">
        <v>54</v>
      </c>
      <c r="AK30" t="s">
        <v>100</v>
      </c>
      <c r="AL30" t="s">
        <v>86</v>
      </c>
      <c r="AM30" s="27">
        <v>1</v>
      </c>
      <c r="AQ30">
        <v>2010</v>
      </c>
      <c r="AR30" s="71">
        <f>'[13]Initiative Level - LDC'!G144*1000</f>
        <v>0</v>
      </c>
      <c r="AS30" s="71">
        <f>'[13]Initiative Level - LDC'!H144*1000</f>
        <v>0</v>
      </c>
      <c r="AT30" s="71">
        <f>'[13]Initiative Level - LDC'!I144*1000</f>
        <v>0</v>
      </c>
      <c r="AU30" s="71">
        <f>'[13]Initiative Level - LDC'!J144*1000</f>
        <v>0</v>
      </c>
      <c r="AV30" s="71">
        <f>'[13]Initiative Level - LDC'!K144*1000*0.5</f>
        <v>56936.76690712526</v>
      </c>
      <c r="AW30" s="71">
        <f>'[13]Initiative Level - LDC'!L144*1000</f>
        <v>113873.53381425052</v>
      </c>
      <c r="AX30" s="71">
        <f>'[13]Initiative Level - LDC'!M144*1000</f>
        <v>113873.53381425052</v>
      </c>
      <c r="AY30" s="71">
        <f>'[13]Initiative Level - LDC'!N144*1000</f>
        <v>113873.53381425052</v>
      </c>
      <c r="AZ30" s="71">
        <f>'[13]Initiative Level - LDC'!O144*1000</f>
        <v>113873.53381425052</v>
      </c>
      <c r="BA30" s="517">
        <f>'[13]Initiative Level - LDC'!P144*1000</f>
        <v>113873.53381425052</v>
      </c>
      <c r="BB30" s="517">
        <f>'[13]Initiative Level - LDC'!Q144*1000</f>
        <v>113873.53381425052</v>
      </c>
      <c r="BC30" s="517">
        <f>'[13]Initiative Level - LDC'!R144*1000</f>
        <v>113873.53381425052</v>
      </c>
      <c r="BF30" s="513" t="str">
        <f>'5. Static CDM Result by Program'!B166</f>
        <v>Retrofit</v>
      </c>
      <c r="BG30" s="513" t="str">
        <f>'5. Static CDM Result by Program'!C166</f>
        <v>GS 50-999</v>
      </c>
      <c r="BH30" s="27"/>
      <c r="BJ30" s="27">
        <v>1</v>
      </c>
      <c r="BL30" s="515">
        <v>2012</v>
      </c>
      <c r="BM30" s="517"/>
      <c r="BN30" s="517">
        <f>'5. Static CDM Result by Program'!E166*0.5</f>
        <v>415206</v>
      </c>
      <c r="BO30" s="517">
        <f>+'[14]2012'!AT51</f>
        <v>830411.76099472237</v>
      </c>
      <c r="BP30" s="517">
        <f>+'[14]2012'!AU51</f>
        <v>829167.51468824723</v>
      </c>
      <c r="BQ30" s="517">
        <f>+'[14]2012'!AV51</f>
        <v>815955.60905010521</v>
      </c>
      <c r="BR30" s="517">
        <f>+'[14]2012'!AW51</f>
        <v>815955.60905010521</v>
      </c>
      <c r="BS30" s="517">
        <f>+'[14]2012'!AX51</f>
        <v>717038.24020721053</v>
      </c>
      <c r="BT30" s="71"/>
    </row>
    <row r="31" spans="1:78" ht="15">
      <c r="A31" s="2">
        <v>39083</v>
      </c>
      <c r="B31" s="2"/>
      <c r="C31" s="60">
        <f>C30+E4</f>
        <v>270864.72934878524</v>
      </c>
      <c r="I31" s="60">
        <f>I30+K4</f>
        <v>270864.72934878524</v>
      </c>
      <c r="O31" s="60">
        <f>O30+Q4</f>
        <v>0</v>
      </c>
      <c r="U31" s="60">
        <f>U30+W4</f>
        <v>0</v>
      </c>
      <c r="AA31" s="60">
        <f>AA30+AC4</f>
        <v>0</v>
      </c>
      <c r="AJ31">
        <v>55</v>
      </c>
      <c r="AK31" t="s">
        <v>101</v>
      </c>
      <c r="AL31" t="s">
        <v>86</v>
      </c>
      <c r="AM31" s="27">
        <v>1</v>
      </c>
      <c r="AQ31">
        <v>2010</v>
      </c>
      <c r="AR31" s="71">
        <f>'[13]Initiative Level - LDC'!G145*1000</f>
        <v>0</v>
      </c>
      <c r="AS31" s="71">
        <f>'[13]Initiative Level - LDC'!H145*1000</f>
        <v>0</v>
      </c>
      <c r="AT31" s="71">
        <f>'[13]Initiative Level - LDC'!I145*1000</f>
        <v>0</v>
      </c>
      <c r="AU31" s="71">
        <f>'[13]Initiative Level - LDC'!J145*1000</f>
        <v>0</v>
      </c>
      <c r="AV31" s="71">
        <f>'[13]Initiative Level - LDC'!K145*1000*0.5</f>
        <v>78844.230158789753</v>
      </c>
      <c r="AW31" s="71">
        <f>'[13]Initiative Level - LDC'!L145*1000</f>
        <v>138596.42949490619</v>
      </c>
      <c r="AX31" s="71">
        <f>'[13]Initiative Level - LDC'!M145*1000</f>
        <v>134185.4741163096</v>
      </c>
      <c r="AY31" s="71">
        <f>'[13]Initiative Level - LDC'!N145*1000</f>
        <v>134185.4741163096</v>
      </c>
      <c r="AZ31" s="71">
        <f>'[13]Initiative Level - LDC'!O145*1000</f>
        <v>134185.4741163096</v>
      </c>
      <c r="BA31" s="517">
        <f>'[13]Initiative Level - LDC'!P145*1000</f>
        <v>69067.7246338361</v>
      </c>
      <c r="BB31" s="517">
        <f>'[13]Initiative Level - LDC'!Q145*1000</f>
        <v>52735.556711083707</v>
      </c>
      <c r="BC31" s="517">
        <f>'[13]Initiative Level - LDC'!R145*1000</f>
        <v>52735.556711083707</v>
      </c>
      <c r="BF31" s="513" t="str">
        <f>'5. Static CDM Result by Program'!B169</f>
        <v>Direct Install Lighting</v>
      </c>
      <c r="BG31" s="513" t="str">
        <f>'5. Static CDM Result by Program'!C169</f>
        <v>GS &lt; 50</v>
      </c>
      <c r="BH31" s="27"/>
      <c r="BI31" s="27">
        <v>1</v>
      </c>
      <c r="BL31" s="515">
        <v>2012</v>
      </c>
      <c r="BM31" s="517"/>
      <c r="BN31" s="517">
        <f>'5. Static CDM Result by Program'!E169*0.5</f>
        <v>394008.864</v>
      </c>
      <c r="BO31" s="517">
        <f>+'[14]2012'!AT23</f>
        <v>788017.72809903859</v>
      </c>
      <c r="BP31" s="517">
        <f>+'[14]2012'!AU23</f>
        <v>786042.71502941102</v>
      </c>
      <c r="BQ31" s="517">
        <f>+'[14]2012'!AV23</f>
        <v>617973.63127805677</v>
      </c>
      <c r="BR31" s="517">
        <f>+'[14]2012'!AW23</f>
        <v>617973.63127805677</v>
      </c>
      <c r="BS31" s="517">
        <f>+'[14]2012'!AX23</f>
        <v>309590.17678037396</v>
      </c>
      <c r="BT31" s="71"/>
    </row>
    <row r="32" spans="1:78" ht="15">
      <c r="A32" s="2">
        <v>39114</v>
      </c>
      <c r="B32" s="2"/>
      <c r="C32" s="60">
        <f>C31+E4</f>
        <v>292013.27198293363</v>
      </c>
      <c r="I32" s="60">
        <f>I31+K4</f>
        <v>292013.27198293363</v>
      </c>
      <c r="O32" s="60">
        <f>O31+Q4</f>
        <v>0</v>
      </c>
      <c r="U32" s="60">
        <f>U31+W4</f>
        <v>0</v>
      </c>
      <c r="AA32" s="60">
        <f>AA31+AC4</f>
        <v>0</v>
      </c>
      <c r="AJ32">
        <v>57</v>
      </c>
      <c r="AK32" t="s">
        <v>98</v>
      </c>
      <c r="AL32" t="s">
        <v>92</v>
      </c>
      <c r="AM32" s="27">
        <v>0</v>
      </c>
      <c r="AN32" s="27">
        <v>0.28000000000000003</v>
      </c>
      <c r="AO32" s="27">
        <v>0.72</v>
      </c>
      <c r="AQ32">
        <v>2010</v>
      </c>
      <c r="AR32" s="71">
        <f>'[13]Initiative Level - LDC'!G147*1000</f>
        <v>0</v>
      </c>
      <c r="AS32" s="71">
        <f>'[13]Initiative Level - LDC'!H147*1000</f>
        <v>0</v>
      </c>
      <c r="AT32" s="71">
        <f>'[13]Initiative Level - LDC'!I147*1000</f>
        <v>0</v>
      </c>
      <c r="AU32" s="71">
        <f>'[13]Initiative Level - LDC'!J147*1000</f>
        <v>0</v>
      </c>
      <c r="AV32" s="71">
        <f>'[13]Initiative Level - LDC'!K147*1000*0.5</f>
        <v>125322.71588437117</v>
      </c>
      <c r="AW32" s="71">
        <f>'[13]Initiative Level - LDC'!L147*1000</f>
        <v>250645.43176874233</v>
      </c>
      <c r="AX32" s="71">
        <f>'[13]Initiative Level - LDC'!M147*1000</f>
        <v>250645.43176874233</v>
      </c>
      <c r="AY32" s="71">
        <f>'[13]Initiative Level - LDC'!N147*1000</f>
        <v>250645.43176874233</v>
      </c>
      <c r="AZ32" s="71">
        <f>'[13]Initiative Level - LDC'!O147*1000</f>
        <v>250645.43176874233</v>
      </c>
      <c r="BA32" s="517">
        <f>'[13]Initiative Level - LDC'!P147*1000</f>
        <v>250645.43176874233</v>
      </c>
      <c r="BB32" s="517">
        <f>'[13]Initiative Level - LDC'!Q147*1000</f>
        <v>250645.43176874233</v>
      </c>
      <c r="BC32" s="517">
        <f>'[13]Initiative Level - LDC'!R147*1000</f>
        <v>250645.43176874233</v>
      </c>
      <c r="BF32" s="513" t="str">
        <f>'5. Static CDM Result by Program'!B172</f>
        <v>Energy Audit</v>
      </c>
      <c r="BG32" s="513" t="str">
        <f>'5. Static CDM Result by Program'!C172</f>
        <v>GS 50-999</v>
      </c>
      <c r="BH32" s="27"/>
      <c r="BI32" s="27"/>
      <c r="BJ32" s="27">
        <v>1</v>
      </c>
      <c r="BL32" s="515">
        <v>2012</v>
      </c>
      <c r="BM32" s="517"/>
      <c r="BN32" s="517">
        <f>'5. Static CDM Result by Program'!E172*0.5</f>
        <v>50352.508999999998</v>
      </c>
      <c r="BO32" s="517">
        <f>+'[14]2012'!AT25</f>
        <v>100705.0178502523</v>
      </c>
      <c r="BP32" s="517">
        <f>+'[14]2012'!AU25</f>
        <v>100705.0178502523</v>
      </c>
      <c r="BQ32" s="517">
        <f>+'[14]2012'!AV25</f>
        <v>100705.0178502523</v>
      </c>
      <c r="BR32" s="517">
        <f>+'[14]2012'!AW25</f>
        <v>0</v>
      </c>
      <c r="BS32" s="517">
        <f>+'[14]2012'!AX25</f>
        <v>0</v>
      </c>
      <c r="BT32" s="71"/>
      <c r="BU32" s="70">
        <f>SUM(BN29:BP32)</f>
        <v>5303996.5712871393</v>
      </c>
      <c r="BV32" s="70">
        <f>BU32-'5. Static CDM Result by Program'!Q176</f>
        <v>-1065389.6667128615</v>
      </c>
    </row>
    <row r="33" spans="1:78" ht="15">
      <c r="A33" s="2">
        <v>39142</v>
      </c>
      <c r="B33" s="2"/>
      <c r="C33" s="60">
        <f>C32+E4</f>
        <v>313161.81461708201</v>
      </c>
      <c r="I33" s="60">
        <f>I32+K4</f>
        <v>313161.81461708201</v>
      </c>
      <c r="O33" s="60">
        <f>O32+Q4</f>
        <v>0</v>
      </c>
      <c r="U33" s="60">
        <f>U32+W4</f>
        <v>0</v>
      </c>
      <c r="AA33" s="60">
        <f>AA32+AC4</f>
        <v>0</v>
      </c>
      <c r="AJ33">
        <v>59</v>
      </c>
      <c r="AK33" t="s">
        <v>103</v>
      </c>
      <c r="AL33" t="s">
        <v>99</v>
      </c>
      <c r="AM33" s="27">
        <v>0</v>
      </c>
      <c r="AO33" s="27">
        <v>1</v>
      </c>
      <c r="AQ33">
        <v>2010</v>
      </c>
      <c r="AR33" s="71">
        <f>'[13]Initiative Level - LDC'!G149*1000</f>
        <v>0</v>
      </c>
      <c r="AS33" s="71">
        <f>'[13]Initiative Level - LDC'!H149*1000</f>
        <v>0</v>
      </c>
      <c r="AT33" s="71">
        <f>'[13]Initiative Level - LDC'!I149*1000</f>
        <v>0</v>
      </c>
      <c r="AU33" s="71">
        <f>'[13]Initiative Level - LDC'!J149*1000</f>
        <v>0</v>
      </c>
      <c r="AV33" s="71">
        <f>'[13]Initiative Level - LDC'!K149*1000*0.5</f>
        <v>113530.87725518666</v>
      </c>
      <c r="AW33" s="71">
        <f>'[13]Initiative Level - LDC'!L149*1000</f>
        <v>227061.75451037331</v>
      </c>
      <c r="AX33" s="71">
        <f>'[13]Initiative Level - LDC'!M149*1000</f>
        <v>227061.75451037331</v>
      </c>
      <c r="AY33" s="71">
        <f>'[13]Initiative Level - LDC'!N149*1000</f>
        <v>227061.75451037331</v>
      </c>
      <c r="AZ33" s="71">
        <f>'[13]Initiative Level - LDC'!O149*1000</f>
        <v>227061.75451037331</v>
      </c>
      <c r="BA33" s="517">
        <f>'[13]Initiative Level - LDC'!P149*1000</f>
        <v>227061.75451037331</v>
      </c>
      <c r="BB33" s="517">
        <f>'[13]Initiative Level - LDC'!Q149*1000</f>
        <v>227061.75451037331</v>
      </c>
      <c r="BC33" s="517">
        <f>'[13]Initiative Level - LDC'!R149*1000</f>
        <v>227061.75451037331</v>
      </c>
      <c r="BF33" s="69" t="str">
        <f>'5. Static CDM Result by Program'!B183</f>
        <v>Demand Response 3</v>
      </c>
      <c r="BG33" s="69" t="str">
        <f>'5. Static CDM Result by Program'!C183</f>
        <v>GS &gt; 1000</v>
      </c>
      <c r="BH33" s="27"/>
      <c r="BJ33" s="27"/>
      <c r="BK33" s="27">
        <v>1</v>
      </c>
      <c r="BL33" s="515">
        <v>2012</v>
      </c>
      <c r="BM33" s="517"/>
      <c r="BN33" s="517">
        <f>'5. Static CDM Result by Program'!E183*0.5</f>
        <v>19987.224999999999</v>
      </c>
      <c r="BO33" s="517"/>
      <c r="BP33" s="517"/>
      <c r="BQ33" s="517"/>
      <c r="BR33" s="517"/>
      <c r="BS33" s="517"/>
      <c r="BU33" s="70">
        <f>SUM(BN33:BP33)</f>
        <v>19987.224999999999</v>
      </c>
      <c r="BV33" s="70">
        <f>BU33-'5. Static CDM Result by Program'!Q184</f>
        <v>-19987.224999999999</v>
      </c>
    </row>
    <row r="34" spans="1:78" ht="15">
      <c r="A34" s="2">
        <v>39173</v>
      </c>
      <c r="B34" s="2"/>
      <c r="C34" s="60">
        <f>C33+E4</f>
        <v>334310.35725123039</v>
      </c>
      <c r="I34" s="60">
        <f>I33+K4</f>
        <v>334310.35725123039</v>
      </c>
      <c r="O34" s="60">
        <f>O33+Q4</f>
        <v>0</v>
      </c>
      <c r="U34" s="60">
        <f>U33+W4</f>
        <v>0</v>
      </c>
      <c r="AA34" s="60">
        <f>AA33+AC4</f>
        <v>0</v>
      </c>
      <c r="AJ34">
        <v>60</v>
      </c>
      <c r="AK34" t="s">
        <v>104</v>
      </c>
      <c r="AL34" t="s">
        <v>99</v>
      </c>
      <c r="AM34" s="27">
        <v>0</v>
      </c>
      <c r="AN34" s="27">
        <v>1</v>
      </c>
      <c r="AQ34">
        <v>2010</v>
      </c>
      <c r="AR34" s="71">
        <f>'[13]Initiative Level - LDC'!G150*1000</f>
        <v>0</v>
      </c>
      <c r="AS34" s="71">
        <f>'[13]Initiative Level - LDC'!H150*1000</f>
        <v>0</v>
      </c>
      <c r="AT34" s="71">
        <f>'[13]Initiative Level - LDC'!I150*1000</f>
        <v>0</v>
      </c>
      <c r="AU34" s="71">
        <f>'[13]Initiative Level - LDC'!J150*1000</f>
        <v>0</v>
      </c>
      <c r="AV34" s="71">
        <f>'[13]Initiative Level - LDC'!K150*1000*0.5</f>
        <v>472756.8764905167</v>
      </c>
      <c r="AW34" s="71">
        <f>'[13]Initiative Level - LDC'!L150*1000</f>
        <v>945513.75298103341</v>
      </c>
      <c r="AX34" s="71">
        <f>'[13]Initiative Level - LDC'!M150*1000</f>
        <v>945513.75298103341</v>
      </c>
      <c r="AY34" s="71">
        <f>'[13]Initiative Level - LDC'!N150*1000</f>
        <v>945513.75298103341</v>
      </c>
      <c r="AZ34" s="71">
        <f>'[13]Initiative Level - LDC'!O150*1000</f>
        <v>945513.75298103341</v>
      </c>
      <c r="BA34" s="517">
        <f>'[13]Initiative Level - LDC'!P150*1000</f>
        <v>945513.75298103341</v>
      </c>
      <c r="BB34" s="517">
        <f>'[13]Initiative Level - LDC'!Q150*1000</f>
        <v>945513.75298103341</v>
      </c>
      <c r="BC34" s="517">
        <f>'[13]Initiative Level - LDC'!R150*1000</f>
        <v>638130.51745588356</v>
      </c>
      <c r="BF34" s="69" t="str">
        <f>'5. Static CDM Result by Program'!B197</f>
        <v>High Performance New Construction</v>
      </c>
      <c r="BG34" s="69" t="str">
        <f>'5. Static CDM Result by Program'!C197</f>
        <v>GS 50-999</v>
      </c>
      <c r="BH34" s="27"/>
      <c r="BI34" s="27"/>
      <c r="BJ34" s="27">
        <v>1</v>
      </c>
      <c r="BL34" s="515">
        <v>2012</v>
      </c>
      <c r="BM34" s="517"/>
      <c r="BN34" s="517">
        <f>'5. Static CDM Result by Program'!E197*0.5</f>
        <v>17640.566999999999</v>
      </c>
      <c r="BO34" s="517">
        <f>+'[14]2012'!AT32</f>
        <v>35281.134394595683</v>
      </c>
      <c r="BP34" s="517">
        <f>+'[14]2012'!AU32</f>
        <v>35281.134394595683</v>
      </c>
      <c r="BQ34" s="517">
        <f>+'[14]2012'!AV32</f>
        <v>35281.134394595683</v>
      </c>
      <c r="BR34" s="517">
        <f>+'[14]2012'!AW32</f>
        <v>35281.134394595683</v>
      </c>
      <c r="BS34" s="517">
        <f>+'[14]2012'!AX32</f>
        <v>35281.134394595683</v>
      </c>
      <c r="BU34" s="70">
        <f>SUM(BN34:BP34)</f>
        <v>88202.835789191362</v>
      </c>
      <c r="BV34" s="70">
        <f>BU34-'5. Static CDM Result by Program'!Q201</f>
        <v>-17640.56621080864</v>
      </c>
    </row>
    <row r="35" spans="1:78" ht="15">
      <c r="A35" s="2">
        <v>39203</v>
      </c>
      <c r="B35" s="2"/>
      <c r="C35" s="60">
        <f>C34+E4</f>
        <v>355458.89988537878</v>
      </c>
      <c r="I35" s="60">
        <f>I34+K4</f>
        <v>355458.89988537878</v>
      </c>
      <c r="O35" s="60">
        <f>O34+Q4</f>
        <v>0</v>
      </c>
      <c r="U35" s="60">
        <f>U34+W4</f>
        <v>0</v>
      </c>
      <c r="AA35" s="60">
        <f>AA34+AC4</f>
        <v>0</v>
      </c>
      <c r="AJ35">
        <v>61</v>
      </c>
      <c r="AK35" t="s">
        <v>106</v>
      </c>
      <c r="AL35" t="s">
        <v>107</v>
      </c>
      <c r="AM35" s="27">
        <v>1</v>
      </c>
      <c r="AQ35">
        <v>2010</v>
      </c>
      <c r="AR35" s="71">
        <f>'[13]Initiative Level - LDC'!G151*1000</f>
        <v>0</v>
      </c>
      <c r="AS35" s="71">
        <f>'[13]Initiative Level - LDC'!H151*1000</f>
        <v>0</v>
      </c>
      <c r="AT35" s="71">
        <f>'[13]Initiative Level - LDC'!I151*1000</f>
        <v>0</v>
      </c>
      <c r="AU35" s="71">
        <f>'[13]Initiative Level - LDC'!J151*1000</f>
        <v>0</v>
      </c>
      <c r="AV35" s="71">
        <f>'[13]Initiative Level - LDC'!K151*1000*0.5</f>
        <v>12426.36633827317</v>
      </c>
      <c r="AW35" s="71">
        <f>'[13]Initiative Level - LDC'!L151*1000</f>
        <v>24852.73267654634</v>
      </c>
      <c r="AX35" s="71">
        <f>'[13]Initiative Level - LDC'!M151*1000</f>
        <v>24852.73267654634</v>
      </c>
      <c r="AY35" s="71">
        <f>'[13]Initiative Level - LDC'!N151*1000</f>
        <v>24852.73267654634</v>
      </c>
      <c r="AZ35" s="71">
        <f>'[13]Initiative Level - LDC'!O151*1000</f>
        <v>24852.73267654634</v>
      </c>
      <c r="BA35" s="517">
        <f>'[13]Initiative Level - LDC'!P151*1000</f>
        <v>24852.73267654634</v>
      </c>
      <c r="BB35" s="517">
        <f>'[13]Initiative Level - LDC'!Q151*1000</f>
        <v>24852.73267654634</v>
      </c>
      <c r="BC35" s="517">
        <f>'[13]Initiative Level - LDC'!R151*1000</f>
        <v>24852.73267654634</v>
      </c>
      <c r="BF35" s="69" t="str">
        <f>'5. Static CDM Result by Program'!B228</f>
        <v>HVAC Incentives</v>
      </c>
      <c r="BG35" s="69" t="str">
        <f>'5. Static CDM Result by Program'!C228</f>
        <v>RS</v>
      </c>
      <c r="BH35" s="27">
        <v>1</v>
      </c>
      <c r="BI35" s="27"/>
      <c r="BJ35" s="27"/>
      <c r="BK35" s="27"/>
      <c r="BL35" s="511">
        <v>2012</v>
      </c>
      <c r="BM35" s="517"/>
      <c r="BN35" s="517">
        <f>'5. Static CDM Result by Program'!E228*0.5</f>
        <v>3683.0455000000002</v>
      </c>
      <c r="BO35" s="517">
        <f>+'[14]2013'!AT22+'[14]2013'!AT23</f>
        <v>7366.0911615221603</v>
      </c>
      <c r="BP35" s="517">
        <f>+'[14]2013'!AU22+'[14]2013'!AU23</f>
        <v>7366.0911615221603</v>
      </c>
      <c r="BQ35" s="517">
        <f>+'[14]2013'!AV22+'[14]2013'!AV23</f>
        <v>7366.0911615221603</v>
      </c>
      <c r="BR35" s="517">
        <f>+'[14]2013'!AW22+'[14]2013'!AW23</f>
        <v>7366.0911615221603</v>
      </c>
      <c r="BS35" s="517">
        <f>+'[14]2013'!AX22+'[14]2013'!AX23</f>
        <v>7366.0911615221603</v>
      </c>
      <c r="BT35" s="71"/>
      <c r="BU35" s="70">
        <f>SUM(BN35:BP35)</f>
        <v>18415.227823044319</v>
      </c>
      <c r="BV35" s="70">
        <f>BU35-'5. Static CDM Result by Program'!Q235</f>
        <v>-3683.0451769556821</v>
      </c>
    </row>
    <row r="36" spans="1:78" ht="15">
      <c r="A36" s="2">
        <v>39234</v>
      </c>
      <c r="B36" s="2"/>
      <c r="C36" s="60">
        <f>C35+E4</f>
        <v>376607.44251952716</v>
      </c>
      <c r="I36" s="60">
        <f>I35+K4</f>
        <v>376607.44251952716</v>
      </c>
      <c r="O36" s="60">
        <f>O35+Q4</f>
        <v>0</v>
      </c>
      <c r="U36" s="60">
        <f>U35+W4</f>
        <v>0</v>
      </c>
      <c r="AA36" s="60">
        <f>AA35+AC4</f>
        <v>0</v>
      </c>
      <c r="AJ36">
        <v>62</v>
      </c>
      <c r="AK36" t="s">
        <v>108</v>
      </c>
      <c r="AL36" t="s">
        <v>90</v>
      </c>
      <c r="AM36" s="27">
        <v>0</v>
      </c>
      <c r="AO36" s="27">
        <v>1</v>
      </c>
      <c r="AQ36">
        <v>2010</v>
      </c>
      <c r="AR36" s="71">
        <f>'[13]Initiative Level - LDC'!G152*1000</f>
        <v>0</v>
      </c>
      <c r="AS36" s="71">
        <f>'[13]Initiative Level - LDC'!H152*1000</f>
        <v>0</v>
      </c>
      <c r="AT36" s="71">
        <f>'[13]Initiative Level - LDC'!I152*1000</f>
        <v>0</v>
      </c>
      <c r="AU36" s="71">
        <f>'[13]Initiative Level - LDC'!J152*1000</f>
        <v>0</v>
      </c>
      <c r="AV36" s="71">
        <f>'[13]Initiative Level - LDC'!K152*1000*0.5</f>
        <v>536539.12469394039</v>
      </c>
      <c r="AW36" s="71">
        <f>'[13]Initiative Level - LDC'!L152*1000</f>
        <v>0</v>
      </c>
      <c r="AX36" s="71">
        <f>'[13]Initiative Level - LDC'!M152*1000</f>
        <v>0</v>
      </c>
      <c r="AY36" s="71">
        <f>'[13]Initiative Level - LDC'!N152*1000</f>
        <v>0</v>
      </c>
      <c r="AZ36" s="71">
        <f>'[13]Initiative Level - LDC'!O152*1000</f>
        <v>0</v>
      </c>
      <c r="BA36" s="517">
        <f>'[13]Initiative Level - LDC'!P152*1000</f>
        <v>0</v>
      </c>
      <c r="BB36" s="517">
        <f>'[13]Initiative Level - LDC'!Q152*1000</f>
        <v>0</v>
      </c>
      <c r="BC36" s="517">
        <f>'[13]Initiative Level - LDC'!R152*1000</f>
        <v>0</v>
      </c>
      <c r="BF36" s="69" t="str">
        <f>'5. Static CDM Result by Program'!B238</f>
        <v>Retrofit</v>
      </c>
      <c r="BG36" s="69" t="str">
        <f>'5. Static CDM Result by Program'!C238</f>
        <v>GS &lt; 50</v>
      </c>
      <c r="BH36" s="27"/>
      <c r="BI36" s="27">
        <v>1</v>
      </c>
      <c r="BJ36" s="27"/>
      <c r="BK36" s="27"/>
      <c r="BL36" s="516">
        <v>2012</v>
      </c>
      <c r="BM36" s="517"/>
      <c r="BN36" s="517">
        <f>'5. Static CDM Result by Program'!E238*0.5</f>
        <v>3999.7571513568109</v>
      </c>
      <c r="BO36" s="517">
        <f>+'[14]2014'!AT80</f>
        <v>7999.514302713641</v>
      </c>
      <c r="BP36" s="517">
        <f>+'[14]2014'!AU80</f>
        <v>7999.514302713641</v>
      </c>
      <c r="BQ36" s="517">
        <f>+'[14]2014'!AV80</f>
        <v>7999.514302713641</v>
      </c>
      <c r="BR36" s="517">
        <f>+'[14]2014'!AW80</f>
        <v>7999.514302713641</v>
      </c>
      <c r="BS36" s="517">
        <f>+'[14]2014'!AX80</f>
        <v>7999.514302713641</v>
      </c>
      <c r="BT36" s="71"/>
    </row>
    <row r="37" spans="1:78" ht="15">
      <c r="A37" s="2">
        <v>39264</v>
      </c>
      <c r="B37" s="2"/>
      <c r="C37" s="60">
        <f>C36+E4</f>
        <v>397755.98515367555</v>
      </c>
      <c r="I37" s="60">
        <f>I36+K4</f>
        <v>397755.98515367555</v>
      </c>
      <c r="O37" s="60">
        <f>O36+Q4</f>
        <v>0</v>
      </c>
      <c r="U37" s="60">
        <f>U36+W4</f>
        <v>0</v>
      </c>
      <c r="AA37" s="60">
        <f>AA36+AC4</f>
        <v>0</v>
      </c>
      <c r="AJ37">
        <v>63</v>
      </c>
      <c r="AK37" t="s">
        <v>105</v>
      </c>
      <c r="AL37" t="s">
        <v>90</v>
      </c>
      <c r="AM37" s="27">
        <v>0</v>
      </c>
      <c r="AP37" s="27">
        <v>1</v>
      </c>
      <c r="AQ37">
        <v>2010</v>
      </c>
      <c r="AR37" s="71">
        <f>'[13]Initiative Level - LDC'!G153*1000</f>
        <v>0</v>
      </c>
      <c r="AS37" s="71">
        <f>'[13]Initiative Level - LDC'!H153*1000</f>
        <v>0</v>
      </c>
      <c r="AT37" s="71">
        <f>'[13]Initiative Level - LDC'!I153*1000</f>
        <v>0</v>
      </c>
      <c r="AU37" s="71">
        <f>'[13]Initiative Level - LDC'!J153*1000</f>
        <v>0</v>
      </c>
      <c r="AV37" s="71">
        <f>'[13]Initiative Level - LDC'!K153*1000*0.5</f>
        <v>19016.088315895944</v>
      </c>
      <c r="AW37" s="71">
        <f>'[13]Initiative Level - LDC'!L153*1000</f>
        <v>0</v>
      </c>
      <c r="AX37" s="71">
        <f>'[13]Initiative Level - LDC'!M153*1000</f>
        <v>0</v>
      </c>
      <c r="AY37" s="71">
        <f>'[13]Initiative Level - LDC'!N153*1000</f>
        <v>0</v>
      </c>
      <c r="AZ37" s="71">
        <f>'[13]Initiative Level - LDC'!O153*1000</f>
        <v>0</v>
      </c>
      <c r="BA37" s="517">
        <f>'[13]Initiative Level - LDC'!P153*1000</f>
        <v>0</v>
      </c>
      <c r="BB37" s="517">
        <f>'[13]Initiative Level - LDC'!Q153*1000</f>
        <v>0</v>
      </c>
      <c r="BC37" s="517">
        <f>'[13]Initiative Level - LDC'!R153*1000</f>
        <v>0</v>
      </c>
      <c r="BF37" s="69" t="str">
        <f>'5. Static CDM Result by Program'!B239</f>
        <v>Retrofit</v>
      </c>
      <c r="BG37" s="69" t="str">
        <f>'5. Static CDM Result by Program'!C239</f>
        <v>GS 50-999</v>
      </c>
      <c r="BH37" s="27"/>
      <c r="BI37" s="27"/>
      <c r="BJ37" s="27">
        <v>1</v>
      </c>
      <c r="BK37" s="27"/>
      <c r="BL37" s="516">
        <v>2012</v>
      </c>
      <c r="BM37" s="517"/>
      <c r="BN37" s="517">
        <f>'5. Static CDM Result by Program'!E239*0.5</f>
        <v>8221.24284864316</v>
      </c>
      <c r="BO37" s="517">
        <f>+'[14]2014'!AT81</f>
        <v>16442.48569728636</v>
      </c>
      <c r="BP37" s="517">
        <f>+'[14]2014'!AU81</f>
        <v>16442.48569728636</v>
      </c>
      <c r="BQ37" s="517">
        <f>+'[14]2014'!AV81</f>
        <v>16442.48569728636</v>
      </c>
      <c r="BR37" s="517">
        <f>+'[14]2014'!AW81</f>
        <v>16442.48569728636</v>
      </c>
      <c r="BS37" s="517">
        <f>+'[14]2014'!AX81</f>
        <v>16442.48569728636</v>
      </c>
      <c r="BT37" s="71"/>
    </row>
    <row r="38" spans="1:78" ht="15">
      <c r="A38" s="2">
        <v>39295</v>
      </c>
      <c r="B38" s="2"/>
      <c r="C38" s="60">
        <f>C37+E4</f>
        <v>418904.52778782393</v>
      </c>
      <c r="I38" s="60">
        <f>I37+K4</f>
        <v>418904.52778782393</v>
      </c>
      <c r="O38" s="60">
        <f>O37+Q4</f>
        <v>0</v>
      </c>
      <c r="U38" s="60">
        <f>U37+W4</f>
        <v>0</v>
      </c>
      <c r="AA38" s="60">
        <f>AA37+AC4</f>
        <v>0</v>
      </c>
      <c r="AJ38">
        <v>64</v>
      </c>
      <c r="BF38" s="69" t="str">
        <f>'5. Static CDM Result by Program'!B242</f>
        <v>Direct Install Lighting</v>
      </c>
      <c r="BG38" s="69" t="str">
        <f>'5. Static CDM Result by Program'!C242</f>
        <v>GS &lt; 50</v>
      </c>
      <c r="BI38" s="27">
        <v>1</v>
      </c>
      <c r="BL38" s="516">
        <v>2012</v>
      </c>
      <c r="BM38" s="517"/>
      <c r="BN38" s="517"/>
      <c r="BO38" s="517"/>
      <c r="BP38" s="517"/>
      <c r="BQ38" s="517"/>
      <c r="BR38" s="517"/>
      <c r="BS38" s="517"/>
    </row>
    <row r="39" spans="1:78" ht="15">
      <c r="A39" s="2">
        <v>39326</v>
      </c>
      <c r="B39" s="2"/>
      <c r="C39" s="60">
        <f>C38+E4</f>
        <v>440053.07042197231</v>
      </c>
      <c r="I39" s="60">
        <f>I38+K4</f>
        <v>440053.07042197231</v>
      </c>
      <c r="O39" s="60">
        <f>O38+Q4</f>
        <v>0</v>
      </c>
      <c r="U39" s="60">
        <f>U38+W4</f>
        <v>0</v>
      </c>
      <c r="AA39" s="60">
        <f>AA38+AC4</f>
        <v>0</v>
      </c>
      <c r="AJ39">
        <v>65</v>
      </c>
      <c r="AR39" s="70">
        <f t="shared" ref="AR39:BC39" si="10">SUM(AR3:AR38)</f>
        <v>1623155.213645139</v>
      </c>
      <c r="AS39" s="70">
        <f t="shared" si="10"/>
        <v>4646180.5660392176</v>
      </c>
      <c r="AT39" s="70">
        <f t="shared" si="10"/>
        <v>6995958.7480950691</v>
      </c>
      <c r="AU39" s="70">
        <f t="shared" si="10"/>
        <v>10186807.960330183</v>
      </c>
      <c r="AV39" s="70">
        <f t="shared" si="10"/>
        <v>10803490.516097952</v>
      </c>
      <c r="AW39" s="70">
        <f t="shared" si="10"/>
        <v>10995318.197378257</v>
      </c>
      <c r="AX39" s="70">
        <f t="shared" si="10"/>
        <v>10739336.024144681</v>
      </c>
      <c r="AY39" s="70">
        <f t="shared" si="10"/>
        <v>10554592.963476254</v>
      </c>
      <c r="AZ39" s="70">
        <f t="shared" si="10"/>
        <v>9656702.7444453407</v>
      </c>
      <c r="BA39" s="518">
        <f t="shared" si="10"/>
        <v>7906283.7571816789</v>
      </c>
      <c r="BB39" s="518">
        <f t="shared" si="10"/>
        <v>7162537.0154649289</v>
      </c>
      <c r="BC39" s="518">
        <f t="shared" si="10"/>
        <v>5735816.8029258493</v>
      </c>
      <c r="BF39" s="69" t="str">
        <f>'5. Static CDM Result by Program'!B245</f>
        <v>Energy Audit</v>
      </c>
      <c r="BG39" s="69" t="str">
        <f>'5. Static CDM Result by Program'!C245</f>
        <v>GS 50-999</v>
      </c>
      <c r="BJ39" s="27">
        <v>1</v>
      </c>
      <c r="BL39" s="516">
        <v>2012</v>
      </c>
      <c r="BM39" s="517"/>
      <c r="BN39" s="517">
        <f>'5. Static CDM Result by Program'!E245*0.5</f>
        <v>1708.1195</v>
      </c>
      <c r="BO39" s="517">
        <f>+'[14]2014'!AT38</f>
        <v>3416.239051</v>
      </c>
      <c r="BP39" s="517">
        <f>+'[14]2014'!AU38</f>
        <v>3416.239051</v>
      </c>
      <c r="BQ39" s="517">
        <f>+'[14]2014'!AV38</f>
        <v>3416.239051</v>
      </c>
      <c r="BR39" s="517">
        <f>+'[14]2014'!AW38</f>
        <v>0</v>
      </c>
      <c r="BS39" s="517">
        <f>+'[14]2014'!AX38</f>
        <v>0</v>
      </c>
      <c r="BT39" s="71"/>
      <c r="BU39" s="70">
        <f>SUM(BN36:BP39)</f>
        <v>69645.597601999965</v>
      </c>
      <c r="BV39" s="70">
        <f>BU39-'5. Static CDM Result by Program'!Q249</f>
        <v>-6631.1193979998643</v>
      </c>
    </row>
    <row r="40" spans="1:78" ht="15">
      <c r="A40" s="2">
        <v>39356</v>
      </c>
      <c r="B40" s="2"/>
      <c r="C40" s="60">
        <f>C39+E4</f>
        <v>461201.6130561207</v>
      </c>
      <c r="I40" s="60">
        <f>I39+K4</f>
        <v>461201.6130561207</v>
      </c>
      <c r="O40" s="60">
        <f>O39+Q4</f>
        <v>0</v>
      </c>
      <c r="U40" s="60">
        <f>U39+W4</f>
        <v>0</v>
      </c>
      <c r="AA40" s="60">
        <f>AA39+AC4</f>
        <v>0</v>
      </c>
      <c r="AR40" s="70">
        <f>'[13]Initiative Level - LDC'!$G$157*0.5*1000</f>
        <v>1623155.2136451392</v>
      </c>
      <c r="AS40" s="70">
        <f>('[13]Initiative Level - LDC'!$H$167-0.5*'[13]Initiative Level - LDC'!$H$159)*1000</f>
        <v>4646180.5660392167</v>
      </c>
      <c r="AT40" s="70">
        <f>('[13]Initiative Level - LDC'!I167-'[13]Initiative Level - LDC'!I161*0.5)*1000</f>
        <v>6995958.7480950672</v>
      </c>
      <c r="AU40" s="70">
        <f>('[13]Initiative Level - LDC'!$J$167-'[13]Initiative Level - LDC'!$J$163*0.5)*1000</f>
        <v>10186807.960330181</v>
      </c>
      <c r="AV40" s="70">
        <f>('[13]Initiative Level - LDC'!$K$167-'[13]Initiative Level - LDC'!$K$165*0.5)*1000</f>
        <v>10803490.516097952</v>
      </c>
      <c r="AW40" s="70">
        <f>'[13]Initiative Level - LDC'!L167*1000</f>
        <v>10995318.197378257</v>
      </c>
      <c r="AX40" s="70">
        <f>'[13]Initiative Level - LDC'!M167*1000</f>
        <v>10739336.024144681</v>
      </c>
      <c r="AY40" s="70">
        <f>'[13]Initiative Level - LDC'!N167*1000</f>
        <v>10554592.963476254</v>
      </c>
      <c r="AZ40" s="70">
        <f>'[13]Initiative Level - LDC'!O167*1000</f>
        <v>9656702.7444453407</v>
      </c>
      <c r="BA40" s="518">
        <f>'[13]Initiative Level - LDC'!P167*1000</f>
        <v>7906283.7571816789</v>
      </c>
      <c r="BB40" s="518">
        <f>'[13]Initiative Level - LDC'!Q167*1000</f>
        <v>7162537.0154649299</v>
      </c>
      <c r="BC40" s="518">
        <f>'[13]Initiative Level - LDC'!R167*1000</f>
        <v>5735816.8029258512</v>
      </c>
      <c r="BF40" s="69" t="str">
        <f>'5. Static CDM Result by Program'!B277</f>
        <v>Program Enabled Savings</v>
      </c>
      <c r="BG40" s="69" t="str">
        <f>'5. Static CDM Result by Program'!C277</f>
        <v>GS 50-999</v>
      </c>
      <c r="BJ40" s="27">
        <v>1</v>
      </c>
      <c r="BL40" s="516">
        <v>2012</v>
      </c>
      <c r="BM40" s="517"/>
      <c r="BN40" s="517">
        <f>'5. Static CDM Result by Program'!E277*0.5</f>
        <v>23822.42</v>
      </c>
      <c r="BO40" s="517">
        <f>+'[14]2014'!AT40</f>
        <v>47644.84</v>
      </c>
      <c r="BP40" s="517">
        <f>+'[14]2014'!AU40</f>
        <v>47644.84</v>
      </c>
      <c r="BQ40" s="517">
        <f>+'[14]2014'!AV40</f>
        <v>47644.84</v>
      </c>
      <c r="BR40" s="517">
        <f>+'[14]2014'!AW40</f>
        <v>47644.84</v>
      </c>
      <c r="BS40" s="517">
        <f>+'[14]2014'!AX40</f>
        <v>47644.84</v>
      </c>
      <c r="BT40" s="69"/>
      <c r="BU40" s="70">
        <f>SUM(BN40:BP40)</f>
        <v>119112.09999999999</v>
      </c>
      <c r="BV40" s="70">
        <f>BU40-'5. Static CDM Result by Program'!Q280</f>
        <v>-23822.42</v>
      </c>
      <c r="BW40" s="70">
        <f>BU28+BU32+BU33+BU34+BU35+BU39+BU40</f>
        <v>7079142.0560011873</v>
      </c>
      <c r="BX40" s="70">
        <f>BW40-'5. Static CDM Result by Program'!H579</f>
        <v>-1429110.54099881</v>
      </c>
      <c r="BY40" s="70">
        <f>('5. Static CDM Result by Program'!E209+'5. Static CDM Result by Program'!E282)*0.5</f>
        <v>1432583.2494999999</v>
      </c>
      <c r="BZ40" s="70">
        <f>BX40+BY40</f>
        <v>3472.7085011899471</v>
      </c>
    </row>
    <row r="41" spans="1:78" ht="15">
      <c r="A41" s="2">
        <v>39387</v>
      </c>
      <c r="B41" s="2"/>
      <c r="C41" s="60">
        <f>C40+E4</f>
        <v>482350.15569026908</v>
      </c>
      <c r="D41" s="99" t="s">
        <v>60</v>
      </c>
      <c r="I41" s="60">
        <f>I40+K4</f>
        <v>482350.15569026908</v>
      </c>
      <c r="J41" s="99" t="s">
        <v>60</v>
      </c>
      <c r="O41" s="60">
        <f>O40+Q4</f>
        <v>0</v>
      </c>
      <c r="P41" s="99" t="s">
        <v>60</v>
      </c>
      <c r="U41" s="60">
        <f>U40+W4</f>
        <v>0</v>
      </c>
      <c r="V41" s="99" t="s">
        <v>60</v>
      </c>
      <c r="AA41" s="60">
        <f>AA40+AC4</f>
        <v>0</v>
      </c>
      <c r="AB41" s="99" t="s">
        <v>60</v>
      </c>
      <c r="AJ41" t="s">
        <v>5</v>
      </c>
      <c r="AR41" s="70">
        <f>AR39-AR40</f>
        <v>0</v>
      </c>
      <c r="AS41" s="70">
        <f t="shared" ref="AS41:BC41" si="11">AS39-AS40</f>
        <v>0</v>
      </c>
      <c r="AT41" s="70">
        <f t="shared" si="11"/>
        <v>0</v>
      </c>
      <c r="AU41" s="70">
        <f t="shared" si="11"/>
        <v>0</v>
      </c>
      <c r="AV41" s="70">
        <f t="shared" si="11"/>
        <v>0</v>
      </c>
      <c r="AW41" s="70">
        <f t="shared" si="11"/>
        <v>0</v>
      </c>
      <c r="AX41" s="70">
        <f t="shared" si="11"/>
        <v>0</v>
      </c>
      <c r="AY41" s="70">
        <f t="shared" si="11"/>
        <v>0</v>
      </c>
      <c r="AZ41" s="70">
        <f t="shared" si="11"/>
        <v>0</v>
      </c>
      <c r="BA41" s="518">
        <f t="shared" si="11"/>
        <v>0</v>
      </c>
      <c r="BB41" s="518">
        <f t="shared" si="11"/>
        <v>0</v>
      </c>
      <c r="BC41" s="518">
        <f t="shared" si="11"/>
        <v>0</v>
      </c>
      <c r="BF41" s="69" t="str">
        <f>'5. Static CDM Result by Program'!B303</f>
        <v>Appliance Retirement</v>
      </c>
      <c r="BG41" s="69" t="str">
        <f>'5. Static CDM Result by Program'!C303</f>
        <v>RS</v>
      </c>
      <c r="BH41" s="27">
        <v>1</v>
      </c>
      <c r="BL41" s="511">
        <v>2013</v>
      </c>
      <c r="BN41" s="517"/>
      <c r="BO41" s="517">
        <f>'5. Static CDM Result by Program'!E303*0.5</f>
        <v>57529.438999999998</v>
      </c>
      <c r="BP41" s="517">
        <f>+'[14]2013'!AU30+'[14]2013'!AU37</f>
        <v>115058.87799273331</v>
      </c>
      <c r="BQ41" s="517">
        <f>+'[14]2013'!AV30+'[14]2013'!AV37</f>
        <v>115058.87799273331</v>
      </c>
      <c r="BR41" s="517">
        <f>+'[14]2013'!AW30+'[14]2013'!AW37</f>
        <v>114853.7889560663</v>
      </c>
      <c r="BS41" s="517">
        <f>+'[14]2013'!AX30+'[14]2013'!AX37</f>
        <v>68573.473535211408</v>
      </c>
    </row>
    <row r="42" spans="1:78" ht="15">
      <c r="A42" s="2">
        <v>39417</v>
      </c>
      <c r="B42" s="2"/>
      <c r="C42" s="60">
        <f>C41+E4</f>
        <v>503498.69832441746</v>
      </c>
      <c r="D42" s="60">
        <f>SUM(C31:C42)</f>
        <v>4646180.5660392158</v>
      </c>
      <c r="E42" s="60">
        <f>C42*12</f>
        <v>6041984.3798930096</v>
      </c>
      <c r="I42" s="60">
        <f>I41+K4</f>
        <v>503498.69832441746</v>
      </c>
      <c r="J42" s="60">
        <f>SUM(I31:I42)</f>
        <v>4646180.5660392158</v>
      </c>
      <c r="K42" s="60">
        <f>I42*12</f>
        <v>6041984.3798930096</v>
      </c>
      <c r="O42" s="60">
        <f>O41+Q4</f>
        <v>0</v>
      </c>
      <c r="P42" s="60">
        <f>SUM(O31:O42)</f>
        <v>0</v>
      </c>
      <c r="Q42" s="60">
        <f>O42*12</f>
        <v>0</v>
      </c>
      <c r="U42" s="60">
        <f>U41+W4</f>
        <v>0</v>
      </c>
      <c r="V42" s="60">
        <f>SUM(U31:U42)</f>
        <v>0</v>
      </c>
      <c r="W42" s="60">
        <f>U42*12</f>
        <v>0</v>
      </c>
      <c r="AA42" s="60">
        <f>AA41+AC4</f>
        <v>0</v>
      </c>
      <c r="AB42" s="60">
        <f>SUM(AA31:AA42)</f>
        <v>0</v>
      </c>
      <c r="AC42" s="60">
        <f>AA42*12</f>
        <v>0</v>
      </c>
      <c r="BF42" s="69" t="str">
        <f>'5. Static CDM Result by Program'!B304</f>
        <v>Appliance Exchange</v>
      </c>
      <c r="BG42" s="69" t="str">
        <f>'5. Static CDM Result by Program'!C304</f>
        <v>RS</v>
      </c>
      <c r="BH42" s="27">
        <v>1</v>
      </c>
      <c r="BL42" s="511">
        <v>2013</v>
      </c>
      <c r="BN42" s="517"/>
      <c r="BO42" s="517">
        <f>'5. Static CDM Result by Program'!E304*0.5</f>
        <v>18287.274000000001</v>
      </c>
      <c r="BP42" s="517">
        <f>+'[14]2013'!AU29</f>
        <v>36574.547919999997</v>
      </c>
      <c r="BQ42" s="517">
        <f>+'[14]2013'!AV29</f>
        <v>36574.547919999997</v>
      </c>
      <c r="BR42" s="517">
        <f>+'[14]2013'!AW29</f>
        <v>36574.547919999997</v>
      </c>
      <c r="BS42" s="517">
        <f>+'[14]2013'!AX29</f>
        <v>0</v>
      </c>
    </row>
    <row r="43" spans="1:78" ht="15">
      <c r="A43" s="2">
        <v>39448</v>
      </c>
      <c r="B43" s="2"/>
      <c r="C43" s="60">
        <f>C42+E5</f>
        <v>515729.1389423926</v>
      </c>
      <c r="I43" s="60">
        <f>I42+K5</f>
        <v>513423.64228246541</v>
      </c>
      <c r="O43" s="60">
        <f>O42+Q5</f>
        <v>641.43816707100723</v>
      </c>
      <c r="U43" s="60">
        <f>U42+W5</f>
        <v>1664.0584928561793</v>
      </c>
      <c r="AA43" s="60">
        <f>AA42+AC5</f>
        <v>0</v>
      </c>
      <c r="AR43" s="70"/>
      <c r="AS43" s="70"/>
      <c r="AT43" s="70"/>
      <c r="AU43" s="70"/>
      <c r="AV43" s="70"/>
      <c r="AW43" s="70"/>
      <c r="AX43" s="70"/>
      <c r="AY43" s="70"/>
      <c r="AZ43" s="70"/>
      <c r="BA43" s="518"/>
      <c r="BB43" s="518"/>
      <c r="BC43" s="518"/>
      <c r="BF43" s="69" t="str">
        <f>'5. Static CDM Result by Program'!B305</f>
        <v>HVAC Incentives</v>
      </c>
      <c r="BG43" s="69" t="str">
        <f>'5. Static CDM Result by Program'!C305</f>
        <v>RS</v>
      </c>
      <c r="BH43" s="27">
        <v>1</v>
      </c>
      <c r="BL43" s="511">
        <v>2013</v>
      </c>
      <c r="BN43" s="517"/>
      <c r="BO43" s="517">
        <f>'5. Static CDM Result by Program'!E305*0.5</f>
        <v>72247.145499999999</v>
      </c>
      <c r="BP43" s="517">
        <f>+'[14]2013'!AU33</f>
        <v>144494.29136703297</v>
      </c>
      <c r="BQ43" s="517">
        <f>+'[14]2013'!AV33</f>
        <v>144494.29136703297</v>
      </c>
      <c r="BR43" s="517">
        <f>+'[14]2013'!AW33</f>
        <v>144494.29136703297</v>
      </c>
      <c r="BS43" s="517">
        <f>+'[14]2013'!AX33</f>
        <v>144494.29136703297</v>
      </c>
    </row>
    <row r="44" spans="1:78" ht="15">
      <c r="A44" s="2">
        <v>39479</v>
      </c>
      <c r="B44" s="2"/>
      <c r="C44" s="60">
        <f>C43+E5</f>
        <v>527959.57956036774</v>
      </c>
      <c r="I44" s="60">
        <f>I43+K5</f>
        <v>523348.58624051337</v>
      </c>
      <c r="O44" s="60">
        <f>O43+Q5</f>
        <v>1282.8763341420145</v>
      </c>
      <c r="U44" s="60">
        <f>U43+W5</f>
        <v>3328.1169857123587</v>
      </c>
      <c r="AA44" s="60">
        <f>AA43+AC5</f>
        <v>0</v>
      </c>
      <c r="BF44" s="69" t="str">
        <f>'5. Static CDM Result by Program'!B306</f>
        <v>Conservation Instant Coupon Booklet</v>
      </c>
      <c r="BG44" s="69" t="str">
        <f>'5. Static CDM Result by Program'!C306</f>
        <v>RS</v>
      </c>
      <c r="BH44" s="27">
        <v>1</v>
      </c>
      <c r="BL44" s="511">
        <v>2013</v>
      </c>
      <c r="BN44" s="517"/>
      <c r="BO44" s="517">
        <f>'5. Static CDM Result by Program'!E306*0.5</f>
        <v>33674.782500000001</v>
      </c>
      <c r="BP44" s="517">
        <f>+'[14]2013'!AU28</f>
        <v>67349.565252703003</v>
      </c>
      <c r="BQ44" s="517">
        <f>+'[14]2013'!AV28</f>
        <v>64754.190648106996</v>
      </c>
      <c r="BR44" s="517">
        <f>+'[14]2013'!AW28</f>
        <v>54860.162218764002</v>
      </c>
      <c r="BS44" s="517">
        <f>+'[14]2013'!AX28</f>
        <v>54860.162218764002</v>
      </c>
    </row>
    <row r="45" spans="1:78" ht="15">
      <c r="A45" s="2">
        <v>39508</v>
      </c>
      <c r="B45" s="2"/>
      <c r="C45" s="60">
        <f>C44+E5</f>
        <v>540190.02017834282</v>
      </c>
      <c r="I45" s="60">
        <f>I44+K5</f>
        <v>533273.53019856126</v>
      </c>
      <c r="O45" s="60">
        <f>O44+Q5</f>
        <v>1924.3145012130217</v>
      </c>
      <c r="U45" s="60">
        <f>U44+W5</f>
        <v>4992.175478568538</v>
      </c>
      <c r="AA45" s="60">
        <f>AA44+AC5</f>
        <v>0</v>
      </c>
      <c r="AP45" t="s">
        <v>113</v>
      </c>
      <c r="AQ45" t="s">
        <v>74</v>
      </c>
      <c r="AR45" s="70">
        <f>SUMPRODUCT($AM$3:$AM$37,$AR$3:$AR$37)</f>
        <v>1623155.213645139</v>
      </c>
      <c r="AS45" s="70">
        <f t="shared" ref="AS45:AY45" si="12">SUMPRODUCT($AM$3:$AM$37,AS3:AS37)</f>
        <v>4646180.5660392176</v>
      </c>
      <c r="AT45" s="70">
        <f t="shared" si="12"/>
        <v>6816130.0086207483</v>
      </c>
      <c r="AU45" s="70">
        <f t="shared" si="12"/>
        <v>8262415.9752332782</v>
      </c>
      <c r="AV45" s="70">
        <f t="shared" si="12"/>
        <v>6707812.2110402873</v>
      </c>
      <c r="AW45" s="70">
        <f t="shared" si="12"/>
        <v>6743584.6357003525</v>
      </c>
      <c r="AX45" s="70">
        <f t="shared" si="12"/>
        <v>6487602.4624667754</v>
      </c>
      <c r="AY45" s="70">
        <f t="shared" si="12"/>
        <v>6302859.4017983479</v>
      </c>
      <c r="AZ45" s="70">
        <f t="shared" ref="AZ45:BC45" si="13">SUMPRODUCT($AM$3:$AM$37,AZ3:AZ37)</f>
        <v>5404969.1827674368</v>
      </c>
      <c r="BA45" s="518">
        <f t="shared" si="13"/>
        <v>3654550.195503776</v>
      </c>
      <c r="BB45" s="518">
        <f t="shared" si="13"/>
        <v>2939954.7559265653</v>
      </c>
      <c r="BC45" s="518">
        <f t="shared" si="13"/>
        <v>2157416.6257859673</v>
      </c>
      <c r="BF45" s="69" t="str">
        <f>'5. Static CDM Result by Program'!B307</f>
        <v>Bi-Annual Retailer Event</v>
      </c>
      <c r="BG45" s="69" t="str">
        <f>'5. Static CDM Result by Program'!C307</f>
        <v>RS</v>
      </c>
      <c r="BH45" s="27">
        <v>1</v>
      </c>
      <c r="BL45" s="511">
        <v>2013</v>
      </c>
      <c r="BN45" s="517"/>
      <c r="BO45" s="517">
        <f>'5. Static CDM Result by Program'!E307*0.5</f>
        <v>75059.608500000002</v>
      </c>
      <c r="BP45" s="517">
        <f>+'[14]2013'!AU31</f>
        <v>150119.217489509</v>
      </c>
      <c r="BQ45" s="517">
        <f>+'[14]2013'!AV31</f>
        <v>141074.17317886901</v>
      </c>
      <c r="BR45" s="517">
        <f>+'[14]2013'!AW31</f>
        <v>110205.732856059</v>
      </c>
      <c r="BS45" s="517">
        <f>+'[14]2013'!AX31</f>
        <v>110205.732856059</v>
      </c>
    </row>
    <row r="46" spans="1:78" ht="15">
      <c r="A46" s="2">
        <v>39539</v>
      </c>
      <c r="B46" s="2"/>
      <c r="C46" s="60">
        <f>C45+E5</f>
        <v>552420.4607963179</v>
      </c>
      <c r="I46" s="60">
        <f>I45+K5</f>
        <v>543198.47415660915</v>
      </c>
      <c r="O46" s="60">
        <f>O45+Q5</f>
        <v>2565.7526682840289</v>
      </c>
      <c r="U46" s="60">
        <f>U45+W5</f>
        <v>6656.2339714247173</v>
      </c>
      <c r="AA46" s="60">
        <f>AA45+AC5</f>
        <v>0</v>
      </c>
      <c r="AP46" t="s">
        <v>113</v>
      </c>
      <c r="AQ46" t="s">
        <v>79</v>
      </c>
      <c r="AR46" s="70">
        <f>SUMPRODUCT($AN$3:$AN$37,AR3:AR37)</f>
        <v>0</v>
      </c>
      <c r="AS46" s="70">
        <f>SUMPRODUCT($AN$3:$AN$37,AS3:AS37)</f>
        <v>0</v>
      </c>
      <c r="AT46" s="70">
        <f>SUMPRODUCT($AN$3:$AN$37,AT3:AT37)</f>
        <v>50032.177031538566</v>
      </c>
      <c r="AU46" s="70">
        <f t="shared" ref="AU46:BC46" si="14">SUMPRODUCT($AN$3:$AN$37,AU3:AU37)</f>
        <v>713364.2645495201</v>
      </c>
      <c r="AV46" s="70">
        <f t="shared" si="14"/>
        <v>1834512.0953367227</v>
      </c>
      <c r="AW46" s="70">
        <f t="shared" si="14"/>
        <v>2342359.3322748635</v>
      </c>
      <c r="AX46" s="70">
        <f t="shared" si="14"/>
        <v>2342359.3322748635</v>
      </c>
      <c r="AY46" s="70">
        <f t="shared" si="14"/>
        <v>2342359.3322748635</v>
      </c>
      <c r="AZ46" s="70">
        <f t="shared" si="14"/>
        <v>2342359.3322748635</v>
      </c>
      <c r="BA46" s="518">
        <f t="shared" si="14"/>
        <v>2342359.3322748635</v>
      </c>
      <c r="BB46" s="518">
        <f t="shared" si="14"/>
        <v>2334196.9676757921</v>
      </c>
      <c r="BC46" s="518">
        <f t="shared" si="14"/>
        <v>1690014.885277312</v>
      </c>
      <c r="BF46" s="69" t="str">
        <f>'5. Static CDM Result by Program'!B309</f>
        <v>Residential Demand Response</v>
      </c>
      <c r="BG46" s="69" t="str">
        <f>'5. Static CDM Result by Program'!C309</f>
        <v>RS</v>
      </c>
      <c r="BH46" s="27">
        <v>1</v>
      </c>
      <c r="BL46" s="511">
        <v>2013</v>
      </c>
      <c r="BN46" s="517"/>
      <c r="BO46" s="517">
        <f>'5. Static CDM Result by Program'!E309*0.5</f>
        <v>2.3365</v>
      </c>
      <c r="BP46" s="517"/>
      <c r="BQ46" s="517"/>
      <c r="BR46" s="517"/>
      <c r="BS46" s="517"/>
      <c r="BU46" s="69">
        <f>SUM(BO41:BP46)</f>
        <v>770397.08602197829</v>
      </c>
      <c r="BV46" s="70">
        <f>BU46-'5. Static CDM Result by Program'!Q312</f>
        <v>-256805.25797802175</v>
      </c>
    </row>
    <row r="47" spans="1:78" ht="15">
      <c r="A47" s="2">
        <v>39569</v>
      </c>
      <c r="B47" s="2"/>
      <c r="C47" s="60">
        <f>C46+E5</f>
        <v>564650.90141429298</v>
      </c>
      <c r="I47" s="60">
        <f>I46+K5</f>
        <v>553123.41811465705</v>
      </c>
      <c r="O47" s="60">
        <f>O46+Q5</f>
        <v>3207.1908353550361</v>
      </c>
      <c r="U47" s="60">
        <f>U46+W5</f>
        <v>8320.2924642808975</v>
      </c>
      <c r="AA47" s="60">
        <f>AA46+AC5</f>
        <v>0</v>
      </c>
      <c r="AP47" t="s">
        <v>113</v>
      </c>
      <c r="AQ47" t="s">
        <v>165</v>
      </c>
      <c r="AR47" s="70">
        <f>SUMPRODUCT($AO$3:$AO$37,AR3:AR37)</f>
        <v>0</v>
      </c>
      <c r="AS47" s="70">
        <f>SUMPRODUCT($AO$3:$AO$37,AS3:AS37)</f>
        <v>0</v>
      </c>
      <c r="AT47" s="70">
        <f>SUMPRODUCT($AO$3:$AO$37,AT3:AT37)</f>
        <v>129796.56244278199</v>
      </c>
      <c r="AU47" s="70">
        <f t="shared" ref="AU47:BC47" si="15">SUMPRODUCT($AO$3:$AO$37,AU3:AU37)</f>
        <v>1205415.6887927018</v>
      </c>
      <c r="AV47" s="70">
        <f t="shared" si="15"/>
        <v>2242150.1214050464</v>
      </c>
      <c r="AW47" s="70">
        <f t="shared" si="15"/>
        <v>1909374.2294030401</v>
      </c>
      <c r="AX47" s="70">
        <f t="shared" si="15"/>
        <v>1909374.2294030401</v>
      </c>
      <c r="AY47" s="70">
        <f t="shared" si="15"/>
        <v>1909374.2294030401</v>
      </c>
      <c r="AZ47" s="70">
        <f t="shared" si="15"/>
        <v>1909374.2294030401</v>
      </c>
      <c r="BA47" s="518">
        <f t="shared" si="15"/>
        <v>1909374.2294030401</v>
      </c>
      <c r="BB47" s="518">
        <f t="shared" si="15"/>
        <v>1888385.2918625718</v>
      </c>
      <c r="BC47" s="518">
        <f t="shared" si="15"/>
        <v>1888385.2918625718</v>
      </c>
      <c r="BF47" s="69" t="str">
        <f>'5. Static CDM Result by Program'!B315</f>
        <v>Retrofit</v>
      </c>
      <c r="BG47" s="69" t="str">
        <f>'5. Static CDM Result by Program'!C315</f>
        <v>GS &lt; 50</v>
      </c>
      <c r="BI47" s="27">
        <v>1</v>
      </c>
      <c r="BL47" s="511">
        <v>2013</v>
      </c>
      <c r="BN47" s="517"/>
      <c r="BO47" s="517">
        <f>'5. Static CDM Result by Program'!E315*0.5</f>
        <v>283940.5</v>
      </c>
      <c r="BP47" s="517">
        <f>+'[14]2013'!AU46</f>
        <v>561326.32830964937</v>
      </c>
      <c r="BQ47" s="517">
        <f>+'[14]2013'!AV46</f>
        <v>560387.43252661871</v>
      </c>
      <c r="BR47" s="517">
        <f>+'[14]2013'!AW46</f>
        <v>556413.96682346973</v>
      </c>
      <c r="BS47" s="517">
        <f>+'[14]2013'!AX46</f>
        <v>540833.18280367716</v>
      </c>
    </row>
    <row r="48" spans="1:78" ht="15">
      <c r="A48" s="2">
        <v>39600</v>
      </c>
      <c r="B48" s="2"/>
      <c r="C48" s="60">
        <f>C47+E5</f>
        <v>576881.34203226806</v>
      </c>
      <c r="I48" s="60">
        <f>I47+K5</f>
        <v>563048.36207270494</v>
      </c>
      <c r="O48" s="60">
        <f>O47+Q5</f>
        <v>3848.6290024260434</v>
      </c>
      <c r="U48" s="60">
        <f>U47+W5</f>
        <v>9984.3509571370778</v>
      </c>
      <c r="AA48" s="60">
        <f>AA47+AC5</f>
        <v>0</v>
      </c>
      <c r="AP48" t="s">
        <v>113</v>
      </c>
      <c r="AQ48" t="s">
        <v>112</v>
      </c>
      <c r="AR48" s="70">
        <f>SUMPRODUCT($AP$3:$AP$37,AR3:AR37)</f>
        <v>0</v>
      </c>
      <c r="AS48" s="70">
        <f>SUMPRODUCT($AP$3:$AP$37,AS3:AS37)</f>
        <v>0</v>
      </c>
      <c r="AT48" s="70">
        <f>SUMPRODUCT($AP$3:$AP$37,AT3:AT37)</f>
        <v>0</v>
      </c>
      <c r="AU48" s="70">
        <f>SUMPRODUCT($AP$3:$AP$37,AU3:AU37)</f>
        <v>5612.0317546812485</v>
      </c>
      <c r="AV48" s="70">
        <f t="shared" ref="AV48:BC48" si="16">SUMPRODUCT($AP$3:$AP$37,AV3:AV37)</f>
        <v>19016.088315895944</v>
      </c>
      <c r="AW48" s="70">
        <f t="shared" si="16"/>
        <v>0</v>
      </c>
      <c r="AX48" s="70">
        <f t="shared" si="16"/>
        <v>0</v>
      </c>
      <c r="AY48" s="70">
        <f t="shared" si="16"/>
        <v>0</v>
      </c>
      <c r="AZ48" s="70">
        <f t="shared" si="16"/>
        <v>0</v>
      </c>
      <c r="BA48" s="518">
        <f t="shared" si="16"/>
        <v>0</v>
      </c>
      <c r="BB48" s="518">
        <f t="shared" si="16"/>
        <v>0</v>
      </c>
      <c r="BC48" s="518">
        <f t="shared" si="16"/>
        <v>0</v>
      </c>
      <c r="BF48" s="69" t="str">
        <f>'5. Static CDM Result by Program'!B316</f>
        <v>Retrofit</v>
      </c>
      <c r="BG48" s="69" t="str">
        <f>'5. Static CDM Result by Program'!C316</f>
        <v>GS 50-999</v>
      </c>
      <c r="BJ48" s="27">
        <v>1</v>
      </c>
      <c r="BL48" s="511">
        <v>2013</v>
      </c>
      <c r="BN48" s="517"/>
      <c r="BO48" s="517">
        <f>'5. Static CDM Result by Program'!E316*0.5</f>
        <v>474444</v>
      </c>
      <c r="BP48" s="517">
        <f>+'[14]2013'!AU47</f>
        <v>937935.61858397536</v>
      </c>
      <c r="BQ48" s="517">
        <f>+'[14]2013'!AV47</f>
        <v>936366.791766793</v>
      </c>
      <c r="BR48" s="517">
        <f>+'[14]2013'!AW47</f>
        <v>929727.41851054796</v>
      </c>
      <c r="BS48" s="517">
        <f>+'[14]2013'!AX47</f>
        <v>903693.05746136187</v>
      </c>
    </row>
    <row r="49" spans="1:78" ht="15">
      <c r="A49" s="2">
        <v>39630</v>
      </c>
      <c r="B49" s="2"/>
      <c r="C49" s="60">
        <f>C48+E5</f>
        <v>589111.78265024314</v>
      </c>
      <c r="I49" s="60">
        <f>I48+K5</f>
        <v>572973.30603075284</v>
      </c>
      <c r="O49" s="60">
        <f>O48+Q5</f>
        <v>4490.0671694970506</v>
      </c>
      <c r="U49" s="60">
        <f>U48+W5</f>
        <v>11648.409449993258</v>
      </c>
      <c r="AA49" s="60">
        <f>AA48+AC5</f>
        <v>0</v>
      </c>
      <c r="AQ49" t="s">
        <v>114</v>
      </c>
      <c r="AR49" s="70">
        <f t="shared" ref="AR49:BC49" si="17">SUM(AR45:AR48)</f>
        <v>1623155.213645139</v>
      </c>
      <c r="AS49" s="70">
        <f t="shared" si="17"/>
        <v>4646180.5660392176</v>
      </c>
      <c r="AT49" s="70">
        <f t="shared" si="17"/>
        <v>6995958.7480950691</v>
      </c>
      <c r="AU49" s="70">
        <f t="shared" si="17"/>
        <v>10186807.960330183</v>
      </c>
      <c r="AV49" s="70">
        <f t="shared" si="17"/>
        <v>10803490.516097954</v>
      </c>
      <c r="AW49" s="70">
        <f t="shared" si="17"/>
        <v>10995318.197378255</v>
      </c>
      <c r="AX49" s="70">
        <f t="shared" si="17"/>
        <v>10739336.024144677</v>
      </c>
      <c r="AY49" s="70">
        <f t="shared" si="17"/>
        <v>10554592.96347625</v>
      </c>
      <c r="AZ49" s="70">
        <f t="shared" si="17"/>
        <v>9656702.7444453407</v>
      </c>
      <c r="BA49" s="518">
        <f t="shared" si="17"/>
        <v>7906283.7571816798</v>
      </c>
      <c r="BB49" s="518">
        <f t="shared" si="17"/>
        <v>7162537.0154649289</v>
      </c>
      <c r="BC49" s="518">
        <f t="shared" si="17"/>
        <v>5735816.8029258512</v>
      </c>
      <c r="BF49" s="69" t="str">
        <f>'5. Static CDM Result by Program'!B317</f>
        <v>Retrofit</v>
      </c>
      <c r="BG49" s="69" t="str">
        <f>'5. Static CDM Result by Program'!C317</f>
        <v>GS &gt; 1000</v>
      </c>
      <c r="BK49" s="27">
        <v>1</v>
      </c>
      <c r="BL49" s="511">
        <v>2013</v>
      </c>
      <c r="BN49" s="517"/>
      <c r="BO49" s="517">
        <f>'5. Static CDM Result by Program'!E317*0.5</f>
        <v>2234562.5</v>
      </c>
      <c r="BP49" s="517">
        <f>+'[14]2013'!AU48</f>
        <v>4417540.8703704849</v>
      </c>
      <c r="BQ49" s="517">
        <f>+'[14]2013'!AV48</f>
        <v>4410151.9233616283</v>
      </c>
      <c r="BR49" s="517">
        <f>+'[14]2013'!AW48</f>
        <v>4378881.437272842</v>
      </c>
      <c r="BS49" s="517">
        <f>+'[14]2013'!AX48</f>
        <v>4256263.3687295113</v>
      </c>
    </row>
    <row r="50" spans="1:78" ht="15">
      <c r="A50" s="2">
        <v>39661</v>
      </c>
      <c r="B50" s="2"/>
      <c r="C50" s="60">
        <f>C49+E5</f>
        <v>601342.22326821822</v>
      </c>
      <c r="I50" s="60">
        <f>I49+K5</f>
        <v>582898.24998880073</v>
      </c>
      <c r="O50" s="60">
        <f>O49+Q5</f>
        <v>5131.5053365680578</v>
      </c>
      <c r="U50" s="60">
        <f>U49+W5</f>
        <v>13312.467942849438</v>
      </c>
      <c r="AA50" s="60">
        <f>AA49+AC5</f>
        <v>0</v>
      </c>
      <c r="BF50" s="69" t="str">
        <f>'5. Static CDM Result by Program'!B319</f>
        <v>Direct Install Lighting</v>
      </c>
      <c r="BG50" s="69" t="str">
        <f>'5. Static CDM Result by Program'!C319</f>
        <v>GS &lt; 50</v>
      </c>
      <c r="BI50" s="27">
        <v>1</v>
      </c>
      <c r="BL50" s="511">
        <v>2013</v>
      </c>
      <c r="BN50" s="517"/>
      <c r="BO50" s="517">
        <f>'5. Static CDM Result by Program'!E319*0.5</f>
        <v>442451.87349999999</v>
      </c>
      <c r="BP50" s="517">
        <f>+'[14]2013'!AU27</f>
        <v>884903.746770225</v>
      </c>
      <c r="BQ50" s="517">
        <f>+'[14]2013'!AV27</f>
        <v>855393.36968486803</v>
      </c>
      <c r="BR50" s="517">
        <f>+'[14]2013'!AW27</f>
        <v>672700.58686808101</v>
      </c>
      <c r="BS50" s="517">
        <f>+'[14]2013'!AX27</f>
        <v>320768.99172723398</v>
      </c>
      <c r="BU50" s="212">
        <f>SUM(BO47:BP50)</f>
        <v>10237105.437534336</v>
      </c>
      <c r="BV50" s="70">
        <f>BU50-'5. Static CDM Result by Program'!Q326</f>
        <v>-3504490.056465663</v>
      </c>
    </row>
    <row r="51" spans="1:78" ht="15">
      <c r="A51" s="2">
        <v>39692</v>
      </c>
      <c r="B51" s="2"/>
      <c r="C51" s="60">
        <f>C50+E5</f>
        <v>613572.6638861933</v>
      </c>
      <c r="I51" s="60">
        <f>I50+K5</f>
        <v>592823.19394684862</v>
      </c>
      <c r="O51" s="60">
        <f>O50+Q5</f>
        <v>5772.9435036390651</v>
      </c>
      <c r="U51" s="60">
        <f>U50+W5</f>
        <v>14976.526435705618</v>
      </c>
      <c r="AA51" s="60">
        <f>AA50+AC5</f>
        <v>0</v>
      </c>
      <c r="AP51" t="str">
        <f>BJ78</f>
        <v>2011 to 2014</v>
      </c>
      <c r="AQ51" t="str">
        <f>BL78</f>
        <v xml:space="preserve">Residential </v>
      </c>
      <c r="AW51" s="69">
        <f t="shared" ref="AW51:BC54" si="18">BM78</f>
        <v>517777.321</v>
      </c>
      <c r="AX51" s="69">
        <f t="shared" si="18"/>
        <v>1331194.1862011279</v>
      </c>
      <c r="AY51" s="69">
        <f t="shared" si="18"/>
        <v>1950180.013491156</v>
      </c>
      <c r="AZ51" s="69">
        <f t="shared" si="18"/>
        <v>3210850.5305206636</v>
      </c>
      <c r="BA51" s="513">
        <f t="shared" si="18"/>
        <v>3855522.3646976491</v>
      </c>
      <c r="BB51" s="513">
        <f t="shared" si="18"/>
        <v>3352493.2132922318</v>
      </c>
      <c r="BC51" s="513">
        <f t="shared" si="18"/>
        <v>3025649.8578758836</v>
      </c>
      <c r="BF51" s="69" t="str">
        <f>'5. Static CDM Result by Program'!B333</f>
        <v>Demand Response 3</v>
      </c>
      <c r="BG51" s="69" t="str">
        <f>'5. Static CDM Result by Program'!C333</f>
        <v>GS &gt; 1000</v>
      </c>
      <c r="BH51" s="27"/>
      <c r="BI51" s="27"/>
      <c r="BJ51" s="27"/>
      <c r="BK51" s="27">
        <v>1</v>
      </c>
      <c r="BL51" s="511">
        <v>2013</v>
      </c>
      <c r="BN51" s="517"/>
      <c r="BO51" s="517">
        <f>'5. Static CDM Result by Program'!E333*0.5</f>
        <v>17603.37</v>
      </c>
      <c r="BP51" s="517"/>
      <c r="BQ51" s="517"/>
      <c r="BR51" s="517"/>
      <c r="BS51" s="517"/>
      <c r="BU51" s="70">
        <f>SUM(BN51:BP51)</f>
        <v>17603.37</v>
      </c>
      <c r="BV51" s="70">
        <f>BU51-'5. Static CDM Result by Program'!Q334</f>
        <v>-17603.37</v>
      </c>
    </row>
    <row r="52" spans="1:78" ht="15">
      <c r="A52" s="2">
        <v>39722</v>
      </c>
      <c r="B52" s="2"/>
      <c r="C52" s="60">
        <f>C51+E5</f>
        <v>625803.10450416838</v>
      </c>
      <c r="I52" s="60">
        <f>I51+K5</f>
        <v>602748.13790489652</v>
      </c>
      <c r="O52" s="60">
        <f>O51+Q5</f>
        <v>6414.3816707100723</v>
      </c>
      <c r="U52" s="60">
        <f>U51+W5</f>
        <v>16640.584928561799</v>
      </c>
      <c r="AA52" s="60">
        <f>AA51+AC5</f>
        <v>0</v>
      </c>
      <c r="AP52" t="str">
        <f>BJ79</f>
        <v>2011 to 2014</v>
      </c>
      <c r="AQ52" t="str">
        <f>BL79</f>
        <v>GS &lt; 50 kW</v>
      </c>
      <c r="AW52" s="69">
        <f t="shared" si="18"/>
        <v>238114.12776492391</v>
      </c>
      <c r="AX52" s="69">
        <f t="shared" si="18"/>
        <v>1076233.7797826233</v>
      </c>
      <c r="AY52" s="69">
        <f t="shared" si="18"/>
        <v>2415202.9872606671</v>
      </c>
      <c r="AZ52" s="69">
        <f t="shared" si="18"/>
        <v>3919504.2060375325</v>
      </c>
      <c r="BA52" s="513">
        <f t="shared" si="18"/>
        <v>4596557.4626076045</v>
      </c>
      <c r="BB52" s="513">
        <f t="shared" si="18"/>
        <v>4281925.2814374259</v>
      </c>
      <c r="BC52" s="513">
        <f t="shared" si="18"/>
        <v>3165466.3118985258</v>
      </c>
      <c r="BF52" s="69" t="str">
        <f>'5. Static CDM Result by Program'!B337</f>
        <v>Home Assistance Program</v>
      </c>
      <c r="BG52" s="69" t="str">
        <f>'5. Static CDM Result by Program'!C337</f>
        <v>RS</v>
      </c>
      <c r="BH52" s="27">
        <v>1</v>
      </c>
      <c r="BI52" s="27"/>
      <c r="BJ52" s="27"/>
      <c r="BK52" s="27"/>
      <c r="BL52" s="511">
        <v>2013</v>
      </c>
      <c r="BN52" s="517"/>
      <c r="BO52" s="517">
        <f>+'5. Static CDM Result by Program'!E337*0.5</f>
        <v>46386.959499999997</v>
      </c>
      <c r="BP52" s="517">
        <f>+'[14]2013'!AU32</f>
        <v>90158.950141907</v>
      </c>
      <c r="BQ52" s="517">
        <f>+'[14]2013'!AV32</f>
        <v>89789.186943053995</v>
      </c>
      <c r="BR52" s="517">
        <f>+'[14]2013'!AW32</f>
        <v>83411.698635100998</v>
      </c>
      <c r="BS52" s="517">
        <f>+'[14]2013'!AX32</f>
        <v>80957.048236846997</v>
      </c>
      <c r="BU52" s="70">
        <f>SUM(BN52:BP52)</f>
        <v>136545.909641907</v>
      </c>
      <c r="BV52" s="70">
        <f>BU52-'5. Static CDM Result by Program'!Q338</f>
        <v>-49001.928358092991</v>
      </c>
    </row>
    <row r="53" spans="1:78" ht="15">
      <c r="A53" s="2">
        <v>39753</v>
      </c>
      <c r="B53" s="2"/>
      <c r="C53" s="60">
        <f>C52+E5</f>
        <v>638033.54512214346</v>
      </c>
      <c r="D53" s="99" t="s">
        <v>60</v>
      </c>
      <c r="I53" s="60">
        <f>I52+K5</f>
        <v>612673.08186294441</v>
      </c>
      <c r="J53" s="99" t="s">
        <v>60</v>
      </c>
      <c r="O53" s="60">
        <f>O52+Q5</f>
        <v>7055.8198377810795</v>
      </c>
      <c r="P53" s="99" t="s">
        <v>60</v>
      </c>
      <c r="U53" s="60">
        <f>U52+W5</f>
        <v>18304.643421417979</v>
      </c>
      <c r="V53" s="99" t="s">
        <v>60</v>
      </c>
      <c r="AA53" s="60">
        <f>AA52+AC5</f>
        <v>0</v>
      </c>
      <c r="AB53" s="99" t="s">
        <v>60</v>
      </c>
      <c r="AP53" t="str">
        <f>BJ80</f>
        <v>2011 to 2014</v>
      </c>
      <c r="AQ53" t="str">
        <f>BL80</f>
        <v>GS 50-999</v>
      </c>
      <c r="AW53" s="69">
        <f t="shared" si="18"/>
        <v>263378.3588141764</v>
      </c>
      <c r="AX53" s="69">
        <f t="shared" si="18"/>
        <v>1043707.3764534524</v>
      </c>
      <c r="AY53" s="69">
        <f t="shared" si="18"/>
        <v>2716584.3022024417</v>
      </c>
      <c r="AZ53" s="69">
        <f t="shared" si="18"/>
        <v>5133008.8046596432</v>
      </c>
      <c r="BA53" s="513">
        <f t="shared" si="18"/>
        <v>6391300.8001542967</v>
      </c>
      <c r="BB53" s="513">
        <f t="shared" si="18"/>
        <v>6205011.4066091105</v>
      </c>
      <c r="BC53" s="513">
        <f t="shared" si="18"/>
        <v>6014684.7910682214</v>
      </c>
      <c r="BF53" s="69" t="str">
        <f>'5. Static CDM Result by Program'!B376</f>
        <v>Appliance Retirement</v>
      </c>
      <c r="BG53" s="69" t="str">
        <f>'5. Static CDM Result by Program'!C376</f>
        <v>RS</v>
      </c>
      <c r="BH53" s="27">
        <v>1</v>
      </c>
      <c r="BI53" s="27"/>
      <c r="BJ53" s="27"/>
      <c r="BK53" s="27"/>
      <c r="BL53" s="516">
        <v>2013</v>
      </c>
      <c r="BN53" s="517"/>
      <c r="BO53" s="517">
        <f>'5. Static CDM Result by Program'!E376*0.5</f>
        <v>0</v>
      </c>
      <c r="BP53" s="517"/>
      <c r="BQ53" s="517">
        <f t="shared" ref="BQ53:BR53" si="19">BP53</f>
        <v>0</v>
      </c>
      <c r="BR53" s="517">
        <f t="shared" si="19"/>
        <v>0</v>
      </c>
      <c r="BS53" s="517">
        <f t="shared" ref="BS53" si="20">BR53</f>
        <v>0</v>
      </c>
    </row>
    <row r="54" spans="1:78" ht="15">
      <c r="A54" s="2">
        <v>39783</v>
      </c>
      <c r="B54" s="2"/>
      <c r="C54" s="60">
        <f>C53+E5</f>
        <v>650263.98574011854</v>
      </c>
      <c r="D54" s="60">
        <f>SUM(C43:C54)</f>
        <v>6995958.7480950672</v>
      </c>
      <c r="E54" s="60">
        <f>C54*12</f>
        <v>7803167.8288814221</v>
      </c>
      <c r="I54" s="60">
        <f>I53+K5</f>
        <v>622598.0258209923</v>
      </c>
      <c r="J54" s="60">
        <f>SUM(I43:I54)</f>
        <v>6816130.0086207455</v>
      </c>
      <c r="K54" s="60">
        <f>I54*12</f>
        <v>7471176.3098519072</v>
      </c>
      <c r="O54" s="60">
        <f>O53+Q5</f>
        <v>7697.2580048520867</v>
      </c>
      <c r="P54" s="60">
        <f>SUM(O43:O54)</f>
        <v>50032.177031538566</v>
      </c>
      <c r="Q54" s="60">
        <f>O54*12</f>
        <v>92367.096058225041</v>
      </c>
      <c r="U54" s="60">
        <f>U53+W5</f>
        <v>19968.701914274159</v>
      </c>
      <c r="V54" s="60">
        <f>SUM(U43:U54)</f>
        <v>129796.56244278203</v>
      </c>
      <c r="W54" s="60">
        <f>U54*12</f>
        <v>239624.4229712899</v>
      </c>
      <c r="AA54" s="60">
        <f>AA53+AC5</f>
        <v>0</v>
      </c>
      <c r="AB54" s="60">
        <f>SUM(AA43:AA54)</f>
        <v>0</v>
      </c>
      <c r="AC54" s="60">
        <f>AA54*12</f>
        <v>0</v>
      </c>
      <c r="AP54" t="str">
        <f>BJ81</f>
        <v>2011 to 2014</v>
      </c>
      <c r="AQ54" t="str">
        <f>BL81</f>
        <v>GS &gt; 1000kW</v>
      </c>
      <c r="AW54" s="69">
        <f t="shared" si="18"/>
        <v>83517.956543244305</v>
      </c>
      <c r="AX54" s="69">
        <f t="shared" si="18"/>
        <v>187023.10575816603</v>
      </c>
      <c r="AY54" s="69">
        <f t="shared" si="18"/>
        <v>2518138.0756450878</v>
      </c>
      <c r="AZ54" s="69">
        <f t="shared" si="18"/>
        <v>7477103.9535699487</v>
      </c>
      <c r="BA54" s="513">
        <f t="shared" si="18"/>
        <v>10080764.229849435</v>
      </c>
      <c r="BB54" s="513">
        <f t="shared" si="18"/>
        <v>10049493.743760649</v>
      </c>
      <c r="BC54" s="513">
        <f t="shared" si="18"/>
        <v>9682126.2434740849</v>
      </c>
      <c r="BF54" s="69" t="str">
        <f>'5. Static CDM Result by Program'!B378</f>
        <v>HVAC Incentives</v>
      </c>
      <c r="BG54" s="69" t="str">
        <f>'5. Static CDM Result by Program'!C378</f>
        <v>RS</v>
      </c>
      <c r="BH54" s="27">
        <v>1</v>
      </c>
      <c r="BI54" s="27"/>
      <c r="BJ54" s="27"/>
      <c r="BK54" s="27"/>
      <c r="BL54" s="516">
        <v>2013</v>
      </c>
      <c r="BN54" s="517"/>
      <c r="BO54" s="517">
        <f>'5. Static CDM Result by Program'!E378*0.5</f>
        <v>6855.2926785999998</v>
      </c>
      <c r="BP54" s="517">
        <f>+'[14]2014'!AU45</f>
        <v>13710.5853572</v>
      </c>
      <c r="BQ54" s="517">
        <f>+'[14]2014'!AV45</f>
        <v>13710.5853572</v>
      </c>
      <c r="BR54" s="517">
        <f>+'[14]2014'!AW45</f>
        <v>13710.5853572</v>
      </c>
      <c r="BS54" s="517">
        <f>+'[14]2014'!AX45</f>
        <v>13710.5853572</v>
      </c>
    </row>
    <row r="55" spans="1:78" ht="15">
      <c r="A55" s="2">
        <v>39814</v>
      </c>
      <c r="B55" s="2"/>
      <c r="C55" s="60">
        <f>C54+E6</f>
        <v>680823.47460484621</v>
      </c>
      <c r="I55" s="60">
        <f>I54+K6</f>
        <v>632742.12409511243</v>
      </c>
      <c r="O55" s="60">
        <f>O54+Q6</f>
        <v>15658.760164996896</v>
      </c>
      <c r="U55" s="60">
        <f>U54+W6</f>
        <v>32350.641219676876</v>
      </c>
      <c r="AA55" s="60">
        <f>AA54+AC6</f>
        <v>71.949125060016001</v>
      </c>
      <c r="AQ55" t="s">
        <v>114</v>
      </c>
      <c r="AW55" s="69">
        <f>SUM(AW51:AW54)</f>
        <v>1102787.7641223446</v>
      </c>
      <c r="AX55" s="69">
        <f t="shared" ref="AX55:BC55" si="21">SUM(AX51:AX54)</f>
        <v>3638158.4481953694</v>
      </c>
      <c r="AY55" s="69">
        <f t="shared" si="21"/>
        <v>9600105.3785993531</v>
      </c>
      <c r="AZ55" s="69">
        <f t="shared" si="21"/>
        <v>19740467.49478779</v>
      </c>
      <c r="BA55" s="513">
        <f t="shared" si="21"/>
        <v>24924144.857308984</v>
      </c>
      <c r="BB55" s="513">
        <f t="shared" si="21"/>
        <v>23888923.645099416</v>
      </c>
      <c r="BC55" s="513">
        <f t="shared" si="21"/>
        <v>21887927.204316717</v>
      </c>
      <c r="BF55" s="69" t="str">
        <f>'5. Static CDM Result by Program'!B379</f>
        <v>Conservation Instant Coupon Booklet</v>
      </c>
      <c r="BG55" s="69" t="str">
        <f>'5. Static CDM Result by Program'!C379</f>
        <v>RS</v>
      </c>
      <c r="BH55" s="27">
        <v>1</v>
      </c>
      <c r="BI55" s="27"/>
      <c r="BJ55" s="27"/>
      <c r="BK55" s="27"/>
      <c r="BL55" s="516">
        <v>2013</v>
      </c>
      <c r="BN55" s="517"/>
      <c r="BO55" s="517">
        <f>'5. Static CDM Result by Program'!E379*0.5</f>
        <v>103</v>
      </c>
      <c r="BP55" s="517">
        <f>+'[14]2014'!AU43</f>
        <v>206</v>
      </c>
      <c r="BQ55" s="517">
        <f>+'[14]2014'!AV43</f>
        <v>196</v>
      </c>
      <c r="BR55" s="517">
        <f>+'[14]2014'!AW43</f>
        <v>169</v>
      </c>
      <c r="BS55" s="517">
        <f>+'[14]2014'!AX43</f>
        <v>169</v>
      </c>
      <c r="BU55" s="70">
        <f>SUM(BO53:BP55)</f>
        <v>20874.8780358</v>
      </c>
      <c r="BV55" s="70">
        <f>BU55-'5. Static CDM Result by Program'!Q385</f>
        <v>28896.707321400005</v>
      </c>
    </row>
    <row r="56" spans="1:78" ht="15">
      <c r="A56" s="2">
        <v>39845</v>
      </c>
      <c r="B56" s="2"/>
      <c r="C56" s="60">
        <f>C55+E6</f>
        <v>711382.96346957388</v>
      </c>
      <c r="I56" s="60">
        <f>I55+K6</f>
        <v>642886.22236923256</v>
      </c>
      <c r="O56" s="60">
        <f>O55+Q6</f>
        <v>23620.262325141706</v>
      </c>
      <c r="U56" s="60">
        <f>U55+W6</f>
        <v>44732.580525079597</v>
      </c>
      <c r="AA56" s="60">
        <f>AA55+AC6</f>
        <v>143.898250120032</v>
      </c>
      <c r="BF56" s="69" t="str">
        <f>'5. Static CDM Result by Program'!B388</f>
        <v>Retrofit</v>
      </c>
      <c r="BG56" s="69" t="str">
        <f>'5. Static CDM Result by Program'!C388</f>
        <v>GS &lt; 50</v>
      </c>
      <c r="BH56" s="27"/>
      <c r="BI56" s="27">
        <v>1</v>
      </c>
      <c r="BJ56" s="27"/>
      <c r="BK56" s="27"/>
      <c r="BL56" s="516">
        <v>2013</v>
      </c>
      <c r="BN56" s="517"/>
      <c r="BO56" s="517">
        <f>'5. Static CDM Result by Program'!E388*0.5</f>
        <v>12571.329003302555</v>
      </c>
      <c r="BP56" s="517">
        <f>+'[14]2014'!AU75</f>
        <v>24813.123604231871</v>
      </c>
      <c r="BQ56" s="517">
        <f>+'[14]2014'!AV75</f>
        <v>24813.123604231871</v>
      </c>
      <c r="BR56" s="517">
        <f>+'[14]2014'!AW75</f>
        <v>24813.123604231871</v>
      </c>
      <c r="BS56" s="517">
        <f>+'[14]2014'!AX75</f>
        <v>24803.080249445255</v>
      </c>
    </row>
    <row r="57" spans="1:78" ht="15">
      <c r="A57" s="2">
        <v>39873</v>
      </c>
      <c r="B57" s="2"/>
      <c r="C57" s="60">
        <f>C56+E6</f>
        <v>741942.45233430155</v>
      </c>
      <c r="I57" s="60">
        <f>I56+K6</f>
        <v>653030.32064335269</v>
      </c>
      <c r="O57" s="60">
        <f>O56+Q6</f>
        <v>31581.764485286516</v>
      </c>
      <c r="U57" s="60">
        <f>U56+W6</f>
        <v>57114.519830482313</v>
      </c>
      <c r="AA57" s="60">
        <f>AA56+AC6</f>
        <v>215.847375180048</v>
      </c>
      <c r="AP57" s="24">
        <v>2015</v>
      </c>
      <c r="AQ57" t="str">
        <f>AQ51</f>
        <v xml:space="preserve">Residential </v>
      </c>
      <c r="BA57" s="525">
        <v>1283542.4916017663</v>
      </c>
      <c r="BB57" s="525">
        <v>2472450.1561766542</v>
      </c>
      <c r="BC57" s="525">
        <v>2457558.1561766542</v>
      </c>
      <c r="BF57" s="69" t="str">
        <f>'5. Static CDM Result by Program'!B389</f>
        <v>Retrofit</v>
      </c>
      <c r="BG57" s="69" t="str">
        <f>'5. Static CDM Result by Program'!C389</f>
        <v>GS 50-999</v>
      </c>
      <c r="BH57" s="27"/>
      <c r="BI57" s="27"/>
      <c r="BJ57" s="27">
        <v>1</v>
      </c>
      <c r="BK57" s="27"/>
      <c r="BL57" s="516">
        <v>2013</v>
      </c>
      <c r="BN57" s="517"/>
      <c r="BO57" s="517">
        <f>'5. Static CDM Result by Program'!E389*0.5</f>
        <v>21006.34610977571</v>
      </c>
      <c r="BP57" s="517">
        <f>+'[14]2014'!AU76</f>
        <v>41462.049267679598</v>
      </c>
      <c r="BQ57" s="517">
        <f>+'[14]2014'!AV76</f>
        <v>41462.049267679598</v>
      </c>
      <c r="BR57" s="517">
        <f>+'[14]2014'!AW76</f>
        <v>41462.049267679598</v>
      </c>
      <c r="BS57" s="517">
        <f>+'[14]2014'!AX76</f>
        <v>41445.26709717913</v>
      </c>
    </row>
    <row r="58" spans="1:78" ht="15">
      <c r="A58" s="2">
        <v>39904</v>
      </c>
      <c r="B58" s="2"/>
      <c r="C58" s="60">
        <f>C57+E6</f>
        <v>772501.94119902921</v>
      </c>
      <c r="I58" s="60">
        <f>I57+K6</f>
        <v>663174.41891747282</v>
      </c>
      <c r="O58" s="60">
        <f>O57+Q6</f>
        <v>39543.266645431322</v>
      </c>
      <c r="U58" s="60">
        <f>U57+W6</f>
        <v>69496.45913588503</v>
      </c>
      <c r="AA58" s="60">
        <f>AA57+AC6</f>
        <v>287.79650024006401</v>
      </c>
      <c r="AP58" s="24">
        <v>2015</v>
      </c>
      <c r="AQ58" t="str">
        <f t="shared" ref="AQ58:AQ60" si="22">AQ52</f>
        <v>GS &lt; 50 kW</v>
      </c>
      <c r="AW58" s="69"/>
      <c r="AX58" s="69"/>
      <c r="AY58" s="69"/>
      <c r="BA58" s="525">
        <v>316317.55122959724</v>
      </c>
      <c r="BB58" s="525">
        <v>600159.01490180346</v>
      </c>
      <c r="BC58" s="525">
        <v>509177.59232368018</v>
      </c>
      <c r="BF58" s="69" t="str">
        <f>'5. Static CDM Result by Program'!B390</f>
        <v>Retrofit</v>
      </c>
      <c r="BG58" s="69" t="str">
        <f>'5. Static CDM Result by Program'!C390</f>
        <v>GS &gt; 1000</v>
      </c>
      <c r="BH58" s="27"/>
      <c r="BI58" s="27"/>
      <c r="BJ58" s="27"/>
      <c r="BK58" s="27">
        <v>1</v>
      </c>
      <c r="BL58" s="516">
        <v>2013</v>
      </c>
      <c r="BN58" s="517"/>
      <c r="BO58" s="517">
        <f>'5. Static CDM Result by Program'!E390*0.5</f>
        <v>98936.324886921793</v>
      </c>
      <c r="BP58" s="517">
        <f>+'[14]2014'!AU77</f>
        <v>195279.21492808848</v>
      </c>
      <c r="BQ58" s="517">
        <f>+'[14]2014'!AV77</f>
        <v>195279.21492808848</v>
      </c>
      <c r="BR58" s="517">
        <f>+'[14]2014'!AW77</f>
        <v>195279.21492808848</v>
      </c>
      <c r="BS58" s="517">
        <f>+'[14]2014'!AX77</f>
        <v>195200.17375337559</v>
      </c>
    </row>
    <row r="59" spans="1:78" ht="15">
      <c r="A59" s="2">
        <v>39934</v>
      </c>
      <c r="B59" s="2"/>
      <c r="C59" s="60">
        <f>C58+E6</f>
        <v>803061.43006375688</v>
      </c>
      <c r="I59" s="60">
        <f>I58+K6</f>
        <v>673318.51719159295</v>
      </c>
      <c r="O59" s="60">
        <f>O58+Q6</f>
        <v>47504.768805576132</v>
      </c>
      <c r="U59" s="60">
        <f>U58+W6</f>
        <v>81878.398441287747</v>
      </c>
      <c r="AA59" s="60">
        <f>AA58+AC6</f>
        <v>359.74562530008001</v>
      </c>
      <c r="AP59" s="24">
        <v>2015</v>
      </c>
      <c r="AQ59" t="str">
        <f t="shared" si="22"/>
        <v>GS 50-999</v>
      </c>
      <c r="AW59" s="69"/>
      <c r="AX59" s="69"/>
      <c r="AY59" s="69"/>
      <c r="BA59" s="525">
        <v>1403662.4966903818</v>
      </c>
      <c r="BB59" s="525">
        <v>2805840.4074197616</v>
      </c>
      <c r="BC59" s="525">
        <v>2627750.2717046291</v>
      </c>
      <c r="BF59" s="69" t="str">
        <f>'5. Static CDM Result by Program'!B392</f>
        <v>Direct Install Lighting</v>
      </c>
      <c r="BG59" s="69" t="str">
        <f>'5. Static CDM Result by Program'!C392</f>
        <v>GS &lt; 50</v>
      </c>
      <c r="BI59" s="27">
        <v>1</v>
      </c>
      <c r="BL59" s="516">
        <v>2013</v>
      </c>
      <c r="BP59" s="517"/>
      <c r="BQ59" s="517"/>
      <c r="BR59" s="517"/>
      <c r="BS59" s="517"/>
      <c r="BU59" s="70">
        <f>SUM(BO56:BP59)</f>
        <v>394068.38780000003</v>
      </c>
      <c r="BV59" s="70">
        <f>BU59-'5. Static CDM Result by Program'!Q399</f>
        <v>-100132.61220000021</v>
      </c>
    </row>
    <row r="60" spans="1:78" ht="15">
      <c r="A60" s="2">
        <v>39965</v>
      </c>
      <c r="B60" s="2"/>
      <c r="C60" s="60">
        <f>C59+E6</f>
        <v>833620.91892848455</v>
      </c>
      <c r="I60" s="60">
        <f>I59+K6</f>
        <v>683462.61546571308</v>
      </c>
      <c r="O60" s="60">
        <f>O59+Q6</f>
        <v>55466.270965720942</v>
      </c>
      <c r="U60" s="60">
        <f>U59+W6</f>
        <v>94260.337746690464</v>
      </c>
      <c r="AA60" s="60">
        <f>AA59+AC6</f>
        <v>431.69475036009601</v>
      </c>
      <c r="AP60" s="24">
        <v>2015</v>
      </c>
      <c r="AQ60" t="str">
        <f t="shared" si="22"/>
        <v>GS &gt; 1000kW</v>
      </c>
      <c r="AW60" s="69"/>
      <c r="AX60" s="69"/>
      <c r="AY60" s="69"/>
      <c r="BA60" s="525">
        <v>6502768.5906534363</v>
      </c>
      <c r="BB60" s="525">
        <v>13005537.181306873</v>
      </c>
      <c r="BC60" s="525">
        <v>13005537.181306873</v>
      </c>
      <c r="BF60" s="69" t="str">
        <f>'5. Static CDM Result by Program'!B410</f>
        <v>Home Assistance Program</v>
      </c>
      <c r="BG60" s="69" t="str">
        <f>'5. Static CDM Result by Program'!C410</f>
        <v>RS</v>
      </c>
      <c r="BH60" s="27">
        <v>1</v>
      </c>
      <c r="BI60" s="27"/>
      <c r="BJ60" s="27"/>
      <c r="BK60" s="27"/>
      <c r="BL60" s="516">
        <v>2013</v>
      </c>
      <c r="BN60" s="517"/>
      <c r="BO60" s="517">
        <f>'5. Static CDM Result by Program'!E410*0.5</f>
        <v>13200.443450000001</v>
      </c>
      <c r="BP60" s="517">
        <f>+'[14]2014'!AU44</f>
        <v>25794.698349999999</v>
      </c>
      <c r="BQ60" s="517">
        <f>+'[14]2014'!AV44</f>
        <v>25739.59029</v>
      </c>
      <c r="BR60" s="517">
        <f>+'[14]2014'!AW44</f>
        <v>25054.86837</v>
      </c>
      <c r="BS60" s="517">
        <f>+'[14]2014'!AX44</f>
        <v>24932.939640000001</v>
      </c>
      <c r="BU60" s="70">
        <f>SUM(BN60:BP60)</f>
        <v>38995.141799999998</v>
      </c>
      <c r="BV60" s="70">
        <f>BU60-'5. Static CDM Result by Program'!Q411</f>
        <v>-13200.632000000005</v>
      </c>
    </row>
    <row r="61" spans="1:78" ht="15">
      <c r="A61" s="2">
        <v>39995</v>
      </c>
      <c r="B61" s="2"/>
      <c r="C61" s="60">
        <f>C60+E6</f>
        <v>864180.40779321222</v>
      </c>
      <c r="I61" s="60">
        <f>I60+K6</f>
        <v>693606.71373983321</v>
      </c>
      <c r="O61" s="60">
        <f>O60+Q6</f>
        <v>63427.773125865751</v>
      </c>
      <c r="U61" s="60">
        <f>U60+W6</f>
        <v>106642.27705209318</v>
      </c>
      <c r="AA61" s="60">
        <f>AA60+AC6</f>
        <v>503.64387542011201</v>
      </c>
      <c r="AP61" s="24">
        <v>2015</v>
      </c>
      <c r="AQ61" s="72" t="s">
        <v>258</v>
      </c>
      <c r="AW61" s="69"/>
      <c r="AX61" s="69"/>
      <c r="AY61" s="69"/>
      <c r="BA61" s="525">
        <v>399045.8522125571</v>
      </c>
      <c r="BB61" s="525">
        <v>786792.3779435074</v>
      </c>
      <c r="BC61" s="525">
        <v>752180.45618073316</v>
      </c>
      <c r="BF61" s="69" t="str">
        <f>'5. Static CDM Result by Program'!B427</f>
        <v>Program Enabled Savings</v>
      </c>
      <c r="BG61" s="69" t="str">
        <f>'5. Static CDM Result by Program'!C427</f>
        <v>GS 50-999</v>
      </c>
      <c r="BH61" s="27"/>
      <c r="BI61" s="27"/>
      <c r="BJ61" s="27">
        <v>1</v>
      </c>
      <c r="BK61" s="27"/>
      <c r="BL61" s="516">
        <v>2013</v>
      </c>
      <c r="BO61" s="513">
        <f>'5. Static CDM Result by Program'!E427*0.5</f>
        <v>660475.96</v>
      </c>
      <c r="BP61" s="513">
        <f>+'[14]2014'!AU46</f>
        <v>1320951.92</v>
      </c>
      <c r="BQ61" s="513">
        <f>+'[14]2014'!AV46</f>
        <v>1320951.92</v>
      </c>
      <c r="BR61" s="513">
        <f>+'[14]2014'!AW46</f>
        <v>1320951.92</v>
      </c>
      <c r="BS61" s="513">
        <f>+'[14]2014'!AX46</f>
        <v>1320951.92</v>
      </c>
      <c r="BU61" s="70">
        <f>SUM(BN61:BP61)</f>
        <v>1981427.88</v>
      </c>
      <c r="BV61" s="70">
        <f>BU61-'5. Static CDM Result by Program'!Q430</f>
        <v>-660475.96</v>
      </c>
      <c r="BW61" s="70">
        <f>BU46+BU50+BU51+BU52+BU55+BU59+BU60+BU61</f>
        <v>13597018.090834022</v>
      </c>
      <c r="BX61" s="70">
        <f>BW61-'5. Static CDM Result by Program'!K579</f>
        <v>-4572813.1096803769</v>
      </c>
      <c r="BY61" s="70">
        <f>('5. Static CDM Result by Program'!E359+'5. Static CDM Result by Program'!E432)/2</f>
        <v>4569338.4851286002</v>
      </c>
      <c r="BZ61" s="70">
        <f>SUM(BX61:BY61)</f>
        <v>-3474.6245517767966</v>
      </c>
    </row>
    <row r="62" spans="1:78" ht="15">
      <c r="A62" s="2">
        <v>40026</v>
      </c>
      <c r="B62" s="2"/>
      <c r="C62" s="60">
        <f>C61+E6</f>
        <v>894739.89665793988</v>
      </c>
      <c r="I62" s="60">
        <f>I61+K6</f>
        <v>703750.81201395334</v>
      </c>
      <c r="O62" s="60">
        <f>O61+Q6</f>
        <v>71389.275286010554</v>
      </c>
      <c r="U62" s="60">
        <f>U61+W6</f>
        <v>119024.2163574959</v>
      </c>
      <c r="AA62" s="60">
        <f>AA61+AC6</f>
        <v>575.59300048012801</v>
      </c>
      <c r="AQ62" t="s">
        <v>114</v>
      </c>
      <c r="AW62" s="69"/>
      <c r="AX62" s="69"/>
      <c r="AY62" s="69"/>
      <c r="BA62" s="513">
        <v>9905336.9823877383</v>
      </c>
      <c r="BB62" s="513">
        <v>19670779.137748599</v>
      </c>
      <c r="BC62" s="513">
        <v>19352203.65769257</v>
      </c>
      <c r="BF62" s="69" t="str">
        <f>'5. Static CDM Result by Program'!B452</f>
        <v>Appliance Retirement</v>
      </c>
      <c r="BG62" s="69" t="str">
        <f>'5. Static CDM Result by Program'!C452</f>
        <v>RS</v>
      </c>
      <c r="BH62" s="27">
        <v>1</v>
      </c>
      <c r="BI62" s="27"/>
      <c r="BJ62" s="27"/>
      <c r="BK62" s="27"/>
      <c r="BL62" s="516">
        <v>2014</v>
      </c>
      <c r="BP62" s="513">
        <v>47194</v>
      </c>
      <c r="BQ62" s="513">
        <v>94388.149169279597</v>
      </c>
      <c r="BR62" s="517">
        <v>94388.149169279597</v>
      </c>
      <c r="BS62" s="517">
        <v>94179.333076064257</v>
      </c>
    </row>
    <row r="63" spans="1:78" ht="15">
      <c r="A63" s="2">
        <v>40057</v>
      </c>
      <c r="B63" s="2"/>
      <c r="C63" s="60">
        <f>C62+E6</f>
        <v>925299.38552266755</v>
      </c>
      <c r="I63" s="60">
        <f>I62+K6</f>
        <v>713894.91028807347</v>
      </c>
      <c r="O63" s="60">
        <f>O62+Q6</f>
        <v>79350.777446155364</v>
      </c>
      <c r="U63" s="60">
        <f>U62+W6</f>
        <v>131406.15566289861</v>
      </c>
      <c r="AA63" s="60">
        <f>AA62+AC6</f>
        <v>647.54212554014407</v>
      </c>
      <c r="BF63" s="69" t="str">
        <f>'5. Static CDM Result by Program'!B453</f>
        <v>Appliance Exchange</v>
      </c>
      <c r="BG63" s="69" t="str">
        <f>'5. Static CDM Result by Program'!C453</f>
        <v>RS</v>
      </c>
      <c r="BH63" s="27">
        <v>1</v>
      </c>
      <c r="BI63" s="27"/>
      <c r="BJ63" s="27"/>
      <c r="BK63" s="27"/>
      <c r="BL63" s="516">
        <v>2014</v>
      </c>
      <c r="BP63" s="513">
        <v>11083.1965</v>
      </c>
      <c r="BQ63" s="513">
        <v>22166.392677454282</v>
      </c>
      <c r="BR63" s="517">
        <v>22166.392677454282</v>
      </c>
      <c r="BS63" s="517">
        <v>22166.392677454282</v>
      </c>
    </row>
    <row r="64" spans="1:78" ht="15">
      <c r="A64" s="2">
        <v>40087</v>
      </c>
      <c r="B64" s="2"/>
      <c r="C64" s="60">
        <f>C63+E6</f>
        <v>955858.87438739522</v>
      </c>
      <c r="I64" s="60">
        <f>I63+K6</f>
        <v>724039.0085621936</v>
      </c>
      <c r="O64" s="60">
        <f>O63+Q6</f>
        <v>87312.279606300173</v>
      </c>
      <c r="U64" s="60">
        <f>U63+W6</f>
        <v>143788.09496830133</v>
      </c>
      <c r="AA64" s="60">
        <f>AA63+AC6</f>
        <v>719.49125060016013</v>
      </c>
      <c r="AP64" s="99" t="s">
        <v>115</v>
      </c>
      <c r="AQ64" t="str">
        <f>AQ57</f>
        <v xml:space="preserve">Residential </v>
      </c>
      <c r="AR64" s="70">
        <f>AR45+AR51+AR57</f>
        <v>1623155.213645139</v>
      </c>
      <c r="AS64" s="70">
        <f t="shared" ref="AS64:AY64" si="23">AS45+AS51+AS57</f>
        <v>4646180.5660392176</v>
      </c>
      <c r="AT64" s="70">
        <f t="shared" si="23"/>
        <v>6816130.0086207483</v>
      </c>
      <c r="AU64" s="70">
        <f t="shared" si="23"/>
        <v>8262415.9752332782</v>
      </c>
      <c r="AV64" s="70">
        <f t="shared" si="23"/>
        <v>6707812.2110402873</v>
      </c>
      <c r="AW64" s="70">
        <f t="shared" si="23"/>
        <v>7261361.956700353</v>
      </c>
      <c r="AX64" s="70">
        <f t="shared" si="23"/>
        <v>7818796.6486679036</v>
      </c>
      <c r="AY64" s="70">
        <f t="shared" si="23"/>
        <v>8253039.4152895045</v>
      </c>
      <c r="AZ64" s="70">
        <f>AZ45+AZ51+AZ57</f>
        <v>8615819.7132881004</v>
      </c>
      <c r="BA64" s="518">
        <f t="shared" ref="BA64:BC64" si="24">BA45+BA51+BA57</f>
        <v>8793615.0518031921</v>
      </c>
      <c r="BB64" s="518">
        <f t="shared" si="24"/>
        <v>8764898.1253954507</v>
      </c>
      <c r="BC64" s="518">
        <f t="shared" si="24"/>
        <v>7640624.6398385055</v>
      </c>
      <c r="BF64" s="69" t="str">
        <f>'5. Static CDM Result by Program'!B454</f>
        <v>HVAC Incentives</v>
      </c>
      <c r="BG64" s="69" t="str">
        <f>'5. Static CDM Result by Program'!C454</f>
        <v>RS</v>
      </c>
      <c r="BH64" s="27">
        <v>1</v>
      </c>
      <c r="BI64" s="27"/>
      <c r="BJ64" s="27"/>
      <c r="BK64" s="27"/>
      <c r="BL64" s="516">
        <v>2014</v>
      </c>
      <c r="BP64" s="513">
        <v>167436.92749999999</v>
      </c>
      <c r="BQ64" s="513">
        <v>334873.85459811828</v>
      </c>
      <c r="BR64" s="517">
        <v>334873.85459811828</v>
      </c>
      <c r="BS64" s="517">
        <v>334873.85459811828</v>
      </c>
    </row>
    <row r="65" spans="1:78" ht="15">
      <c r="A65" s="2">
        <v>40118</v>
      </c>
      <c r="B65" s="2"/>
      <c r="C65" s="60">
        <f>C64+E6</f>
        <v>986418.36325212289</v>
      </c>
      <c r="D65" s="99" t="s">
        <v>60</v>
      </c>
      <c r="I65" s="60">
        <f>I64+K6</f>
        <v>734183.10683631373</v>
      </c>
      <c r="J65" s="99" t="s">
        <v>60</v>
      </c>
      <c r="O65" s="60">
        <f>O64+Q6</f>
        <v>95273.781766444983</v>
      </c>
      <c r="P65" s="99" t="s">
        <v>60</v>
      </c>
      <c r="U65" s="60">
        <f>U64+W6</f>
        <v>156170.03427370405</v>
      </c>
      <c r="V65" s="99" t="s">
        <v>60</v>
      </c>
      <c r="AA65" s="60">
        <f>AA64+AC6</f>
        <v>791.44037566017619</v>
      </c>
      <c r="AB65" s="99" t="s">
        <v>60</v>
      </c>
      <c r="AP65" s="99" t="s">
        <v>115</v>
      </c>
      <c r="AQ65" t="str">
        <f t="shared" ref="AQ65:AQ68" si="25">AQ58</f>
        <v>GS &lt; 50 kW</v>
      </c>
      <c r="AR65" s="70">
        <f t="shared" ref="AR65:AY67" si="26">AR46+AR52+AR58</f>
        <v>0</v>
      </c>
      <c r="AS65" s="70">
        <f t="shared" si="26"/>
        <v>0</v>
      </c>
      <c r="AT65" s="70">
        <f t="shared" si="26"/>
        <v>50032.177031538566</v>
      </c>
      <c r="AU65" s="70">
        <f t="shared" si="26"/>
        <v>713364.2645495201</v>
      </c>
      <c r="AV65" s="70">
        <f t="shared" si="26"/>
        <v>1834512.0953367227</v>
      </c>
      <c r="AW65" s="70">
        <f t="shared" si="26"/>
        <v>2580473.4600397875</v>
      </c>
      <c r="AX65" s="70">
        <f t="shared" si="26"/>
        <v>3418593.1120574865</v>
      </c>
      <c r="AY65" s="70">
        <f t="shared" si="26"/>
        <v>4757562.3195355311</v>
      </c>
      <c r="AZ65" s="70">
        <f t="shared" ref="AZ65:BC65" si="27">AZ46+AZ52+AZ58</f>
        <v>6261863.538312396</v>
      </c>
      <c r="BA65" s="518">
        <f t="shared" si="27"/>
        <v>7255234.346112065</v>
      </c>
      <c r="BB65" s="518">
        <f t="shared" si="27"/>
        <v>7216281.2640150217</v>
      </c>
      <c r="BC65" s="518">
        <f t="shared" si="27"/>
        <v>5364658.7894995185</v>
      </c>
      <c r="BF65" s="69" t="str">
        <f>'5. Static CDM Result by Program'!B455</f>
        <v>Conservation Instant Coupon Booklet</v>
      </c>
      <c r="BG65" s="69" t="str">
        <f>'5. Static CDM Result by Program'!C455</f>
        <v>RS</v>
      </c>
      <c r="BH65" s="27">
        <v>1</v>
      </c>
      <c r="BI65" s="27"/>
      <c r="BJ65" s="27"/>
      <c r="BK65" s="27"/>
      <c r="BL65" s="516">
        <v>2014</v>
      </c>
      <c r="BP65" s="513">
        <v>123019.56200000001</v>
      </c>
      <c r="BQ65" s="513">
        <f>+'[14]2014'!AV58</f>
        <v>229102.0031</v>
      </c>
      <c r="BR65" s="513">
        <f>+'[14]2014'!AW58</f>
        <v>220921.79399999999</v>
      </c>
      <c r="BS65" s="513">
        <f>+'[14]2014'!AX58</f>
        <v>220921.79399999999</v>
      </c>
    </row>
    <row r="66" spans="1:78" ht="15">
      <c r="A66" s="2">
        <v>40148</v>
      </c>
      <c r="B66" s="2"/>
      <c r="C66" s="60">
        <f>C65+E6</f>
        <v>1016977.8521168506</v>
      </c>
      <c r="D66" s="60">
        <f>SUM(C55:C66)</f>
        <v>10186807.960330181</v>
      </c>
      <c r="E66" s="60">
        <f>C66*12</f>
        <v>12203734.225402206</v>
      </c>
      <c r="I66" s="60">
        <f>I65+K6</f>
        <v>744327.20511043386</v>
      </c>
      <c r="J66" s="60">
        <f>SUM(I55:I66)</f>
        <v>8262415.9752332764</v>
      </c>
      <c r="K66" s="60">
        <f>I66*12</f>
        <v>8931926.4613252059</v>
      </c>
      <c r="O66" s="60">
        <f>O65+Q6</f>
        <v>103235.28392658979</v>
      </c>
      <c r="P66" s="60">
        <f>SUM(O55:O66)</f>
        <v>713364.2645495201</v>
      </c>
      <c r="Q66" s="60">
        <f>O66*12</f>
        <v>1238823.4071190776</v>
      </c>
      <c r="U66" s="60">
        <f>U65+W6</f>
        <v>168551.97357910677</v>
      </c>
      <c r="V66" s="60">
        <f>SUM(U55:U66)</f>
        <v>1205415.6887927018</v>
      </c>
      <c r="W66" s="60">
        <f>U66*12</f>
        <v>2022623.6829492813</v>
      </c>
      <c r="AA66" s="60">
        <f>AA65+AC6</f>
        <v>863.38950072019225</v>
      </c>
      <c r="AB66" s="60">
        <f>SUM(AA55:AA66)</f>
        <v>5612.0317546812494</v>
      </c>
      <c r="AC66" s="60">
        <f>AA66*12</f>
        <v>10360.674008642307</v>
      </c>
      <c r="AP66" s="99" t="s">
        <v>115</v>
      </c>
      <c r="AQ66" t="str">
        <f t="shared" si="25"/>
        <v>GS 50-999</v>
      </c>
      <c r="AR66" s="70">
        <f t="shared" si="26"/>
        <v>0</v>
      </c>
      <c r="AS66" s="70">
        <f t="shared" si="26"/>
        <v>0</v>
      </c>
      <c r="AT66" s="70">
        <f t="shared" si="26"/>
        <v>129796.56244278199</v>
      </c>
      <c r="AU66" s="70">
        <f t="shared" si="26"/>
        <v>1205415.6887927018</v>
      </c>
      <c r="AV66" s="70">
        <f t="shared" si="26"/>
        <v>2242150.1214050464</v>
      </c>
      <c r="AW66" s="70">
        <f t="shared" si="26"/>
        <v>2172752.5882172165</v>
      </c>
      <c r="AX66" s="70">
        <f t="shared" si="26"/>
        <v>2953081.6058564926</v>
      </c>
      <c r="AY66" s="70">
        <f t="shared" si="26"/>
        <v>4625958.5316054821</v>
      </c>
      <c r="AZ66" s="70">
        <f t="shared" ref="AZ66:BC66" si="28">AZ47+AZ53+AZ59</f>
        <v>7042383.0340626836</v>
      </c>
      <c r="BA66" s="518">
        <f t="shared" si="28"/>
        <v>9704337.5262477193</v>
      </c>
      <c r="BB66" s="518">
        <f t="shared" si="28"/>
        <v>10899237.105891444</v>
      </c>
      <c r="BC66" s="518">
        <f t="shared" si="28"/>
        <v>10530820.354635421</v>
      </c>
      <c r="BF66" s="69" t="str">
        <f>'5. Static CDM Result by Program'!B456</f>
        <v>Bi-Annual Retailer Event</v>
      </c>
      <c r="BG66" s="69" t="str">
        <f>'5. Static CDM Result by Program'!C456</f>
        <v>RS</v>
      </c>
      <c r="BH66" s="27">
        <v>1</v>
      </c>
      <c r="BI66" s="27"/>
      <c r="BJ66" s="27"/>
      <c r="BK66" s="27"/>
      <c r="BL66" s="516">
        <v>2014</v>
      </c>
      <c r="BP66" s="513">
        <v>536968.51950000005</v>
      </c>
      <c r="BQ66" s="513">
        <f>+'[14]2014'!AV57</f>
        <v>931629.0368</v>
      </c>
      <c r="BR66" s="513">
        <f>+'[14]2014'!AW57</f>
        <v>857465.98569999996</v>
      </c>
      <c r="BS66" s="513">
        <f>+'[14]2014'!AX57</f>
        <v>857465.98569999996</v>
      </c>
      <c r="BU66" s="69">
        <f>SUM(BP62:BP66)</f>
        <v>885702.20550000004</v>
      </c>
      <c r="BV66" s="70">
        <f>BU66-'5. Static CDM Result by Program'!Q461</f>
        <v>-885755.64750000008</v>
      </c>
    </row>
    <row r="67" spans="1:78" ht="15">
      <c r="A67" s="2">
        <v>40179</v>
      </c>
      <c r="B67" s="2"/>
      <c r="C67" s="60">
        <f>C66+E7</f>
        <v>999026.00968987297</v>
      </c>
      <c r="I67" s="60">
        <f>I66+K7</f>
        <v>715812.91985037085</v>
      </c>
      <c r="O67" s="60">
        <f>O66+Q7</f>
        <v>110872.31839091858</v>
      </c>
      <c r="U67" s="60">
        <f>U66+W7</f>
        <v>171366.41509777043</v>
      </c>
      <c r="AA67" s="60">
        <f>AA66+AC7</f>
        <v>974.35635081318765</v>
      </c>
      <c r="AP67" s="99" t="s">
        <v>115</v>
      </c>
      <c r="AQ67" t="str">
        <f t="shared" si="25"/>
        <v>GS &gt; 1000kW</v>
      </c>
      <c r="AR67" s="70">
        <f t="shared" si="26"/>
        <v>0</v>
      </c>
      <c r="AS67" s="70">
        <f t="shared" si="26"/>
        <v>0</v>
      </c>
      <c r="AT67" s="70">
        <f t="shared" si="26"/>
        <v>0</v>
      </c>
      <c r="AU67" s="70">
        <f t="shared" si="26"/>
        <v>5612.0317546812485</v>
      </c>
      <c r="AV67" s="70">
        <f t="shared" si="26"/>
        <v>19016.088315895944</v>
      </c>
      <c r="AW67" s="70">
        <f t="shared" si="26"/>
        <v>83517.956543244305</v>
      </c>
      <c r="AX67" s="70">
        <f t="shared" si="26"/>
        <v>187023.10575816603</v>
      </c>
      <c r="AY67" s="70">
        <f t="shared" si="26"/>
        <v>2518138.0756450878</v>
      </c>
      <c r="AZ67" s="70">
        <f t="shared" ref="AZ67:BC67" si="29">AZ48+AZ54+AZ60</f>
        <v>7477103.9535699487</v>
      </c>
      <c r="BA67" s="518">
        <f t="shared" si="29"/>
        <v>16583532.820502872</v>
      </c>
      <c r="BB67" s="518">
        <f t="shared" si="29"/>
        <v>23055030.925067522</v>
      </c>
      <c r="BC67" s="518">
        <f t="shared" si="29"/>
        <v>22687663.424780957</v>
      </c>
      <c r="BF67" s="69" t="str">
        <f>'5. Static CDM Result by Program'!B464</f>
        <v>Retrofit</v>
      </c>
      <c r="BG67" s="69" t="str">
        <f>'5. Static CDM Result by Program'!C464</f>
        <v>GS &lt; 50</v>
      </c>
      <c r="BI67" s="27">
        <v>1</v>
      </c>
      <c r="BJ67" s="27"/>
      <c r="BK67" s="27"/>
      <c r="BL67" s="516">
        <v>2014</v>
      </c>
      <c r="BP67" s="520">
        <v>335794.56479048094</v>
      </c>
      <c r="BQ67" s="520">
        <v>671463.2217734576</v>
      </c>
      <c r="BR67" s="517">
        <v>671463.2217734576</v>
      </c>
      <c r="BS67" s="517">
        <v>625032.51380972064</v>
      </c>
    </row>
    <row r="68" spans="1:78" ht="15">
      <c r="A68" s="2">
        <v>40210</v>
      </c>
      <c r="B68" s="2"/>
      <c r="C68" s="60">
        <f>C67+E7</f>
        <v>981074.16726289538</v>
      </c>
      <c r="I68" s="60">
        <f>I67+K7</f>
        <v>687298.63459030783</v>
      </c>
      <c r="O68" s="60">
        <f>O67+Q7</f>
        <v>118509.35285524736</v>
      </c>
      <c r="U68" s="60">
        <f>U67+W7</f>
        <v>174180.85661643409</v>
      </c>
      <c r="AA68" s="60">
        <f>AA67+AC7</f>
        <v>1085.323200906183</v>
      </c>
      <c r="AP68" s="99" t="s">
        <v>115</v>
      </c>
      <c r="AQ68" t="str">
        <f t="shared" si="25"/>
        <v>Street Light</v>
      </c>
      <c r="AR68" s="70">
        <f>AR61</f>
        <v>0</v>
      </c>
      <c r="AS68" s="70">
        <f t="shared" ref="AS68:AY68" si="30">AS61</f>
        <v>0</v>
      </c>
      <c r="AT68" s="70">
        <f t="shared" si="30"/>
        <v>0</v>
      </c>
      <c r="AU68" s="70">
        <f t="shared" si="30"/>
        <v>0</v>
      </c>
      <c r="AV68" s="70">
        <f t="shared" si="30"/>
        <v>0</v>
      </c>
      <c r="AW68" s="70">
        <f t="shared" si="30"/>
        <v>0</v>
      </c>
      <c r="AX68" s="70">
        <f t="shared" si="30"/>
        <v>0</v>
      </c>
      <c r="AY68" s="70">
        <f t="shared" si="30"/>
        <v>0</v>
      </c>
      <c r="AZ68" s="70">
        <f>AZ61</f>
        <v>0</v>
      </c>
      <c r="BA68" s="518">
        <f t="shared" ref="BA68:BC68" si="31">BA61</f>
        <v>399045.8522125571</v>
      </c>
      <c r="BB68" s="518">
        <f t="shared" si="31"/>
        <v>786792.3779435074</v>
      </c>
      <c r="BC68" s="518">
        <f t="shared" si="31"/>
        <v>752180.45618073316</v>
      </c>
      <c r="BF68" s="69" t="str">
        <f>'5. Static CDM Result by Program'!B465</f>
        <v>Retrofit</v>
      </c>
      <c r="BG68" s="69" t="str">
        <f>'5. Static CDM Result by Program'!C465</f>
        <v>GS 50-999</v>
      </c>
      <c r="BI68" s="27"/>
      <c r="BJ68" s="27">
        <v>1</v>
      </c>
      <c r="BK68" s="27"/>
      <c r="BL68" s="516">
        <v>2014</v>
      </c>
      <c r="BP68" s="520">
        <v>460693.64902179764</v>
      </c>
      <c r="BQ68" s="520">
        <v>921214.55871615664</v>
      </c>
      <c r="BR68" s="517">
        <v>921214.55871615664</v>
      </c>
      <c r="BS68" s="517">
        <v>857513.90801674488</v>
      </c>
    </row>
    <row r="69" spans="1:78" ht="15">
      <c r="A69" s="2">
        <v>40238</v>
      </c>
      <c r="B69" s="2"/>
      <c r="C69" s="60">
        <f>C68+E7</f>
        <v>963122.3248359178</v>
      </c>
      <c r="I69" s="60">
        <f>I68+K7</f>
        <v>658784.34933024482</v>
      </c>
      <c r="O69" s="60">
        <f>O68+Q7</f>
        <v>126146.38731957614</v>
      </c>
      <c r="U69" s="60">
        <f>U68+W7</f>
        <v>176995.29813509775</v>
      </c>
      <c r="AA69" s="60">
        <f>AA68+AC7</f>
        <v>1196.2900509991784</v>
      </c>
      <c r="AQ69" t="s">
        <v>12</v>
      </c>
      <c r="AR69" s="70">
        <f>SUM(AR64:AR68)</f>
        <v>1623155.213645139</v>
      </c>
      <c r="AS69" s="70">
        <f t="shared" ref="AS69:BC69" si="32">SUM(AS64:AS68)</f>
        <v>4646180.5660392176</v>
      </c>
      <c r="AT69" s="70">
        <f t="shared" si="32"/>
        <v>6995958.7480950691</v>
      </c>
      <c r="AU69" s="70">
        <f t="shared" si="32"/>
        <v>10186807.960330183</v>
      </c>
      <c r="AV69" s="70">
        <f t="shared" si="32"/>
        <v>10803490.516097954</v>
      </c>
      <c r="AW69" s="70">
        <f t="shared" si="32"/>
        <v>12098105.9615006</v>
      </c>
      <c r="AX69" s="70">
        <f t="shared" si="32"/>
        <v>14377494.472340049</v>
      </c>
      <c r="AY69" s="70">
        <f t="shared" si="32"/>
        <v>20154698.342075609</v>
      </c>
      <c r="AZ69" s="70">
        <f t="shared" si="32"/>
        <v>29397170.239233129</v>
      </c>
      <c r="BA69" s="518">
        <f t="shared" si="32"/>
        <v>42735765.596878402</v>
      </c>
      <c r="BB69" s="518">
        <f t="shared" si="32"/>
        <v>50722239.798312947</v>
      </c>
      <c r="BC69" s="518">
        <f t="shared" si="32"/>
        <v>46975947.664935142</v>
      </c>
      <c r="BF69" s="69" t="str">
        <f>'5. Static CDM Result by Program'!B466</f>
        <v>Retrofit</v>
      </c>
      <c r="BG69" s="69" t="str">
        <f>'5. Static CDM Result by Program'!C466</f>
        <v>GS &gt; 1000</v>
      </c>
      <c r="BI69" s="27"/>
      <c r="BJ69" s="27"/>
      <c r="BK69" s="27">
        <v>1</v>
      </c>
      <c r="BL69" s="516">
        <v>2014</v>
      </c>
      <c r="BP69" s="520">
        <v>1767583.9875132085</v>
      </c>
      <c r="BQ69" s="520">
        <v>3534505.2108015516</v>
      </c>
      <c r="BR69" s="517">
        <v>3534505.2108015516</v>
      </c>
      <c r="BS69" s="517">
        <v>3290099.301561147</v>
      </c>
    </row>
    <row r="70" spans="1:78" ht="15">
      <c r="A70" s="2">
        <v>40269</v>
      </c>
      <c r="B70" s="2"/>
      <c r="C70" s="60">
        <f>C69+E7</f>
        <v>945170.48240894021</v>
      </c>
      <c r="I70" s="60">
        <f>I69+K7</f>
        <v>630270.0640701818</v>
      </c>
      <c r="O70" s="60">
        <f>O69+Q7</f>
        <v>133783.42178390492</v>
      </c>
      <c r="U70" s="60">
        <f>U69+W7</f>
        <v>179809.73965376141</v>
      </c>
      <c r="AA70" s="60">
        <f>AA69+AC7</f>
        <v>1307.2569010921738</v>
      </c>
      <c r="AR70" s="70">
        <f>(AR49+AR55+AR62)-AR69</f>
        <v>0</v>
      </c>
      <c r="AS70" s="70">
        <f t="shared" ref="AS70:BC70" si="33">(AS49+AS55+AS62)-AS69</f>
        <v>0</v>
      </c>
      <c r="AT70" s="70">
        <f t="shared" si="33"/>
        <v>0</v>
      </c>
      <c r="AU70" s="70">
        <f t="shared" si="33"/>
        <v>0</v>
      </c>
      <c r="AV70" s="70">
        <f t="shared" si="33"/>
        <v>0</v>
      </c>
      <c r="AW70" s="70">
        <f t="shared" si="33"/>
        <v>0</v>
      </c>
      <c r="AX70" s="70">
        <f t="shared" si="33"/>
        <v>0</v>
      </c>
      <c r="AY70" s="70">
        <f t="shared" si="33"/>
        <v>0</v>
      </c>
      <c r="AZ70" s="70">
        <f t="shared" si="33"/>
        <v>0</v>
      </c>
      <c r="BA70" s="518">
        <f t="shared" si="33"/>
        <v>0</v>
      </c>
      <c r="BB70" s="518">
        <f t="shared" si="33"/>
        <v>0</v>
      </c>
      <c r="BC70" s="518">
        <f t="shared" si="33"/>
        <v>0</v>
      </c>
      <c r="BF70" s="69" t="str">
        <f>'5. Static CDM Result by Program'!B467</f>
        <v>Retrofit</v>
      </c>
      <c r="BG70" s="69" t="s">
        <v>164</v>
      </c>
      <c r="BI70" s="27">
        <v>1</v>
      </c>
      <c r="BJ70" s="27"/>
      <c r="BK70" s="27"/>
      <c r="BL70" s="516">
        <v>2014</v>
      </c>
      <c r="BP70" s="520">
        <v>130743.29867451292</v>
      </c>
      <c r="BQ70" s="520">
        <v>261437.57451242258</v>
      </c>
      <c r="BR70" s="517">
        <v>261437.57451242258</v>
      </c>
      <c r="BS70" s="517">
        <v>243359.54539733063</v>
      </c>
    </row>
    <row r="71" spans="1:78" ht="15">
      <c r="A71" s="2">
        <v>40299</v>
      </c>
      <c r="B71" s="2"/>
      <c r="C71" s="60">
        <f>C70+E7</f>
        <v>927218.63998196262</v>
      </c>
      <c r="I71" s="60">
        <f>I70+K7</f>
        <v>601755.77881011879</v>
      </c>
      <c r="O71" s="60">
        <f>O70+Q7</f>
        <v>141420.45624823371</v>
      </c>
      <c r="U71" s="60">
        <f>U70+W7</f>
        <v>182624.18117242507</v>
      </c>
      <c r="AA71" s="60">
        <f>AA70+AC7</f>
        <v>1418.2237511851692</v>
      </c>
      <c r="AZ71" s="70"/>
      <c r="BF71" s="69" t="str">
        <f>'5. Static CDM Result by Program'!B468</f>
        <v>Direct Install Lighting</v>
      </c>
      <c r="BG71" s="69" t="str">
        <f>'5. Static CDM Result by Program'!C468</f>
        <v>GS &lt; 50</v>
      </c>
      <c r="BI71" s="27">
        <v>1</v>
      </c>
      <c r="BJ71" s="27"/>
      <c r="BK71" s="27"/>
      <c r="BL71" s="516">
        <v>2014</v>
      </c>
      <c r="BP71" s="520">
        <v>433035.76750000002</v>
      </c>
      <c r="BQ71" s="520">
        <v>852338.13894021604</v>
      </c>
      <c r="BR71" s="517">
        <v>724372.20628997346</v>
      </c>
      <c r="BS71" s="517">
        <v>526667.65092185081</v>
      </c>
    </row>
    <row r="72" spans="1:78" ht="15">
      <c r="A72" s="2">
        <v>40330</v>
      </c>
      <c r="B72" s="2"/>
      <c r="C72" s="60">
        <f>C71+E7</f>
        <v>909266.79755498504</v>
      </c>
      <c r="I72" s="60">
        <f>I71+K7</f>
        <v>573241.49355005578</v>
      </c>
      <c r="O72" s="60">
        <f>O71+Q7</f>
        <v>149057.49071256249</v>
      </c>
      <c r="U72" s="60">
        <f>U71+W7</f>
        <v>185438.62269108873</v>
      </c>
      <c r="AA72" s="60">
        <f>AA71+AC7</f>
        <v>1529.1906012781646</v>
      </c>
      <c r="AZ72" s="70"/>
      <c r="BA72" s="526">
        <f>BA62*2</f>
        <v>19810673.964775477</v>
      </c>
      <c r="BF72" s="69" t="str">
        <f>'5. Static CDM Result by Program'!B470</f>
        <v>New Construction</v>
      </c>
      <c r="BG72" s="69" t="str">
        <f>'5. Static CDM Result by Program'!C470</f>
        <v>GS 50-999</v>
      </c>
      <c r="BI72" s="27"/>
      <c r="BJ72" s="27">
        <v>1</v>
      </c>
      <c r="BK72" s="27"/>
      <c r="BL72" s="516">
        <v>2014</v>
      </c>
      <c r="BP72" s="517">
        <v>-2217.6819999999998</v>
      </c>
      <c r="BQ72" s="517">
        <v>-4435.3637443805183</v>
      </c>
      <c r="BR72" s="517">
        <v>-4435.3637443805183</v>
      </c>
      <c r="BS72" s="517">
        <v>-4435.3637443805183</v>
      </c>
      <c r="BU72" s="69">
        <f>SUM(BP67:BP72)</f>
        <v>3125633.5855000005</v>
      </c>
      <c r="BV72" s="70">
        <f>BU72-'5. Static CDM Result by Program'!Q475</f>
        <v>-3125633.5855000005</v>
      </c>
    </row>
    <row r="73" spans="1:78" ht="15">
      <c r="A73" s="2">
        <v>40360</v>
      </c>
      <c r="B73" s="2"/>
      <c r="C73" s="60">
        <f>C72+E7</f>
        <v>891314.95512800745</v>
      </c>
      <c r="I73" s="60">
        <f>I72+K7</f>
        <v>544727.20828999276</v>
      </c>
      <c r="O73" s="60">
        <f>O72+Q7</f>
        <v>156694.52517689127</v>
      </c>
      <c r="U73" s="60">
        <f>U72+W7</f>
        <v>188253.0642097524</v>
      </c>
      <c r="AA73" s="60">
        <f>AA72+AC7</f>
        <v>1640.1574513711601</v>
      </c>
      <c r="AZ73" s="70"/>
      <c r="BF73" s="69" t="str">
        <f>'5. Static CDM Result by Program'!B480</f>
        <v>Energy Manager</v>
      </c>
      <c r="BG73" s="69" t="str">
        <f>'5. Static CDM Result by Program'!C480</f>
        <v>GS &gt; 1000</v>
      </c>
      <c r="BI73" s="27"/>
      <c r="BJ73" s="27"/>
      <c r="BK73" s="27">
        <v>1</v>
      </c>
      <c r="BL73" s="516">
        <v>2014</v>
      </c>
      <c r="BP73" s="513">
        <v>929664</v>
      </c>
      <c r="BQ73" s="513">
        <v>1773792</v>
      </c>
      <c r="BR73" s="517">
        <v>1773792</v>
      </c>
      <c r="BS73" s="517">
        <v>1773792</v>
      </c>
      <c r="BU73" s="69">
        <f>BP73</f>
        <v>929664</v>
      </c>
      <c r="BV73" s="70">
        <f>BU73-'5. Static CDM Result by Program'!Q483</f>
        <v>-929664</v>
      </c>
    </row>
    <row r="74" spans="1:78" ht="15">
      <c r="A74" s="2">
        <v>40391</v>
      </c>
      <c r="B74" s="2"/>
      <c r="C74" s="60">
        <f>C73+E7</f>
        <v>873363.11270102987</v>
      </c>
      <c r="I74" s="60">
        <f>I73+K7</f>
        <v>516212.92302992969</v>
      </c>
      <c r="O74" s="60">
        <f>O73+Q7</f>
        <v>164331.55964122005</v>
      </c>
      <c r="U74" s="60">
        <f>U73+W7</f>
        <v>191067.50572841606</v>
      </c>
      <c r="AA74" s="60">
        <f>AA73+AC7</f>
        <v>1751.1243014641555</v>
      </c>
      <c r="AZ74" s="70"/>
      <c r="BF74" s="69" t="str">
        <f>'5. Static CDM Result by Program'!B486</f>
        <v>Home Assistance Program</v>
      </c>
      <c r="BG74" s="69" t="str">
        <f>'5. Static CDM Result by Program'!C486</f>
        <v>RS</v>
      </c>
      <c r="BH74" s="27">
        <v>1</v>
      </c>
      <c r="BI74" s="27"/>
      <c r="BJ74" s="27"/>
      <c r="BK74" s="27"/>
      <c r="BL74" s="516">
        <v>2014</v>
      </c>
      <c r="BP74" s="513">
        <v>56534.856500000002</v>
      </c>
      <c r="BQ74" s="513">
        <v>112975.05039596558</v>
      </c>
      <c r="BR74" s="517">
        <v>103039.21137809753</v>
      </c>
      <c r="BS74" s="517">
        <v>98449.943099975586</v>
      </c>
      <c r="BU74" s="69">
        <f>BP74</f>
        <v>56534.856500000002</v>
      </c>
      <c r="BV74" s="70">
        <f>BU74-'5. Static CDM Result by Program'!Q487</f>
        <v>-56534.856500000002</v>
      </c>
    </row>
    <row r="75" spans="1:78" ht="15">
      <c r="A75" s="2">
        <v>40422</v>
      </c>
      <c r="B75" s="2"/>
      <c r="C75" s="60">
        <f>C74+E7</f>
        <v>855411.27027405228</v>
      </c>
      <c r="I75" s="60">
        <f>I74+K7</f>
        <v>487698.63776986662</v>
      </c>
      <c r="O75" s="60">
        <f>O74+Q7</f>
        <v>171968.59410554884</v>
      </c>
      <c r="U75" s="60">
        <f>U74+W7</f>
        <v>193881.94724707972</v>
      </c>
      <c r="AA75" s="60">
        <f>AA74+AC7</f>
        <v>1862.0911515571509</v>
      </c>
      <c r="BA75" s="300" t="s">
        <v>441</v>
      </c>
      <c r="BB75" s="300" t="s">
        <v>440</v>
      </c>
      <c r="BF75" s="69" t="str">
        <f>'5. Static CDM Result by Program'!B503</f>
        <v>Program Enabled Savings</v>
      </c>
      <c r="BG75" s="69" t="str">
        <f>'5. Static CDM Result by Program'!C503</f>
        <v>GS 50-999</v>
      </c>
      <c r="BI75" s="27"/>
      <c r="BJ75" s="27">
        <v>1</v>
      </c>
      <c r="BK75" s="27"/>
      <c r="BL75" s="516">
        <v>2014</v>
      </c>
      <c r="BP75" s="513">
        <v>814769.5</v>
      </c>
      <c r="BQ75" s="513">
        <v>1629539</v>
      </c>
      <c r="BR75" s="517">
        <v>1629539</v>
      </c>
      <c r="BS75" s="517">
        <v>1629539</v>
      </c>
      <c r="BU75" s="69">
        <f>BP75</f>
        <v>814769.5</v>
      </c>
      <c r="BV75" s="70">
        <f>BU75-'5. Static CDM Result by Program'!Q506</f>
        <v>-814769.5</v>
      </c>
      <c r="BW75" s="69">
        <f>SUM(BU66:BU75)</f>
        <v>5812304.1475000009</v>
      </c>
      <c r="BX75" s="70">
        <f>BW75-'5. Static CDM Result by Program'!N579</f>
        <v>-5812357.5894999988</v>
      </c>
      <c r="BY75" s="70">
        <f>'5. Static CDM Result by Program'!E508/2</f>
        <v>5812330.8685000008</v>
      </c>
      <c r="BZ75" s="70">
        <f>SUM(BX75:BY75)</f>
        <v>-26.720999998040497</v>
      </c>
    </row>
    <row r="76" spans="1:78">
      <c r="A76" s="2">
        <v>40452</v>
      </c>
      <c r="B76" s="2"/>
      <c r="C76" s="60">
        <f>C75+E7</f>
        <v>837459.42784707469</v>
      </c>
      <c r="I76" s="60">
        <f>I75+K7</f>
        <v>459184.35250980355</v>
      </c>
      <c r="O76" s="60">
        <f>O75+Q7</f>
        <v>179605.62856987762</v>
      </c>
      <c r="U76" s="60">
        <f>U75+W7</f>
        <v>196696.38876574338</v>
      </c>
      <c r="AA76" s="60">
        <f>AA75+AC7</f>
        <v>1973.0580016501463</v>
      </c>
      <c r="AR76" s="61"/>
      <c r="AS76" s="61"/>
      <c r="AT76" s="61"/>
      <c r="AU76" s="61"/>
      <c r="AV76" s="61"/>
      <c r="AW76" s="61"/>
      <c r="AX76" s="61"/>
      <c r="AY76" s="61"/>
      <c r="AZ76" t="s">
        <v>74</v>
      </c>
      <c r="BA76" s="513">
        <f>(BA57*2)+BB57+BC57</f>
        <v>7497093.2955568414</v>
      </c>
      <c r="BB76" s="518">
        <f>BQ78+BR78+BS78</f>
        <v>10233665.435865764</v>
      </c>
      <c r="BL76" s="512"/>
      <c r="BM76" s="513">
        <f>SUM(BM3:BM75)</f>
        <v>1102787.7641223448</v>
      </c>
      <c r="BN76" s="513">
        <f t="shared" ref="BN76:BS76" si="34">SUM(BN3:BN75)</f>
        <v>3638158.4481953694</v>
      </c>
      <c r="BO76" s="513">
        <f t="shared" si="34"/>
        <v>9600105.3785993531</v>
      </c>
      <c r="BP76" s="513">
        <f t="shared" si="34"/>
        <v>19740467.494787782</v>
      </c>
      <c r="BQ76" s="513">
        <f t="shared" si="34"/>
        <v>24924144.857308984</v>
      </c>
      <c r="BR76" s="513">
        <f t="shared" si="34"/>
        <v>23888923.645099416</v>
      </c>
      <c r="BS76" s="513">
        <f t="shared" si="34"/>
        <v>21887927.204316713</v>
      </c>
      <c r="BU76" s="70">
        <f>SUM(BU7:BU75)</f>
        <v>34081519.085704856</v>
      </c>
      <c r="BW76" s="70">
        <f>SUM(BW7:BW75)</f>
        <v>34081519.085704856</v>
      </c>
      <c r="BX76" s="70">
        <f>BW76-'5. Static CDM Result by Program'!Q579</f>
        <v>-12917066.560809545</v>
      </c>
      <c r="BY76" s="70">
        <f>SUM(BY23:BY75)</f>
        <v>12917040.367128599</v>
      </c>
      <c r="BZ76" s="70">
        <f>SUM(BX76:BY76)</f>
        <v>-26.193680945783854</v>
      </c>
    </row>
    <row r="77" spans="1:78">
      <c r="A77" s="2">
        <v>40483</v>
      </c>
      <c r="B77" s="2"/>
      <c r="C77" s="60">
        <f>C76+E7</f>
        <v>819507.58542009711</v>
      </c>
      <c r="D77" s="99" t="s">
        <v>60</v>
      </c>
      <c r="I77" s="60">
        <f>I76+K7</f>
        <v>430670.06724974047</v>
      </c>
      <c r="J77" s="99" t="s">
        <v>60</v>
      </c>
      <c r="O77" s="60">
        <f>O76+Q7</f>
        <v>187242.6630342064</v>
      </c>
      <c r="P77" s="99" t="s">
        <v>60</v>
      </c>
      <c r="U77" s="60">
        <f>U76+W7</f>
        <v>199510.83028440704</v>
      </c>
      <c r="V77" s="99" t="s">
        <v>60</v>
      </c>
      <c r="AA77" s="60">
        <f>AA76+AC7</f>
        <v>2084.0248517431414</v>
      </c>
      <c r="AB77" s="99" t="s">
        <v>60</v>
      </c>
      <c r="AZ77" t="s">
        <v>79</v>
      </c>
      <c r="BA77" s="513">
        <f>(+BA58*2)+BB58+BC58</f>
        <v>1741971.7096846781</v>
      </c>
      <c r="BB77" s="518">
        <f>BQ79+BR79+BS79</f>
        <v>12043949.055943556</v>
      </c>
      <c r="BL77" s="512"/>
      <c r="BM77" s="35">
        <v>2011</v>
      </c>
      <c r="BN77" s="35">
        <v>2012</v>
      </c>
      <c r="BO77" s="35">
        <v>2013</v>
      </c>
      <c r="BP77" s="35">
        <v>2014</v>
      </c>
      <c r="BQ77" s="35">
        <v>2015</v>
      </c>
      <c r="BR77" s="35">
        <v>2016</v>
      </c>
      <c r="BS77" s="35">
        <v>2017</v>
      </c>
    </row>
    <row r="78" spans="1:78">
      <c r="A78" s="2">
        <v>40513</v>
      </c>
      <c r="B78" s="2"/>
      <c r="C78" s="60">
        <f>C77+E7</f>
        <v>801555.74299311952</v>
      </c>
      <c r="D78" s="60">
        <f>SUM(C67:C78)</f>
        <v>10803490.516097954</v>
      </c>
      <c r="E78" s="60">
        <f>C78*12</f>
        <v>9618668.9159174338</v>
      </c>
      <c r="I78" s="60">
        <f>I77+K7</f>
        <v>402155.7819896774</v>
      </c>
      <c r="J78" s="60">
        <f>SUM(I67:I78)</f>
        <v>6707812.2110402901</v>
      </c>
      <c r="K78" s="60">
        <f>I78*12</f>
        <v>4825869.3838761291</v>
      </c>
      <c r="O78" s="60">
        <f>O77+Q7</f>
        <v>194879.69749853518</v>
      </c>
      <c r="P78" s="60">
        <f>SUM(O67:O78)</f>
        <v>1834512.0953367229</v>
      </c>
      <c r="Q78" s="60">
        <f>O78*12</f>
        <v>2338556.3699824223</v>
      </c>
      <c r="U78" s="60">
        <f>U77+W7</f>
        <v>202325.2718030707</v>
      </c>
      <c r="V78" s="60">
        <f>SUM(U67:U78)</f>
        <v>2242150.1214050474</v>
      </c>
      <c r="W78" s="60">
        <f>U78*12</f>
        <v>2427903.2616368486</v>
      </c>
      <c r="AA78" s="60">
        <f>AA77+AC7</f>
        <v>2194.9917018361366</v>
      </c>
      <c r="AB78" s="60">
        <f>SUM(AA67:AA78)</f>
        <v>19016.088315895948</v>
      </c>
      <c r="AC78" s="60">
        <f>AA78*12</f>
        <v>26339.900422033639</v>
      </c>
      <c r="AZ78" t="s">
        <v>165</v>
      </c>
      <c r="BA78" s="513">
        <f>(BA59*2)+BB59+BC59</f>
        <v>8240915.6725051543</v>
      </c>
      <c r="BB78" s="518">
        <f>BQ80+BR80+BS80</f>
        <v>18610996.997831628</v>
      </c>
      <c r="BJ78" s="72" t="s">
        <v>257</v>
      </c>
      <c r="BL78" t="s">
        <v>74</v>
      </c>
      <c r="BM78" s="518">
        <f>SUMPRODUCT($BH$3:$BH$75,BM3:BM75)</f>
        <v>517777.321</v>
      </c>
      <c r="BN78" s="518">
        <f t="shared" ref="BN78:BP78" si="35">SUMPRODUCT($BH$3:$BH$75,BN3:BN75)</f>
        <v>1331194.1862011279</v>
      </c>
      <c r="BO78" s="518">
        <f t="shared" si="35"/>
        <v>1950180.013491156</v>
      </c>
      <c r="BP78" s="518">
        <f t="shared" si="35"/>
        <v>3210850.5305206636</v>
      </c>
      <c r="BQ78" s="524">
        <f t="shared" ref="BQ78:BS78" si="36">SUMPRODUCT($BH$3:$BH$75,BQ3:BQ75)</f>
        <v>3855522.3646976491</v>
      </c>
      <c r="BR78" s="524">
        <f t="shared" si="36"/>
        <v>3352493.2132922318</v>
      </c>
      <c r="BS78" s="524">
        <f t="shared" si="36"/>
        <v>3025649.8578758836</v>
      </c>
    </row>
    <row r="79" spans="1:78">
      <c r="A79" s="2">
        <v>40544</v>
      </c>
      <c r="B79" s="2"/>
      <c r="C79" s="60">
        <f>C78+E8</f>
        <v>833343.39742367296</v>
      </c>
      <c r="I79" s="60">
        <f>I78+K8</f>
        <v>433380.04574383411</v>
      </c>
      <c r="O79" s="60">
        <f>O78+Q8</f>
        <v>197981.19865311679</v>
      </c>
      <c r="U79" s="60">
        <f>U78+W8</f>
        <v>199054.10932333182</v>
      </c>
      <c r="AA79" s="60">
        <f>AA78+AC8</f>
        <v>2928.0437033901194</v>
      </c>
      <c r="AZ79" t="s">
        <v>112</v>
      </c>
      <c r="BA79" s="513">
        <f>(BA60*2)+BB60+BC60+160</f>
        <v>39016771.543920621</v>
      </c>
      <c r="BB79" s="518">
        <f>BQ81+BR81+BS81</f>
        <v>29812384.217084169</v>
      </c>
      <c r="BJ79" s="72" t="s">
        <v>257</v>
      </c>
      <c r="BL79" t="s">
        <v>79</v>
      </c>
      <c r="BM79" s="518">
        <f>SUMPRODUCT($BI$3:$BI$75,BM3:BM75)</f>
        <v>238114.12776492391</v>
      </c>
      <c r="BN79" s="518">
        <f t="shared" ref="BN79:BP79" si="37">SUMPRODUCT($BI$3:$BI$75,BN3:BN75)</f>
        <v>1076233.7797826233</v>
      </c>
      <c r="BO79" s="518">
        <f t="shared" si="37"/>
        <v>2415202.9872606671</v>
      </c>
      <c r="BP79" s="518">
        <f t="shared" si="37"/>
        <v>3919504.2060375325</v>
      </c>
      <c r="BQ79" s="524">
        <f t="shared" ref="BQ79:BS79" si="38">SUMPRODUCT($BI$3:$BI$75,BQ3:BQ75)</f>
        <v>4596557.4626076045</v>
      </c>
      <c r="BR79" s="524">
        <f t="shared" si="38"/>
        <v>4281925.2814374259</v>
      </c>
      <c r="BS79" s="524">
        <f t="shared" si="38"/>
        <v>3165466.3118985258</v>
      </c>
    </row>
    <row r="80" spans="1:78">
      <c r="A80" s="2">
        <v>40575</v>
      </c>
      <c r="B80" s="2"/>
      <c r="C80" s="60">
        <f>C79+E8</f>
        <v>865131.05185422639</v>
      </c>
      <c r="I80" s="60">
        <f>I79+K8</f>
        <v>464604.30949799082</v>
      </c>
      <c r="O80" s="60">
        <f>O79+Q8</f>
        <v>201082.6998076984</v>
      </c>
      <c r="U80" s="60">
        <f>U79+W8</f>
        <v>195782.94684359294</v>
      </c>
      <c r="AA80" s="60">
        <f>AA79+AC8</f>
        <v>3661.0957049441022</v>
      </c>
      <c r="AZ80" s="72" t="s">
        <v>258</v>
      </c>
      <c r="BA80" s="513">
        <f>(BA61*2)+BB61+BC61</f>
        <v>2337064.5385493548</v>
      </c>
      <c r="BJ80" s="72" t="s">
        <v>257</v>
      </c>
      <c r="BL80" s="69" t="s">
        <v>165</v>
      </c>
      <c r="BM80" s="518">
        <f>SUMPRODUCT($BJ$3:$BJ$75,BM3:BM75)</f>
        <v>263378.3588141764</v>
      </c>
      <c r="BN80" s="518">
        <f t="shared" ref="BN80:BP80" si="39">SUMPRODUCT($BJ$3:$BJ$75,BN3:BN75)</f>
        <v>1043707.3764534524</v>
      </c>
      <c r="BO80" s="518">
        <f t="shared" si="39"/>
        <v>2716584.3022024417</v>
      </c>
      <c r="BP80" s="518">
        <f t="shared" si="39"/>
        <v>5133008.8046596432</v>
      </c>
      <c r="BQ80" s="524">
        <f t="shared" ref="BQ80:BS80" si="40">SUMPRODUCT($BJ$3:$BJ$75,BQ3:BQ75)</f>
        <v>6391300.8001542967</v>
      </c>
      <c r="BR80" s="524">
        <f t="shared" si="40"/>
        <v>6205011.4066091105</v>
      </c>
      <c r="BS80" s="524">
        <f t="shared" si="40"/>
        <v>6014684.7910682214</v>
      </c>
    </row>
    <row r="81" spans="1:71">
      <c r="A81" s="2">
        <v>40603</v>
      </c>
      <c r="B81" s="2"/>
      <c r="C81" s="60">
        <f>C80+E8</f>
        <v>896918.70628477982</v>
      </c>
      <c r="I81" s="60">
        <f>I80+K8</f>
        <v>495828.57325214753</v>
      </c>
      <c r="O81" s="60">
        <f>O80+Q8</f>
        <v>204184.20096228001</v>
      </c>
      <c r="U81" s="60">
        <f>U80+W8</f>
        <v>192511.78436385407</v>
      </c>
      <c r="AA81" s="60">
        <f>AA80+AC8</f>
        <v>4394.1477064980854</v>
      </c>
      <c r="BA81" s="513"/>
      <c r="BJ81" s="72" t="s">
        <v>257</v>
      </c>
      <c r="BL81" t="s">
        <v>112</v>
      </c>
      <c r="BM81" s="518">
        <f>SUMPRODUCT($BK$3:$BK$75,BM3:BM75)</f>
        <v>83517.956543244305</v>
      </c>
      <c r="BN81" s="518">
        <f t="shared" ref="BN81:BP81" si="41">SUMPRODUCT($BK$3:$BK$75,BN3:BN75)</f>
        <v>187023.10575816603</v>
      </c>
      <c r="BO81" s="518">
        <f t="shared" si="41"/>
        <v>2518138.0756450878</v>
      </c>
      <c r="BP81" s="518">
        <f t="shared" si="41"/>
        <v>7477103.9535699487</v>
      </c>
      <c r="BQ81" s="524">
        <f t="shared" ref="BQ81:BS81" si="42">SUMPRODUCT($BK$3:$BK$75,BQ3:BQ75)</f>
        <v>10080764.229849435</v>
      </c>
      <c r="BR81" s="524">
        <f t="shared" si="42"/>
        <v>10049493.743760649</v>
      </c>
      <c r="BS81" s="524">
        <f t="shared" si="42"/>
        <v>9682126.2434740849</v>
      </c>
    </row>
    <row r="82" spans="1:71">
      <c r="A82" s="2">
        <v>40634</v>
      </c>
      <c r="B82" s="2"/>
      <c r="C82" s="60">
        <f>C81+E8</f>
        <v>928706.36071533326</v>
      </c>
      <c r="I82" s="60">
        <f>I81+K8</f>
        <v>527052.8370063043</v>
      </c>
      <c r="O82" s="60">
        <f>O81+Q8</f>
        <v>207285.70211686162</v>
      </c>
      <c r="U82" s="60">
        <f>U81+W8</f>
        <v>189240.62188411519</v>
      </c>
      <c r="AA82" s="60">
        <f>AA81+AC8</f>
        <v>5127.1997080520687</v>
      </c>
      <c r="BA82" s="513">
        <f>SUM(BA76:BA81)</f>
        <v>58833816.760216646</v>
      </c>
      <c r="BB82" s="513">
        <f>SUM(BB76:BB81)</f>
        <v>70700995.706725121</v>
      </c>
      <c r="BC82" s="513">
        <f>BA82+BB82</f>
        <v>129534812.46694177</v>
      </c>
      <c r="BL82" s="72" t="s">
        <v>12</v>
      </c>
      <c r="BM82" s="518">
        <f>SUM(BM78:BM81)</f>
        <v>1102787.7641223446</v>
      </c>
      <c r="BN82" s="518">
        <f t="shared" ref="BN82:BP82" si="43">SUM(BN78:BN81)</f>
        <v>3638158.4481953694</v>
      </c>
      <c r="BO82" s="518">
        <f t="shared" si="43"/>
        <v>9600105.3785993531</v>
      </c>
      <c r="BP82" s="518">
        <f t="shared" si="43"/>
        <v>19740467.49478779</v>
      </c>
      <c r="BQ82" s="518">
        <f t="shared" ref="BQ82" si="44">SUM(BQ78:BQ81)</f>
        <v>24924144.857308984</v>
      </c>
      <c r="BR82" s="518">
        <f t="shared" ref="BR82" si="45">SUM(BR78:BR81)</f>
        <v>23888923.645099416</v>
      </c>
      <c r="BS82" s="518">
        <f t="shared" ref="BS82" si="46">SUM(BS78:BS81)</f>
        <v>21887927.204316717</v>
      </c>
    </row>
    <row r="83" spans="1:71">
      <c r="A83" s="2">
        <v>40664</v>
      </c>
      <c r="B83" s="2"/>
      <c r="C83" s="60">
        <f>C82+E8</f>
        <v>960494.01514588669</v>
      </c>
      <c r="I83" s="60">
        <f>I82+K8</f>
        <v>558277.10076046106</v>
      </c>
      <c r="O83" s="60">
        <f>O82+Q8</f>
        <v>210387.20327144323</v>
      </c>
      <c r="U83" s="60">
        <f>U82+W8</f>
        <v>185969.45940437631</v>
      </c>
      <c r="AA83" s="60">
        <f>AA82+AC8</f>
        <v>5860.2517096060519</v>
      </c>
      <c r="BA83" s="521">
        <f>BA82-BC62-BB62-BA72</f>
        <v>159.99999999627471</v>
      </c>
      <c r="BB83" s="518">
        <f>BB82-BQ82-BR82-BS82</f>
        <v>0</v>
      </c>
      <c r="BM83" s="521">
        <f>BM76-BM82</f>
        <v>0</v>
      </c>
      <c r="BN83" s="521">
        <f t="shared" ref="BN83:BP83" si="47">BN76-BN82</f>
        <v>0</v>
      </c>
      <c r="BO83" s="521">
        <f t="shared" si="47"/>
        <v>0</v>
      </c>
      <c r="BP83" s="521">
        <f t="shared" si="47"/>
        <v>0</v>
      </c>
    </row>
    <row r="84" spans="1:71">
      <c r="A84" s="2">
        <v>40695</v>
      </c>
      <c r="B84" s="2"/>
      <c r="C84" s="60">
        <f>C83+E8</f>
        <v>992281.66957644012</v>
      </c>
      <c r="I84" s="60">
        <f>I83+K8</f>
        <v>589501.36451461783</v>
      </c>
      <c r="O84" s="60">
        <f>O83+Q8</f>
        <v>213488.70442602484</v>
      </c>
      <c r="U84" s="60">
        <f>U83+W8</f>
        <v>182698.29692463743</v>
      </c>
      <c r="AA84" s="60">
        <f>AA83+AC8</f>
        <v>6593.3037111600352</v>
      </c>
      <c r="BM84" s="513">
        <f>BM76</f>
        <v>1102787.7641223448</v>
      </c>
      <c r="BN84" s="518">
        <f>SUM(BN24:BN40)</f>
        <v>1432583.2495000002</v>
      </c>
      <c r="BO84" s="518">
        <f>SUM(BO41:BO61)</f>
        <v>4569338.4851286002</v>
      </c>
      <c r="BP84" s="513">
        <f>SUM(BP62:BP75)</f>
        <v>5812304.1475</v>
      </c>
      <c r="BQ84" s="513">
        <f t="shared" ref="BQ84:BS84" si="48">SUM(BQ62:BQ75)</f>
        <v>11364988.827740241</v>
      </c>
      <c r="BR84" s="513">
        <f t="shared" si="48"/>
        <v>11144743.795872131</v>
      </c>
      <c r="BS84" s="513">
        <f t="shared" si="48"/>
        <v>10569625.859114025</v>
      </c>
    </row>
    <row r="85" spans="1:71">
      <c r="A85" s="2">
        <v>40725</v>
      </c>
      <c r="B85" s="2"/>
      <c r="C85" s="60">
        <f>C84+E8</f>
        <v>1024069.3240069936</v>
      </c>
      <c r="I85" s="60">
        <f>I84+K8</f>
        <v>620725.6282687746</v>
      </c>
      <c r="O85" s="60">
        <f>O84+Q8</f>
        <v>216590.20558060645</v>
      </c>
      <c r="U85" s="60">
        <f>U84+W8</f>
        <v>179427.13444489855</v>
      </c>
      <c r="AA85" s="60">
        <f>AA84+AC8</f>
        <v>7326.3557127140184</v>
      </c>
    </row>
    <row r="86" spans="1:71">
      <c r="A86" s="2">
        <v>40756</v>
      </c>
      <c r="B86" s="2"/>
      <c r="C86" s="60">
        <f>C85+E8</f>
        <v>1055856.9784375469</v>
      </c>
      <c r="I86" s="60">
        <f>I85+K8</f>
        <v>651949.89202293137</v>
      </c>
      <c r="O86" s="60">
        <f>O85+Q8</f>
        <v>219691.70673518805</v>
      </c>
      <c r="U86" s="60">
        <f>U85+W8</f>
        <v>176155.97196515967</v>
      </c>
      <c r="AA86" s="60">
        <f>AA85+AC8</f>
        <v>8059.4077142680017</v>
      </c>
      <c r="BM86" s="513">
        <f>BM76-BM84+BM84*2</f>
        <v>2205575.5282446896</v>
      </c>
      <c r="BN86" s="513">
        <f t="shared" ref="BN86:BP86" si="49">BN76-BN84+BN84*2</f>
        <v>5070741.6976953689</v>
      </c>
      <c r="BO86" s="513">
        <f t="shared" si="49"/>
        <v>14169443.863727953</v>
      </c>
      <c r="BP86" s="513">
        <f t="shared" si="49"/>
        <v>25552771.642287783</v>
      </c>
    </row>
    <row r="87" spans="1:71">
      <c r="A87" s="2">
        <v>40787</v>
      </c>
      <c r="B87" s="2"/>
      <c r="C87" s="60">
        <f>C86+E8</f>
        <v>1087644.6328681002</v>
      </c>
      <c r="I87" s="60">
        <f>I86+K8</f>
        <v>683174.15577708813</v>
      </c>
      <c r="O87" s="60">
        <f>O86+Q8</f>
        <v>222793.20788976966</v>
      </c>
      <c r="U87" s="60">
        <f>U86+W8</f>
        <v>172884.80948542079</v>
      </c>
      <c r="AA87" s="60">
        <f>AA86+AC8</f>
        <v>8792.459715821984</v>
      </c>
      <c r="BM87" s="513">
        <f>BM86-'[15]App_2-I LF_CDM'!B46</f>
        <v>2.4468963965773582E-4</v>
      </c>
      <c r="BN87" s="513">
        <f>BN86-'[15]App_2-I LF_CDM'!C46</f>
        <v>-0.32930463179945946</v>
      </c>
      <c r="BO87" s="513">
        <f>BO86-'[15]App_2-I LF_CDM'!D46</f>
        <v>-0.68352924659848213</v>
      </c>
      <c r="BP87" s="513">
        <f>BP86-'[15]App_2-I LF_CDM'!E46</f>
        <v>-51.901969417929649</v>
      </c>
    </row>
    <row r="88" spans="1:71">
      <c r="A88" s="2">
        <v>40817</v>
      </c>
      <c r="B88" s="2"/>
      <c r="C88" s="60">
        <f>C87+E8</f>
        <v>1119432.2872986535</v>
      </c>
      <c r="I88" s="60">
        <f>I87+K8</f>
        <v>714398.4195312449</v>
      </c>
      <c r="O88" s="60">
        <f>O87+Q8</f>
        <v>225894.70904435127</v>
      </c>
      <c r="U88" s="60">
        <f>U87+W8</f>
        <v>169613.64700568191</v>
      </c>
      <c r="AA88" s="60">
        <f>AA87+AC8</f>
        <v>9525.5117173759663</v>
      </c>
      <c r="BM88" s="513"/>
    </row>
    <row r="89" spans="1:71">
      <c r="A89" s="2">
        <v>40848</v>
      </c>
      <c r="B89" s="2"/>
      <c r="C89" s="60">
        <f>C88+E8</f>
        <v>1151219.9417292068</v>
      </c>
      <c r="D89" s="99" t="s">
        <v>60</v>
      </c>
      <c r="I89" s="60">
        <f>I88+K8</f>
        <v>745622.68328540167</v>
      </c>
      <c r="J89" s="99" t="s">
        <v>60</v>
      </c>
      <c r="O89" s="60">
        <f>O88+Q8</f>
        <v>228996.21019893288</v>
      </c>
      <c r="P89" s="99" t="s">
        <v>60</v>
      </c>
      <c r="U89" s="60">
        <f>U88+W8</f>
        <v>166342.48452594303</v>
      </c>
      <c r="V89" s="99" t="s">
        <v>60</v>
      </c>
      <c r="AA89" s="60">
        <f>AA88+AC8</f>
        <v>10258.563718929949</v>
      </c>
      <c r="AB89" s="99" t="s">
        <v>60</v>
      </c>
    </row>
    <row r="90" spans="1:71">
      <c r="A90" s="2">
        <v>40878</v>
      </c>
      <c r="B90" s="2"/>
      <c r="C90" s="60">
        <f>C89+E8</f>
        <v>1183007.5961597601</v>
      </c>
      <c r="D90" s="60">
        <f>SUM(C79:C90)</f>
        <v>12098105.9615006</v>
      </c>
      <c r="E90" s="60">
        <f>C90*12</f>
        <v>14196091.153917123</v>
      </c>
      <c r="I90" s="60">
        <f>I89+K8</f>
        <v>776846.94703955844</v>
      </c>
      <c r="J90" s="60">
        <f>SUM(I79:I90)</f>
        <v>7261361.9567003557</v>
      </c>
      <c r="K90" s="60">
        <f>I90*12</f>
        <v>9322163.3644747008</v>
      </c>
      <c r="O90" s="60">
        <f>O89+Q8</f>
        <v>232097.71135351449</v>
      </c>
      <c r="P90" s="60">
        <f>SUM(O79:O90)</f>
        <v>2580473.4600397875</v>
      </c>
      <c r="Q90" s="60">
        <f>O90*12</f>
        <v>2785172.536242174</v>
      </c>
      <c r="U90" s="60">
        <f>U89+W8</f>
        <v>163071.32204620415</v>
      </c>
      <c r="V90" s="60">
        <f>SUM(U79:U90)</f>
        <v>2172752.5882172156</v>
      </c>
      <c r="W90" s="60">
        <f>U90*12</f>
        <v>1956855.8645544499</v>
      </c>
      <c r="AA90" s="60">
        <f>AA89+AC8</f>
        <v>10991.615720483931</v>
      </c>
      <c r="AB90" s="60">
        <f>SUM(AA79:AA90)</f>
        <v>83517.956543244305</v>
      </c>
      <c r="AC90" s="60">
        <f>AA90*12</f>
        <v>131899.38864580716</v>
      </c>
    </row>
    <row r="91" spans="1:71">
      <c r="A91" s="2">
        <v>40909</v>
      </c>
      <c r="B91" s="2"/>
      <c r="C91" s="60">
        <f>C90+E9</f>
        <v>1185333.2797292848</v>
      </c>
      <c r="I91" s="60">
        <f>I90+K9</f>
        <v>757573.01478562516</v>
      </c>
      <c r="O91" s="60">
        <f>O90+Q9</f>
        <v>240218.48796653131</v>
      </c>
      <c r="U91" s="60">
        <f>U90+W9</f>
        <v>175843.44693469186</v>
      </c>
      <c r="AA91" s="60">
        <f>AA90+AC9</f>
        <v>11698.33004243725</v>
      </c>
    </row>
    <row r="92" spans="1:71">
      <c r="A92" s="2">
        <v>40940</v>
      </c>
      <c r="B92" s="2"/>
      <c r="C92" s="60">
        <f>C91+E9</f>
        <v>1187658.9632988095</v>
      </c>
      <c r="I92" s="60">
        <f>I91+K9</f>
        <v>738299.08253169188</v>
      </c>
      <c r="O92" s="60">
        <f>O91+Q9</f>
        <v>248339.26457954812</v>
      </c>
      <c r="U92" s="60">
        <f>U91+W9</f>
        <v>188615.57182317961</v>
      </c>
      <c r="AA92" s="60">
        <f>AA91+AC9</f>
        <v>12405.044364390569</v>
      </c>
    </row>
    <row r="93" spans="1:71">
      <c r="A93" s="2">
        <v>40969</v>
      </c>
      <c r="B93" s="2"/>
      <c r="C93" s="60">
        <f>C92+E9</f>
        <v>1189984.6468683342</v>
      </c>
      <c r="I93" s="60">
        <f>I92+K9</f>
        <v>719025.1502777586</v>
      </c>
      <c r="O93" s="60">
        <f>O92+Q9</f>
        <v>256460.04119256494</v>
      </c>
      <c r="U93" s="60">
        <f>U92+W9</f>
        <v>201387.69671166735</v>
      </c>
      <c r="AA93" s="60">
        <f>AA92+AC9</f>
        <v>13111.758686343888</v>
      </c>
    </row>
    <row r="94" spans="1:71">
      <c r="A94" s="2">
        <v>41000</v>
      </c>
      <c r="B94" s="2"/>
      <c r="C94" s="60">
        <f>C93+E9</f>
        <v>1192310.3304378588</v>
      </c>
      <c r="I94" s="60">
        <f>I93+K9</f>
        <v>699751.21802382532</v>
      </c>
      <c r="O94" s="60">
        <f>O93+Q9</f>
        <v>264580.81780558178</v>
      </c>
      <c r="U94" s="60">
        <f>U93+W9</f>
        <v>214159.82160015509</v>
      </c>
      <c r="AA94" s="60">
        <f>AA93+AC9</f>
        <v>13818.473008297207</v>
      </c>
    </row>
    <row r="95" spans="1:71">
      <c r="A95" s="2">
        <v>41030</v>
      </c>
      <c r="B95" s="2"/>
      <c r="C95" s="60">
        <f>C94+E9</f>
        <v>1194636.0140073835</v>
      </c>
      <c r="I95" s="60">
        <f>I94+K9</f>
        <v>680477.28576989204</v>
      </c>
      <c r="O95" s="60">
        <f>O94+Q9</f>
        <v>272701.59441859863</v>
      </c>
      <c r="U95" s="60">
        <f>U94+W9</f>
        <v>226931.94648864283</v>
      </c>
      <c r="AA95" s="60">
        <f>AA94+AC9</f>
        <v>14525.187330250526</v>
      </c>
    </row>
    <row r="96" spans="1:71">
      <c r="A96" s="2">
        <v>41061</v>
      </c>
      <c r="B96" s="2"/>
      <c r="C96" s="60">
        <f>C95+E9</f>
        <v>1196961.6975769082</v>
      </c>
      <c r="I96" s="60">
        <f>I95+K9</f>
        <v>661203.35351595876</v>
      </c>
      <c r="O96" s="60">
        <f>O95+Q9</f>
        <v>280822.37103161548</v>
      </c>
      <c r="U96" s="60">
        <f>U95+W9</f>
        <v>239704.07137713057</v>
      </c>
      <c r="AA96" s="60">
        <f>AA95+AC9</f>
        <v>15231.901652203846</v>
      </c>
    </row>
    <row r="97" spans="1:29">
      <c r="A97" s="2">
        <v>41091</v>
      </c>
      <c r="B97" s="2"/>
      <c r="C97" s="60">
        <f>C96+E9</f>
        <v>1199287.3811464328</v>
      </c>
      <c r="I97" s="60">
        <f>I96+K9</f>
        <v>641929.42126202548</v>
      </c>
      <c r="O97" s="60">
        <f>O96+Q9</f>
        <v>288943.14764463232</v>
      </c>
      <c r="U97" s="60">
        <f>U96+W9</f>
        <v>252476.19626561832</v>
      </c>
      <c r="AA97" s="60">
        <f>AA96+AC9</f>
        <v>15938.615974157165</v>
      </c>
    </row>
    <row r="98" spans="1:29">
      <c r="A98" s="2">
        <v>41122</v>
      </c>
      <c r="B98" s="2"/>
      <c r="C98" s="60">
        <f>C97+E9</f>
        <v>1201613.0647159575</v>
      </c>
      <c r="I98" s="60">
        <f>I97+K9</f>
        <v>622655.48900809221</v>
      </c>
      <c r="O98" s="60">
        <f>O97+Q9</f>
        <v>297063.92425764917</v>
      </c>
      <c r="U98" s="60">
        <f>U97+W9</f>
        <v>265248.32115410606</v>
      </c>
      <c r="AA98" s="60">
        <f>AA97+AC9</f>
        <v>16645.330296110482</v>
      </c>
    </row>
    <row r="99" spans="1:29">
      <c r="A99" s="2">
        <v>41153</v>
      </c>
      <c r="B99" s="2"/>
      <c r="C99" s="60">
        <f>C98+E9</f>
        <v>1203938.7482854822</v>
      </c>
      <c r="I99" s="60">
        <f>I98+K9</f>
        <v>603381.55675415893</v>
      </c>
      <c r="O99" s="60">
        <f>O98+Q9</f>
        <v>305184.70087066601</v>
      </c>
      <c r="U99" s="60">
        <f>U98+W9</f>
        <v>278020.4460425938</v>
      </c>
      <c r="AA99" s="60">
        <f>AA98+AC9</f>
        <v>17352.044618063799</v>
      </c>
    </row>
    <row r="100" spans="1:29">
      <c r="A100" s="2">
        <v>41183</v>
      </c>
      <c r="B100" s="2"/>
      <c r="C100" s="60">
        <f>C99+E9</f>
        <v>1206264.4318550068</v>
      </c>
      <c r="I100" s="60">
        <f>I99+K9</f>
        <v>584107.62450022565</v>
      </c>
      <c r="O100" s="60">
        <f>O99+Q9</f>
        <v>313305.47748368286</v>
      </c>
      <c r="U100" s="60">
        <f>U99+W9</f>
        <v>290792.57093108154</v>
      </c>
      <c r="AA100" s="60">
        <f>AA99+AC9</f>
        <v>18058.758940017116</v>
      </c>
    </row>
    <row r="101" spans="1:29">
      <c r="A101" s="2">
        <v>41214</v>
      </c>
      <c r="B101" s="2"/>
      <c r="C101" s="60">
        <f>C100+E9</f>
        <v>1208590.1154245315</v>
      </c>
      <c r="D101" s="99" t="s">
        <v>60</v>
      </c>
      <c r="I101" s="60">
        <f>I100+K9</f>
        <v>564833.69224629237</v>
      </c>
      <c r="J101" s="99" t="s">
        <v>60</v>
      </c>
      <c r="O101" s="60">
        <f>O100+Q9</f>
        <v>321426.2540966997</v>
      </c>
      <c r="P101" s="99" t="s">
        <v>60</v>
      </c>
      <c r="U101" s="60">
        <f>U100+W9</f>
        <v>303564.69581956929</v>
      </c>
      <c r="V101" s="99" t="s">
        <v>60</v>
      </c>
      <c r="AA101" s="60">
        <f>AA100+AC9</f>
        <v>18765.473261970434</v>
      </c>
      <c r="AB101" s="99" t="s">
        <v>60</v>
      </c>
    </row>
    <row r="102" spans="1:29">
      <c r="A102" s="2">
        <v>41244</v>
      </c>
      <c r="B102" s="2"/>
      <c r="C102" s="60">
        <f>C101+E9</f>
        <v>1210915.7989940562</v>
      </c>
      <c r="D102" s="60">
        <f>SUM(C91:C102)</f>
        <v>14377494.472340044</v>
      </c>
      <c r="E102" s="60">
        <f>C102*12</f>
        <v>14530989.587928675</v>
      </c>
      <c r="I102" s="60">
        <f>I101+K9</f>
        <v>545559.75999235909</v>
      </c>
      <c r="J102" s="60">
        <f>SUM(I91:I102)</f>
        <v>7818796.6486679055</v>
      </c>
      <c r="K102" s="60">
        <f>I102*12</f>
        <v>6546717.1199083086</v>
      </c>
      <c r="O102" s="60">
        <f>O101+Q9</f>
        <v>329547.03070971655</v>
      </c>
      <c r="P102" s="60">
        <f>SUM(O91:O102)</f>
        <v>3418593.112057487</v>
      </c>
      <c r="Q102" s="60">
        <f>O102*12</f>
        <v>3954564.3685165988</v>
      </c>
      <c r="U102" s="60">
        <f>U101+W9</f>
        <v>316336.82070805703</v>
      </c>
      <c r="V102" s="60">
        <f>SUM(U91:U102)</f>
        <v>2953081.6058564931</v>
      </c>
      <c r="W102" s="60">
        <f>U102*12</f>
        <v>3796041.8484966843</v>
      </c>
      <c r="AA102" s="60">
        <f>AA101+AC9</f>
        <v>19472.187583923751</v>
      </c>
      <c r="AB102" s="60">
        <f>SUM(AA91:AA102)</f>
        <v>187023.10575816603</v>
      </c>
      <c r="AC102" s="60">
        <f>AA102*12</f>
        <v>233666.25100708503</v>
      </c>
    </row>
    <row r="103" spans="1:29">
      <c r="A103" s="2">
        <v>41275</v>
      </c>
      <c r="B103" s="2"/>
      <c r="C103" s="60">
        <f>C102+E10</f>
        <v>1283014.6291754271</v>
      </c>
      <c r="I103" s="60">
        <f>I102+K10</f>
        <v>567435.68685622059</v>
      </c>
      <c r="O103" s="60">
        <f>O102+Q10</f>
        <v>339841.87623560027</v>
      </c>
      <c r="U103" s="60">
        <f>U102+W10</f>
        <v>326976.77818381082</v>
      </c>
      <c r="AA103" s="60">
        <f>AA102+AC10</f>
        <v>48760.287899795578</v>
      </c>
    </row>
    <row r="104" spans="1:29">
      <c r="A104" s="2">
        <v>41306</v>
      </c>
      <c r="B104" s="2"/>
      <c r="C104" s="60">
        <f>C103+E10</f>
        <v>1355113.4593567981</v>
      </c>
      <c r="I104" s="60">
        <f>I103+K10</f>
        <v>589311.6137200821</v>
      </c>
      <c r="O104" s="60">
        <f>O103+Q10</f>
        <v>350136.72176148399</v>
      </c>
      <c r="U104" s="60">
        <f>U103+W10</f>
        <v>337616.73565956461</v>
      </c>
      <c r="AA104" s="60">
        <f>AA103+AC10</f>
        <v>78048.388215667408</v>
      </c>
    </row>
    <row r="105" spans="1:29">
      <c r="A105" s="2">
        <v>41334</v>
      </c>
      <c r="B105" s="2"/>
      <c r="C105" s="60">
        <f>C104+E10</f>
        <v>1427212.289538169</v>
      </c>
      <c r="I105" s="60">
        <f>I104+K10</f>
        <v>611187.5405839436</v>
      </c>
      <c r="O105" s="60">
        <f>O104+Q10</f>
        <v>360431.56728736771</v>
      </c>
      <c r="U105" s="60">
        <f>U104+W10</f>
        <v>348256.6931353184</v>
      </c>
      <c r="AA105" s="60">
        <f>AA104+AC10</f>
        <v>107336.48853153923</v>
      </c>
    </row>
    <row r="106" spans="1:29">
      <c r="A106" s="2">
        <v>41365</v>
      </c>
      <c r="B106" s="2"/>
      <c r="C106" s="60">
        <f>C105+E10</f>
        <v>1499311.11971954</v>
      </c>
      <c r="I106" s="60">
        <f>I105+K10</f>
        <v>633063.4674478051</v>
      </c>
      <c r="O106" s="60">
        <f>O105+Q10</f>
        <v>370726.41281325143</v>
      </c>
      <c r="U106" s="60">
        <f>U105+W10</f>
        <v>358896.6506110722</v>
      </c>
      <c r="AA106" s="60">
        <f>AA105+AC10</f>
        <v>136624.58884741107</v>
      </c>
    </row>
    <row r="107" spans="1:29">
      <c r="A107" s="2">
        <v>41395</v>
      </c>
      <c r="B107" s="2"/>
      <c r="C107" s="60">
        <f>C106+E10</f>
        <v>1571409.949900911</v>
      </c>
      <c r="I107" s="60">
        <f>I106+K10</f>
        <v>654939.39431166661</v>
      </c>
      <c r="O107" s="60">
        <f>O106+Q10</f>
        <v>381021.25833913515</v>
      </c>
      <c r="U107" s="60">
        <f>U106+W10</f>
        <v>369536.60808682599</v>
      </c>
      <c r="AA107" s="60">
        <f>AA106+AC10</f>
        <v>165912.68916328289</v>
      </c>
    </row>
    <row r="108" spans="1:29">
      <c r="A108" s="2">
        <v>41426</v>
      </c>
      <c r="B108" s="2"/>
      <c r="C108" s="60">
        <f>C107+E10</f>
        <v>1643508.7800822819</v>
      </c>
      <c r="I108" s="60">
        <f>I107+K10</f>
        <v>676815.32117552811</v>
      </c>
      <c r="O108" s="60">
        <f>O107+Q10</f>
        <v>391316.10386501887</v>
      </c>
      <c r="U108" s="60">
        <f>U107+W10</f>
        <v>380176.56556257978</v>
      </c>
      <c r="AA108" s="60">
        <f>AA107+AC10</f>
        <v>195200.78947915472</v>
      </c>
    </row>
    <row r="109" spans="1:29">
      <c r="A109" s="2">
        <v>41456</v>
      </c>
      <c r="B109" s="2"/>
      <c r="C109" s="60">
        <f>C108+E10</f>
        <v>1715607.6102636529</v>
      </c>
      <c r="I109" s="60">
        <f>I108+K10</f>
        <v>698691.24803938961</v>
      </c>
      <c r="O109" s="60">
        <f>O108+Q10</f>
        <v>401610.94939090259</v>
      </c>
      <c r="U109" s="60">
        <f>U108+W10</f>
        <v>390816.52303833357</v>
      </c>
      <c r="AA109" s="60">
        <f>AA108+AC10</f>
        <v>224488.88979502654</v>
      </c>
    </row>
    <row r="110" spans="1:29">
      <c r="A110" s="2">
        <v>41487</v>
      </c>
      <c r="B110" s="2"/>
      <c r="C110" s="60">
        <f>C109+E10</f>
        <v>1787706.4404450238</v>
      </c>
      <c r="I110" s="60">
        <f>I109+K10</f>
        <v>720567.17490325111</v>
      </c>
      <c r="O110" s="60">
        <f>O109+Q10</f>
        <v>411905.79491678631</v>
      </c>
      <c r="U110" s="60">
        <f>U109+W10</f>
        <v>401456.48051408737</v>
      </c>
      <c r="AA110" s="60">
        <f>AA109+AC10</f>
        <v>253776.99011089836</v>
      </c>
    </row>
    <row r="111" spans="1:29">
      <c r="A111" s="2">
        <v>41518</v>
      </c>
      <c r="B111" s="2"/>
      <c r="C111" s="60">
        <f>C110+E10</f>
        <v>1859805.2706263948</v>
      </c>
      <c r="I111" s="60">
        <f>I110+K10</f>
        <v>742443.10176711262</v>
      </c>
      <c r="O111" s="60">
        <f>O110+Q10</f>
        <v>422200.64044267003</v>
      </c>
      <c r="U111" s="60">
        <f>U110+W10</f>
        <v>412096.43798984116</v>
      </c>
      <c r="AA111" s="60">
        <f>AA110+AC10</f>
        <v>283065.09042677021</v>
      </c>
    </row>
    <row r="112" spans="1:29">
      <c r="A112" s="2">
        <v>41548</v>
      </c>
      <c r="B112" s="2"/>
      <c r="C112" s="60">
        <f>C111+E10</f>
        <v>1931904.1008077657</v>
      </c>
      <c r="I112" s="60">
        <f>I111+K10</f>
        <v>764319.02863097412</v>
      </c>
      <c r="O112" s="60">
        <f>O111+Q10</f>
        <v>432495.48596855375</v>
      </c>
      <c r="U112" s="60">
        <f>U111+W10</f>
        <v>422736.39546559495</v>
      </c>
      <c r="AA112" s="60">
        <f>AA111+AC10</f>
        <v>312353.19074264204</v>
      </c>
    </row>
    <row r="113" spans="1:29">
      <c r="A113" s="2">
        <v>41579</v>
      </c>
      <c r="B113" s="2"/>
      <c r="C113" s="60">
        <f>C112+E10</f>
        <v>2004002.9309891367</v>
      </c>
      <c r="D113" s="99" t="s">
        <v>60</v>
      </c>
      <c r="I113" s="60">
        <f>I112+K10</f>
        <v>786194.95549483562</v>
      </c>
      <c r="J113" s="99" t="s">
        <v>60</v>
      </c>
      <c r="O113" s="60">
        <f>O112+Q10</f>
        <v>442790.33149443747</v>
      </c>
      <c r="P113" s="99" t="s">
        <v>60</v>
      </c>
      <c r="U113" s="60">
        <f>U112+W10</f>
        <v>433376.35294134874</v>
      </c>
      <c r="V113" s="99" t="s">
        <v>60</v>
      </c>
      <c r="AA113" s="60">
        <f>AA112+AC10</f>
        <v>341641.29105851386</v>
      </c>
      <c r="AB113" s="99" t="s">
        <v>60</v>
      </c>
    </row>
    <row r="114" spans="1:29">
      <c r="A114" s="2">
        <v>41609</v>
      </c>
      <c r="B114" s="2"/>
      <c r="C114" s="60">
        <f>C113+E10</f>
        <v>2076101.7611705076</v>
      </c>
      <c r="D114" s="60">
        <f>SUM(C103:C114)</f>
        <v>20154698.342075609</v>
      </c>
      <c r="E114" s="60">
        <f>C114*12</f>
        <v>24913221.134046093</v>
      </c>
      <c r="I114" s="60">
        <f>I113+K10</f>
        <v>808070.88235869713</v>
      </c>
      <c r="J114" s="60">
        <f>SUM(I103:I114)</f>
        <v>8253039.4152895063</v>
      </c>
      <c r="K114" s="60">
        <f>I114*12</f>
        <v>9696850.5883043651</v>
      </c>
      <c r="O114" s="60">
        <f>O113+Q10</f>
        <v>453085.17702032119</v>
      </c>
      <c r="P114" s="60">
        <f>SUM(O103:O114)</f>
        <v>4757562.3195355292</v>
      </c>
      <c r="Q114" s="60">
        <f>O114*12</f>
        <v>5437022.1242438545</v>
      </c>
      <c r="U114" s="60">
        <f>U113+W10</f>
        <v>444016.31041710253</v>
      </c>
      <c r="V114" s="60">
        <f>SUM(U103:U114)</f>
        <v>4625958.5316054793</v>
      </c>
      <c r="W114" s="60">
        <f>U114*12</f>
        <v>5328195.7250052299</v>
      </c>
      <c r="AA114" s="60">
        <f>AA113+AC10</f>
        <v>370929.39137438568</v>
      </c>
      <c r="AB114" s="60">
        <f>SUM(AA103:AA114)</f>
        <v>2518138.0756450873</v>
      </c>
      <c r="AC114" s="60">
        <f>AA114*12</f>
        <v>4451152.6964926282</v>
      </c>
    </row>
    <row r="115" spans="1:29">
      <c r="A115" s="2">
        <v>41640</v>
      </c>
      <c r="C115" s="61">
        <f>C114+E11</f>
        <v>2133588.2881600852</v>
      </c>
      <c r="I115" s="61">
        <f>I114+K11</f>
        <v>794211.51216618088</v>
      </c>
      <c r="O115" s="61">
        <f>O114+Q11</f>
        <v>463660.06694427686</v>
      </c>
      <c r="U115" s="61">
        <f>U114+W11</f>
        <v>465993.07078963402</v>
      </c>
      <c r="AA115" s="61">
        <f>AA114+AC11</f>
        <v>409723.63825999235</v>
      </c>
    </row>
    <row r="116" spans="1:29">
      <c r="A116" s="2">
        <v>41671</v>
      </c>
      <c r="C116" s="61">
        <f>C115+E11</f>
        <v>2191074.8151496626</v>
      </c>
      <c r="I116" s="61">
        <f>I115+K11</f>
        <v>780352.14197366463</v>
      </c>
      <c r="O116" s="61">
        <f>O115+Q11</f>
        <v>474234.95686823252</v>
      </c>
      <c r="U116" s="61">
        <f>U115+W11</f>
        <v>487969.8311621655</v>
      </c>
      <c r="AA116" s="61">
        <f>AA115+AC11</f>
        <v>448517.88514559902</v>
      </c>
    </row>
    <row r="117" spans="1:29">
      <c r="A117" s="2">
        <v>41699</v>
      </c>
      <c r="C117" s="61">
        <f>C116+E11</f>
        <v>2248561.3421392399</v>
      </c>
      <c r="I117" s="61">
        <f>I116+K11</f>
        <v>766492.77178114839</v>
      </c>
      <c r="O117" s="61">
        <f>O116+Q11</f>
        <v>484809.84679218818</v>
      </c>
      <c r="U117" s="61">
        <f>U116+W11</f>
        <v>509946.59153469699</v>
      </c>
      <c r="AA117" s="61">
        <f>AA116+AC11</f>
        <v>487312.13203120569</v>
      </c>
    </row>
    <row r="118" spans="1:29">
      <c r="A118" s="2">
        <v>41730</v>
      </c>
      <c r="C118" s="61">
        <f>C117+E11</f>
        <v>2306047.8691288172</v>
      </c>
      <c r="I118" s="61">
        <f>I117+K11</f>
        <v>752633.40158863214</v>
      </c>
      <c r="O118" s="61">
        <f>O117+Q11</f>
        <v>495384.73671614385</v>
      </c>
      <c r="U118" s="61">
        <f>U117+W11</f>
        <v>531923.35190722847</v>
      </c>
      <c r="AA118" s="61">
        <f>AA117+AC11</f>
        <v>526106.37891681236</v>
      </c>
    </row>
    <row r="119" spans="1:29">
      <c r="A119" s="2">
        <v>41760</v>
      </c>
      <c r="C119" s="61">
        <f>C118+E11</f>
        <v>2363534.3961183946</v>
      </c>
      <c r="I119" s="61">
        <f>I118+K11</f>
        <v>738774.0313961159</v>
      </c>
      <c r="O119" s="61">
        <f>O118+Q11</f>
        <v>505959.62664009951</v>
      </c>
      <c r="U119" s="61">
        <f>U118+W11</f>
        <v>553900.11227975995</v>
      </c>
      <c r="AA119" s="61">
        <f>AA118+AC11</f>
        <v>564900.62580241903</v>
      </c>
    </row>
    <row r="120" spans="1:29">
      <c r="A120" s="2">
        <v>41791</v>
      </c>
      <c r="C120" s="61">
        <f>C119+E11</f>
        <v>2421020.9231079719</v>
      </c>
      <c r="I120" s="61">
        <f>I119+K11</f>
        <v>724914.66120359965</v>
      </c>
      <c r="O120" s="61">
        <f>O119+Q11</f>
        <v>516534.51656405517</v>
      </c>
      <c r="U120" s="61">
        <f>U119+W11</f>
        <v>575876.87265229144</v>
      </c>
      <c r="AA120" s="61">
        <f>AA119+AC11</f>
        <v>603694.8726880257</v>
      </c>
    </row>
    <row r="121" spans="1:29">
      <c r="A121" s="2">
        <v>41821</v>
      </c>
      <c r="C121" s="61">
        <f>C120+E11</f>
        <v>2478507.4500975492</v>
      </c>
      <c r="I121" s="61">
        <f>I120+K11</f>
        <v>711055.29101108341</v>
      </c>
      <c r="O121" s="61">
        <f>O120+Q11</f>
        <v>527109.40648801078</v>
      </c>
      <c r="U121" s="61">
        <f>U120+W11</f>
        <v>597853.63302482292</v>
      </c>
      <c r="AA121" s="61">
        <f>AA120+AC11</f>
        <v>642489.11957363237</v>
      </c>
    </row>
    <row r="122" spans="1:29">
      <c r="A122" s="2">
        <v>41852</v>
      </c>
      <c r="C122" s="61">
        <f>C121+E11</f>
        <v>2535993.9770871266</v>
      </c>
      <c r="I122" s="61">
        <f>I121+K11</f>
        <v>697195.92081856716</v>
      </c>
      <c r="O122" s="61">
        <f>O121+Q11</f>
        <v>537684.29641196644</v>
      </c>
      <c r="U122" s="61">
        <f>U121+W11</f>
        <v>619830.3933973544</v>
      </c>
      <c r="AA122" s="61">
        <f>AA121+AC11</f>
        <v>681283.36645923904</v>
      </c>
    </row>
    <row r="123" spans="1:29">
      <c r="A123" s="2">
        <v>41883</v>
      </c>
      <c r="C123" s="61">
        <f>C122+E11</f>
        <v>2593480.5040767039</v>
      </c>
      <c r="I123" s="61">
        <f>I122+K11</f>
        <v>683336.55062605091</v>
      </c>
      <c r="O123" s="61">
        <f>O122+Q11</f>
        <v>548259.1863359221</v>
      </c>
      <c r="U123" s="61">
        <f>U122+W11</f>
        <v>641807.15376988589</v>
      </c>
      <c r="AA123" s="61">
        <f>AA122+AC11</f>
        <v>720077.61334484571</v>
      </c>
    </row>
    <row r="124" spans="1:29">
      <c r="A124" s="2">
        <v>41913</v>
      </c>
      <c r="C124" s="61">
        <f>C123+E11</f>
        <v>2650967.0310662813</v>
      </c>
      <c r="I124" s="61">
        <f>I123+K11</f>
        <v>669477.18043353467</v>
      </c>
      <c r="O124" s="61">
        <f>O123+Q11</f>
        <v>558834.07625987777</v>
      </c>
      <c r="U124" s="61">
        <f>U123+W11</f>
        <v>663783.91414241737</v>
      </c>
      <c r="AA124" s="61">
        <f>AA123+AC11</f>
        <v>758871.86023045238</v>
      </c>
    </row>
    <row r="125" spans="1:29">
      <c r="A125" s="2">
        <v>41944</v>
      </c>
      <c r="C125" s="61">
        <f>C124+E11</f>
        <v>2708453.5580558586</v>
      </c>
      <c r="D125" s="99" t="s">
        <v>60</v>
      </c>
      <c r="I125" s="61">
        <f>I124+K11</f>
        <v>655617.81024101842</v>
      </c>
      <c r="J125" s="99" t="s">
        <v>60</v>
      </c>
      <c r="O125" s="61">
        <f>O124+Q11</f>
        <v>569408.96618383343</v>
      </c>
      <c r="P125" s="99" t="s">
        <v>60</v>
      </c>
      <c r="U125" s="61">
        <f>U124+W11</f>
        <v>685760.67451494886</v>
      </c>
      <c r="V125" s="99" t="s">
        <v>60</v>
      </c>
      <c r="AA125" s="61">
        <f>AA124+AC11</f>
        <v>797666.10711605905</v>
      </c>
      <c r="AB125" s="99" t="s">
        <v>60</v>
      </c>
    </row>
    <row r="126" spans="1:29">
      <c r="A126" s="2">
        <v>41974</v>
      </c>
      <c r="C126" s="61">
        <f>C125+E11</f>
        <v>2765940.0850454359</v>
      </c>
      <c r="D126" s="60">
        <f>SUM(C115:C126)</f>
        <v>29397170.239233125</v>
      </c>
      <c r="E126" s="60">
        <f>C126*12</f>
        <v>33191281.020545229</v>
      </c>
      <c r="I126" s="61">
        <f>I125+K11</f>
        <v>641758.44004850218</v>
      </c>
      <c r="J126" s="60">
        <f>SUM(I115:I126)</f>
        <v>8615819.7132880986</v>
      </c>
      <c r="K126" s="60">
        <f>I126*12</f>
        <v>7701101.2805820256</v>
      </c>
      <c r="O126" s="61">
        <f>O125+Q11</f>
        <v>579983.85610778909</v>
      </c>
      <c r="P126" s="60">
        <f>SUM(O115:O126)</f>
        <v>6261863.538312396</v>
      </c>
      <c r="Q126" s="60">
        <f>O126*12</f>
        <v>6959806.2732934691</v>
      </c>
      <c r="U126" s="61">
        <f>U125+W11</f>
        <v>707737.43488748034</v>
      </c>
      <c r="V126" s="60">
        <f>SUM(U115:U126)</f>
        <v>7042383.0340626873</v>
      </c>
      <c r="W126" s="60">
        <f>U126*12</f>
        <v>8492849.2186497636</v>
      </c>
      <c r="AA126" s="61">
        <f>AA125+AC11</f>
        <v>836460.35400166572</v>
      </c>
      <c r="AB126" s="60">
        <f>SUM(AA115:AA126)</f>
        <v>7477103.9535699477</v>
      </c>
      <c r="AC126" s="60">
        <f>AA126*12</f>
        <v>10037524.24801999</v>
      </c>
    </row>
    <row r="127" spans="1:29">
      <c r="A127" s="2">
        <v>42005</v>
      </c>
      <c r="C127" s="61">
        <f>C126+E12</f>
        <v>2888305.2719215024</v>
      </c>
      <c r="I127" s="61">
        <f>I126+K12</f>
        <v>655765.02685902989</v>
      </c>
      <c r="O127" s="61">
        <f>O126+Q12</f>
        <v>583771.39550289931</v>
      </c>
      <c r="U127" s="61">
        <f>U126+W12</f>
        <v>723269.33626694127</v>
      </c>
      <c r="AA127" s="61">
        <f>AA126+AC12</f>
        <v>920383.54082836933</v>
      </c>
    </row>
    <row r="128" spans="1:29">
      <c r="A128" s="2">
        <v>42036</v>
      </c>
      <c r="C128" s="61">
        <f>C127+E12</f>
        <v>3010670.4587975689</v>
      </c>
      <c r="I128" s="61">
        <f>I127+K12</f>
        <v>669771.61366955761</v>
      </c>
      <c r="O128" s="61">
        <f>O127+Q12</f>
        <v>587558.93489800952</v>
      </c>
      <c r="U128" s="61">
        <f>U127+W12</f>
        <v>738801.23764640221</v>
      </c>
      <c r="AA128" s="61">
        <f>AA127+AC12</f>
        <v>1004306.7276550729</v>
      </c>
    </row>
    <row r="129" spans="1:29">
      <c r="A129" s="2">
        <v>42064</v>
      </c>
      <c r="C129" s="61">
        <f>C128+E12</f>
        <v>3133035.6456736354</v>
      </c>
      <c r="I129" s="61">
        <f>I128+K12</f>
        <v>683778.20048008533</v>
      </c>
      <c r="O129" s="61">
        <f>O128+Q12</f>
        <v>591346.47429311974</v>
      </c>
      <c r="U129" s="61">
        <f>U128+W12</f>
        <v>754333.13902586314</v>
      </c>
      <c r="AA129" s="61">
        <f>AA128+AC12</f>
        <v>1088229.9144817765</v>
      </c>
    </row>
    <row r="130" spans="1:29">
      <c r="A130" s="2">
        <v>42095</v>
      </c>
      <c r="C130" s="61">
        <f>C129+E12</f>
        <v>3255400.8325497019</v>
      </c>
      <c r="I130" s="61">
        <f>I129+K12</f>
        <v>697784.78729061305</v>
      </c>
      <c r="O130" s="61">
        <f>O129+Q12</f>
        <v>595134.01368822996</v>
      </c>
      <c r="U130" s="61">
        <f>U129+W12</f>
        <v>769865.04040532408</v>
      </c>
      <c r="AA130" s="61">
        <f>AA129+AC12</f>
        <v>1172153.1013084801</v>
      </c>
    </row>
    <row r="131" spans="1:29">
      <c r="A131" s="2">
        <v>42125</v>
      </c>
      <c r="C131" s="61">
        <f>C130+E12</f>
        <v>3377766.0194257684</v>
      </c>
      <c r="I131" s="61">
        <f>I130+K12</f>
        <v>711791.37410114077</v>
      </c>
      <c r="O131" s="61">
        <f>O130+Q12</f>
        <v>598921.55308334017</v>
      </c>
      <c r="U131" s="61">
        <f>U130+W12</f>
        <v>785396.94178478501</v>
      </c>
      <c r="AA131" s="61">
        <f>AA130+AC12</f>
        <v>1256076.2881351837</v>
      </c>
    </row>
    <row r="132" spans="1:29">
      <c r="A132" s="2">
        <v>42156</v>
      </c>
      <c r="C132" s="61">
        <f>C131+E12</f>
        <v>3500131.2063018349</v>
      </c>
      <c r="I132" s="61">
        <f>I131+K12</f>
        <v>725797.96091166849</v>
      </c>
      <c r="O132" s="61">
        <f>O131+Q12</f>
        <v>602709.09247845039</v>
      </c>
      <c r="U132" s="61">
        <f>U131+W12</f>
        <v>800928.84316424595</v>
      </c>
      <c r="AA132" s="61">
        <f>AA131+AC12</f>
        <v>1339999.4749618873</v>
      </c>
    </row>
    <row r="133" spans="1:29">
      <c r="A133" s="2">
        <v>42186</v>
      </c>
      <c r="C133" s="61">
        <f>C132+E12</f>
        <v>3622496.3931779014</v>
      </c>
      <c r="I133" s="61">
        <f>I132+K12</f>
        <v>739804.54772219621</v>
      </c>
      <c r="O133" s="61">
        <f>O132+Q12</f>
        <v>606496.6318735606</v>
      </c>
      <c r="U133" s="61">
        <f>U132+W12</f>
        <v>816460.74454370688</v>
      </c>
      <c r="AA133" s="61">
        <f>AA132+AC12</f>
        <v>1423922.661788591</v>
      </c>
    </row>
    <row r="134" spans="1:29">
      <c r="A134" s="2">
        <v>42217</v>
      </c>
      <c r="C134" s="61">
        <f>C133+E12</f>
        <v>3744861.5800539679</v>
      </c>
      <c r="I134" s="61">
        <f>I133+K12</f>
        <v>753811.13453272393</v>
      </c>
      <c r="O134" s="61">
        <f>O133+Q12</f>
        <v>610284.17126867082</v>
      </c>
      <c r="U134" s="61">
        <f>U133+W12</f>
        <v>831992.64592316782</v>
      </c>
      <c r="AA134" s="61">
        <f>AA133+AC12</f>
        <v>1507845.8486152946</v>
      </c>
    </row>
    <row r="135" spans="1:29">
      <c r="A135" s="2">
        <v>42248</v>
      </c>
      <c r="C135" s="61">
        <f>C134+E12</f>
        <v>3867226.7669300344</v>
      </c>
      <c r="I135" s="61">
        <f>I134+K12</f>
        <v>767817.72134325164</v>
      </c>
      <c r="O135" s="61">
        <f>O134+Q12</f>
        <v>614071.71066378104</v>
      </c>
      <c r="U135" s="61">
        <f>U134+W12</f>
        <v>847524.54730262875</v>
      </c>
      <c r="AA135" s="61">
        <f>AA134+AC12</f>
        <v>1591769.0354419982</v>
      </c>
    </row>
    <row r="136" spans="1:29">
      <c r="A136" s="2">
        <v>42278</v>
      </c>
      <c r="C136" s="61">
        <f>C135+E12</f>
        <v>3989591.9538061009</v>
      </c>
      <c r="I136" s="61">
        <f>I135+K12</f>
        <v>781824.30815377936</v>
      </c>
      <c r="O136" s="61">
        <f>O135+Q12</f>
        <v>617859.25005889125</v>
      </c>
      <c r="U136" s="61">
        <f>U135+W12</f>
        <v>863056.44868208969</v>
      </c>
      <c r="AA136" s="61">
        <f>AA135+AC12</f>
        <v>1675692.2222687018</v>
      </c>
    </row>
    <row r="137" spans="1:29">
      <c r="A137" s="2">
        <v>42309</v>
      </c>
      <c r="C137" s="61">
        <f>C136+E12</f>
        <v>4111957.1406821674</v>
      </c>
      <c r="D137" s="99" t="s">
        <v>60</v>
      </c>
      <c r="I137" s="61">
        <f>I136+K12</f>
        <v>795830.89496430708</v>
      </c>
      <c r="J137" s="99" t="s">
        <v>60</v>
      </c>
      <c r="O137" s="61">
        <f>O136+Q12</f>
        <v>621646.78945400147</v>
      </c>
      <c r="P137" s="99" t="s">
        <v>60</v>
      </c>
      <c r="U137" s="61">
        <f>U136+W12</f>
        <v>878588.35006155062</v>
      </c>
      <c r="V137" s="99" t="s">
        <v>60</v>
      </c>
      <c r="AA137" s="61">
        <f>AA136+AC12</f>
        <v>1759615.4090954054</v>
      </c>
      <c r="AB137" s="99" t="s">
        <v>60</v>
      </c>
    </row>
    <row r="138" spans="1:29">
      <c r="A138" s="2">
        <v>42339</v>
      </c>
      <c r="C138" s="61">
        <f>C137+E12</f>
        <v>4234322.3275582334</v>
      </c>
      <c r="D138" s="60">
        <f>SUM(C127:C138)</f>
        <v>42735765.596878417</v>
      </c>
      <c r="E138" s="60">
        <f>C138*12</f>
        <v>50811867.930698797</v>
      </c>
      <c r="I138" s="61">
        <f>I137+K12</f>
        <v>809837.4817748348</v>
      </c>
      <c r="J138" s="60">
        <f>SUM(I127:I138)</f>
        <v>8793615.0518031884</v>
      </c>
      <c r="K138" s="60">
        <f>I138*12</f>
        <v>9718049.7812980171</v>
      </c>
      <c r="O138" s="61">
        <f>O137+Q12</f>
        <v>625434.32884911168</v>
      </c>
      <c r="P138" s="60">
        <f>SUM(O127:O138)</f>
        <v>7255234.3461120659</v>
      </c>
      <c r="Q138" s="60">
        <f>O138*12</f>
        <v>7505211.9461893402</v>
      </c>
      <c r="U138" s="61">
        <f>U137+W12</f>
        <v>894120.25144101155</v>
      </c>
      <c r="V138" s="60">
        <f>SUM(U127:U138)</f>
        <v>9704337.5262477156</v>
      </c>
      <c r="W138" s="60">
        <f>U138*12</f>
        <v>10729443.017292138</v>
      </c>
      <c r="AA138" s="61">
        <f>AA137+AC12</f>
        <v>1843538.595922109</v>
      </c>
      <c r="AB138" s="60">
        <f>SUM(AA127:AA138)</f>
        <v>16583532.82050287</v>
      </c>
      <c r="AC138" s="60">
        <f>AA138*12</f>
        <v>22122463.151065309</v>
      </c>
    </row>
    <row r="139" spans="1:29">
      <c r="A139" s="2">
        <v>42370</v>
      </c>
      <c r="C139" s="61">
        <f>C138+E13</f>
        <v>4233173.248937902</v>
      </c>
      <c r="I139" s="61">
        <f>I138+K13</f>
        <v>797617.58875044296</v>
      </c>
      <c r="O139" s="61">
        <f>O138+Q13</f>
        <v>621730.08933405636</v>
      </c>
      <c r="U139" s="61">
        <f>U138+W13</f>
        <v>896297.09873074619</v>
      </c>
      <c r="AA139" s="61">
        <f>AA138+AC13</f>
        <v>1855494.5930247013</v>
      </c>
    </row>
    <row r="140" spans="1:29">
      <c r="A140" s="2">
        <v>42401</v>
      </c>
      <c r="C140" s="61">
        <f>C139+E13</f>
        <v>4232024.1703175707</v>
      </c>
      <c r="I140" s="61">
        <f>I139+K13</f>
        <v>785397.69572605111</v>
      </c>
      <c r="O140" s="61">
        <f>O139+Q13</f>
        <v>618025.84981900104</v>
      </c>
      <c r="U140" s="61">
        <f>U139+W13</f>
        <v>898473.94602048083</v>
      </c>
      <c r="AA140" s="61">
        <f>AA139+AC13</f>
        <v>1867450.5901272937</v>
      </c>
    </row>
    <row r="141" spans="1:29">
      <c r="A141" s="2">
        <v>42430</v>
      </c>
      <c r="C141" s="61">
        <f>C140+E13</f>
        <v>4230875.0916972393</v>
      </c>
      <c r="I141" s="61">
        <f>I140+K13</f>
        <v>773177.80270165927</v>
      </c>
      <c r="O141" s="61">
        <f>O140+Q13</f>
        <v>614321.61030394572</v>
      </c>
      <c r="U141" s="61">
        <f>U140+W13</f>
        <v>900650.79331021546</v>
      </c>
      <c r="AA141" s="61">
        <f>AA140+AC13</f>
        <v>1879406.5872298861</v>
      </c>
    </row>
    <row r="142" spans="1:29">
      <c r="A142" s="2">
        <v>42461</v>
      </c>
      <c r="C142" s="61">
        <f>C141+E13</f>
        <v>4229726.013076908</v>
      </c>
      <c r="I142" s="61">
        <f>I141+K13</f>
        <v>760957.90967726742</v>
      </c>
      <c r="O142" s="61">
        <f>O141+Q13</f>
        <v>610617.3707888904</v>
      </c>
      <c r="U142" s="61">
        <f>U141+W13</f>
        <v>902827.6405999501</v>
      </c>
      <c r="AA142" s="61">
        <f>AA141+AC13</f>
        <v>1891362.5843324785</v>
      </c>
    </row>
    <row r="143" spans="1:29">
      <c r="A143" s="2">
        <v>42491</v>
      </c>
      <c r="C143" s="61">
        <f>C142+E13</f>
        <v>4228576.9344565766</v>
      </c>
      <c r="I143" s="61">
        <f>I142+K13</f>
        <v>748738.01665287558</v>
      </c>
      <c r="O143" s="61">
        <f>O142+Q13</f>
        <v>606913.13127383508</v>
      </c>
      <c r="U143" s="61">
        <f>U142+W13</f>
        <v>905004.48788968474</v>
      </c>
      <c r="AA143" s="61">
        <f>AA142+AC13</f>
        <v>1903318.5814350708</v>
      </c>
    </row>
    <row r="144" spans="1:29">
      <c r="A144" s="2">
        <v>42522</v>
      </c>
      <c r="C144" s="61">
        <f>C143+E13</f>
        <v>4227427.8558362452</v>
      </c>
      <c r="I144" s="61">
        <f>I143+K13</f>
        <v>736518.12362848374</v>
      </c>
      <c r="O144" s="61">
        <f>O143+Q13</f>
        <v>603208.89175877976</v>
      </c>
      <c r="U144" s="61">
        <f>U143+W13</f>
        <v>907181.33517941937</v>
      </c>
      <c r="AA144" s="61">
        <f>AA143+AC13</f>
        <v>1915274.5785376632</v>
      </c>
    </row>
    <row r="145" spans="1:29">
      <c r="A145" s="2">
        <v>42552</v>
      </c>
      <c r="C145" s="61">
        <f>C144+E13</f>
        <v>4226278.7772159139</v>
      </c>
      <c r="I145" s="61">
        <f>I144+K13</f>
        <v>724298.23060409189</v>
      </c>
      <c r="O145" s="61">
        <f>O144+Q13</f>
        <v>599504.65224372444</v>
      </c>
      <c r="U145" s="61">
        <f>U144+W13</f>
        <v>909358.18246915401</v>
      </c>
      <c r="AA145" s="61">
        <f>AA144+AC13</f>
        <v>1927230.5756402556</v>
      </c>
    </row>
    <row r="146" spans="1:29">
      <c r="A146" s="2">
        <v>42583</v>
      </c>
      <c r="C146" s="61">
        <f>C145+E13</f>
        <v>4225129.6985955825</v>
      </c>
      <c r="I146" s="61">
        <f>I145+K13</f>
        <v>712078.33757970005</v>
      </c>
      <c r="O146" s="61">
        <f>O145+Q13</f>
        <v>595800.41272866912</v>
      </c>
      <c r="U146" s="61">
        <f>U145+W13</f>
        <v>911535.02975888865</v>
      </c>
      <c r="AA146" s="61">
        <f>AA145+AC13</f>
        <v>1939186.572742848</v>
      </c>
    </row>
    <row r="147" spans="1:29">
      <c r="A147" s="2">
        <v>42614</v>
      </c>
      <c r="C147" s="61">
        <f>C146+E13</f>
        <v>4223980.6199752511</v>
      </c>
      <c r="I147" s="61">
        <f>I146+K13</f>
        <v>699858.4445553082</v>
      </c>
      <c r="O147" s="61">
        <f>O146+Q13</f>
        <v>592096.1732136138</v>
      </c>
      <c r="U147" s="61">
        <f>U146+W13</f>
        <v>913711.87704862328</v>
      </c>
      <c r="AA147" s="61">
        <f>AA146+AC13</f>
        <v>1951142.5698454403</v>
      </c>
    </row>
    <row r="148" spans="1:29">
      <c r="A148" s="2">
        <v>42644</v>
      </c>
      <c r="C148" s="61">
        <f>C147+E13</f>
        <v>4222831.5413549198</v>
      </c>
      <c r="I148" s="61">
        <f>I147+K13</f>
        <v>687638.55153091636</v>
      </c>
      <c r="O148" s="61">
        <f>O147+Q13</f>
        <v>588391.93369855848</v>
      </c>
      <c r="U148" s="61">
        <f>U147+W13</f>
        <v>915888.72433835792</v>
      </c>
      <c r="AA148" s="61">
        <f>AA147+AC13</f>
        <v>1963098.5669480327</v>
      </c>
    </row>
    <row r="149" spans="1:29">
      <c r="A149" s="2">
        <v>42675</v>
      </c>
      <c r="C149" s="61">
        <f>C148+E13</f>
        <v>4221682.4627345884</v>
      </c>
      <c r="D149" s="99" t="s">
        <v>60</v>
      </c>
      <c r="I149" s="61">
        <f>I148+K13</f>
        <v>675418.65850652452</v>
      </c>
      <c r="J149" s="99" t="s">
        <v>60</v>
      </c>
      <c r="O149" s="61">
        <f>O148+Q13</f>
        <v>584687.69418350316</v>
      </c>
      <c r="P149" s="99" t="s">
        <v>60</v>
      </c>
      <c r="U149" s="61">
        <f>U148+W13</f>
        <v>918065.57162809256</v>
      </c>
      <c r="V149" s="99" t="s">
        <v>60</v>
      </c>
      <c r="AA149" s="61">
        <f>AA148+AC13</f>
        <v>1975054.5640506251</v>
      </c>
      <c r="AB149" s="99" t="s">
        <v>60</v>
      </c>
    </row>
    <row r="150" spans="1:29">
      <c r="A150" s="2">
        <v>42705</v>
      </c>
      <c r="C150" s="61">
        <f>C149+E13</f>
        <v>4220533.3841142571</v>
      </c>
      <c r="D150" s="60">
        <f>SUM(C139:C150)</f>
        <v>50722239.798312955</v>
      </c>
      <c r="E150" s="60">
        <f>C150*12</f>
        <v>50646400.609371081</v>
      </c>
      <c r="I150" s="61">
        <f>I149+K13</f>
        <v>663198.76548213267</v>
      </c>
      <c r="J150" s="60">
        <f>SUM(I139:I150)</f>
        <v>8764898.1253954526</v>
      </c>
      <c r="K150" s="60">
        <f>I150*12</f>
        <v>7958385.1857855916</v>
      </c>
      <c r="O150" s="61">
        <f>O149+Q13</f>
        <v>580983.45466844784</v>
      </c>
      <c r="P150" s="60">
        <f>SUM(O139:O150)</f>
        <v>7216281.2640150245</v>
      </c>
      <c r="Q150" s="60">
        <f>O150*12</f>
        <v>6971801.4560213741</v>
      </c>
      <c r="U150" s="61">
        <f>U149+W13</f>
        <v>920242.41891782719</v>
      </c>
      <c r="V150" s="60">
        <f>SUM(U139:U150)</f>
        <v>10899237.10589144</v>
      </c>
      <c r="W150" s="60">
        <f>U150*12</f>
        <v>11042909.027013926</v>
      </c>
      <c r="AA150" s="61">
        <f>AA149+AC13</f>
        <v>1987010.5611532175</v>
      </c>
      <c r="AB150" s="60">
        <f>SUM(AA139:AA150)</f>
        <v>23055030.925067514</v>
      </c>
      <c r="AC150" s="60">
        <f>AA150*12</f>
        <v>23844126.73383861</v>
      </c>
    </row>
    <row r="151" spans="1:29">
      <c r="A151" s="2">
        <v>42736</v>
      </c>
      <c r="C151" s="61">
        <f>C150+E14</f>
        <v>4173476.2950830269</v>
      </c>
      <c r="I151" s="61">
        <f>I150+K14</f>
        <v>659124.91232896491</v>
      </c>
      <c r="O151" s="61">
        <f>O150+Q14</f>
        <v>560379.06150791119</v>
      </c>
      <c r="U151" s="61">
        <f>U150+W14</f>
        <v>913677.17952835921</v>
      </c>
      <c r="AA151" s="61">
        <f>AA150+AC14</f>
        <v>1972184.108472991</v>
      </c>
    </row>
    <row r="152" spans="1:29">
      <c r="A152" s="2">
        <v>42767</v>
      </c>
      <c r="C152" s="61">
        <f>C151+E14</f>
        <v>4126419.2060517967</v>
      </c>
      <c r="I152" s="61">
        <f>I151+K14</f>
        <v>655051.05917579716</v>
      </c>
      <c r="O152" s="61">
        <f>O151+Q14</f>
        <v>539774.66834737454</v>
      </c>
      <c r="U152" s="61">
        <f>U151+W14</f>
        <v>907111.94013889122</v>
      </c>
      <c r="AA152" s="61">
        <f>AA151+AC14</f>
        <v>1957357.6557927646</v>
      </c>
    </row>
    <row r="153" spans="1:29">
      <c r="A153" s="2">
        <v>42795</v>
      </c>
      <c r="C153" s="61">
        <f>C152+E14</f>
        <v>4079362.1170205665</v>
      </c>
      <c r="I153" s="61">
        <f>I152+K14</f>
        <v>650977.2060226294</v>
      </c>
      <c r="O153" s="61">
        <f>O152+Q14</f>
        <v>519170.27518683794</v>
      </c>
      <c r="U153" s="61">
        <f>U152+W14</f>
        <v>900546.70074942324</v>
      </c>
      <c r="AA153" s="61">
        <f>AA152+AC14</f>
        <v>1942531.2031125382</v>
      </c>
    </row>
    <row r="154" spans="1:29">
      <c r="A154" s="2">
        <v>42826</v>
      </c>
      <c r="C154" s="61">
        <f>C153+E14</f>
        <v>4032305.0279893363</v>
      </c>
      <c r="I154" s="61">
        <f>I153+K14</f>
        <v>646903.35286946164</v>
      </c>
      <c r="O154" s="61">
        <f>O153+Q14</f>
        <v>498565.88202630135</v>
      </c>
      <c r="U154" s="61">
        <f>U153+W14</f>
        <v>893981.46135995525</v>
      </c>
      <c r="AA154" s="61">
        <f>AA153+AC14</f>
        <v>1927704.7504323118</v>
      </c>
    </row>
    <row r="155" spans="1:29">
      <c r="A155" s="2">
        <v>42856</v>
      </c>
      <c r="C155" s="61">
        <f>C154+E14</f>
        <v>3985247.9389581061</v>
      </c>
      <c r="I155" s="61">
        <f>I154+K14</f>
        <v>642829.49971629388</v>
      </c>
      <c r="O155" s="61">
        <f>O154+Q14</f>
        <v>477961.48886576475</v>
      </c>
      <c r="U155" s="61">
        <f>U154+W14</f>
        <v>887416.22197048727</v>
      </c>
      <c r="AA155" s="61">
        <f>AA154+AC14</f>
        <v>1912878.2977520854</v>
      </c>
    </row>
    <row r="156" spans="1:29">
      <c r="A156" s="2">
        <v>42887</v>
      </c>
      <c r="C156" s="61">
        <f>C155+E14</f>
        <v>3938190.8499268759</v>
      </c>
      <c r="I156" s="61">
        <f>I155+K14</f>
        <v>638755.64656312612</v>
      </c>
      <c r="O156" s="61">
        <f>O155+Q14</f>
        <v>457357.09570522816</v>
      </c>
      <c r="U156" s="61">
        <f>U155+W14</f>
        <v>880850.98258101929</v>
      </c>
      <c r="AA156" s="61">
        <f>AA155+AC14</f>
        <v>1898051.845071859</v>
      </c>
    </row>
    <row r="157" spans="1:29">
      <c r="A157" s="2">
        <v>42917</v>
      </c>
      <c r="C157" s="61">
        <f>C156+E14</f>
        <v>3891133.7608956457</v>
      </c>
      <c r="I157" s="61">
        <f>I156+K14</f>
        <v>634681.79340995837</v>
      </c>
      <c r="O157" s="61">
        <f>O156+Q14</f>
        <v>436752.70254469156</v>
      </c>
      <c r="U157" s="61">
        <f>U156+W14</f>
        <v>874285.7431915513</v>
      </c>
      <c r="AA157" s="61">
        <f>AA156+AC14</f>
        <v>1883225.3923916325</v>
      </c>
    </row>
    <row r="158" spans="1:29">
      <c r="A158" s="2">
        <v>42948</v>
      </c>
      <c r="C158" s="61">
        <f>C157+E14</f>
        <v>3844076.6718644155</v>
      </c>
      <c r="I158" s="61">
        <f>I157+K14</f>
        <v>630607.94025679061</v>
      </c>
      <c r="O158" s="61">
        <f>O157+Q14</f>
        <v>416148.30938415497</v>
      </c>
      <c r="U158" s="61">
        <f>U157+W14</f>
        <v>867720.50380208332</v>
      </c>
      <c r="AA158" s="61">
        <f>AA157+AC14</f>
        <v>1868398.9397114061</v>
      </c>
    </row>
    <row r="159" spans="1:29">
      <c r="A159" s="2">
        <v>42979</v>
      </c>
      <c r="C159" s="61">
        <f>C158+E14</f>
        <v>3797019.5828331853</v>
      </c>
      <c r="I159" s="61">
        <f>I158+K14</f>
        <v>626534.08710362285</v>
      </c>
      <c r="O159" s="61">
        <f>O158+Q14</f>
        <v>395543.91622361838</v>
      </c>
      <c r="U159" s="61">
        <f>U158+W14</f>
        <v>861155.26441261533</v>
      </c>
      <c r="AA159" s="61">
        <f>AA158+AC14</f>
        <v>1853572.4870311797</v>
      </c>
    </row>
    <row r="160" spans="1:29">
      <c r="A160" s="2">
        <v>43009</v>
      </c>
      <c r="C160" s="61">
        <f>C159+E14</f>
        <v>3749962.4938019551</v>
      </c>
      <c r="I160" s="61">
        <f>I159+K14</f>
        <v>622460.23395045509</v>
      </c>
      <c r="O160" s="61">
        <f>O159+Q14</f>
        <v>374939.52306308178</v>
      </c>
      <c r="U160" s="61">
        <f>U159+W14</f>
        <v>854590.02502314735</v>
      </c>
      <c r="AA160" s="61">
        <f>AA159+AC14</f>
        <v>1838746.0343509533</v>
      </c>
    </row>
    <row r="161" spans="1:29">
      <c r="A161" s="2">
        <v>43040</v>
      </c>
      <c r="C161" s="61">
        <f>C160+E14</f>
        <v>3702905.4047707249</v>
      </c>
      <c r="D161" s="99" t="s">
        <v>60</v>
      </c>
      <c r="I161" s="61">
        <f>I160+K14</f>
        <v>618386.38079728733</v>
      </c>
      <c r="J161" s="99" t="s">
        <v>60</v>
      </c>
      <c r="O161" s="61">
        <f>O160+Q14</f>
        <v>354335.12990254519</v>
      </c>
      <c r="P161" s="99" t="s">
        <v>60</v>
      </c>
      <c r="U161" s="61">
        <f>U160+W14</f>
        <v>848024.78563367936</v>
      </c>
      <c r="V161" s="99" t="s">
        <v>60</v>
      </c>
      <c r="AA161" s="61">
        <f>AA160+AC14</f>
        <v>1823919.5816707269</v>
      </c>
      <c r="AB161" s="99" t="s">
        <v>60</v>
      </c>
    </row>
    <row r="162" spans="1:29">
      <c r="A162" s="2">
        <v>43070</v>
      </c>
      <c r="C162" s="61">
        <f>C161+E14</f>
        <v>3655848.3157394947</v>
      </c>
      <c r="D162" s="60">
        <f>SUM(C151:C162)</f>
        <v>46975947.664935134</v>
      </c>
      <c r="E162" s="60">
        <f>C162*12</f>
        <v>43870179.788873941</v>
      </c>
      <c r="I162" s="61">
        <f>I161+K14</f>
        <v>614312.52764411957</v>
      </c>
      <c r="J162" s="60">
        <f>SUM(I151:I162)</f>
        <v>7640624.6398385065</v>
      </c>
      <c r="K162" s="60">
        <f>I162*12</f>
        <v>7371750.3317294344</v>
      </c>
      <c r="O162" s="61">
        <f>O161+Q14</f>
        <v>333730.73674200859</v>
      </c>
      <c r="P162" s="60">
        <f>SUM(O151:O162)</f>
        <v>5364658.7894995194</v>
      </c>
      <c r="Q162" s="60">
        <f>O162*12</f>
        <v>4004768.8409041031</v>
      </c>
      <c r="U162" s="61">
        <f>U161+W14</f>
        <v>841459.54624421138</v>
      </c>
      <c r="V162" s="60">
        <f>SUM(U151:U162)</f>
        <v>10530820.354635423</v>
      </c>
      <c r="W162" s="60">
        <f>U162*12</f>
        <v>10097514.554930536</v>
      </c>
      <c r="AA162" s="61">
        <f>AA161+AC14</f>
        <v>1809093.1289905005</v>
      </c>
      <c r="AB162" s="60">
        <f>SUM(AA151:AA162)</f>
        <v>22687663.424780954</v>
      </c>
      <c r="AC162" s="60">
        <f>AA162*12</f>
        <v>21709117.547886007</v>
      </c>
    </row>
    <row r="163" spans="1:29">
      <c r="A163" s="2"/>
    </row>
    <row r="164" spans="1:29">
      <c r="A164" s="2"/>
    </row>
    <row r="165" spans="1:29">
      <c r="A165" s="2"/>
    </row>
    <row r="166" spans="1:29">
      <c r="A166" s="2"/>
    </row>
    <row r="167" spans="1:29">
      <c r="A167" s="2"/>
    </row>
    <row r="168" spans="1:29">
      <c r="A168" s="2"/>
    </row>
    <row r="169" spans="1:29">
      <c r="A169" s="2"/>
    </row>
    <row r="170" spans="1:29">
      <c r="A170" s="2"/>
    </row>
    <row r="171" spans="1:29">
      <c r="A171" s="2"/>
    </row>
    <row r="172" spans="1:29">
      <c r="A172" s="2"/>
    </row>
    <row r="173" spans="1:29">
      <c r="A173" s="2"/>
    </row>
    <row r="174" spans="1:29">
      <c r="A174" s="2"/>
    </row>
    <row r="175" spans="1:29">
      <c r="A175" s="2"/>
    </row>
  </sheetData>
  <mergeCells count="7">
    <mergeCell ref="AR2:BC2"/>
    <mergeCell ref="BM2:BS2"/>
    <mergeCell ref="AD2:AE2"/>
    <mergeCell ref="F2:G2"/>
    <mergeCell ref="L2:M2"/>
    <mergeCell ref="R2:S2"/>
    <mergeCell ref="X2:Y2"/>
  </mergeCells>
  <phoneticPr fontId="9" type="noConversion"/>
  <pageMargins left="0.75" right="0.75" top="1" bottom="1" header="0.5" footer="0.5"/>
  <headerFooter alignWithMargins="0"/>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BP612"/>
  <sheetViews>
    <sheetView topLeftCell="A436" zoomScale="85" zoomScaleNormal="85" workbookViewId="0">
      <selection activeCell="R605" sqref="A1:R605"/>
    </sheetView>
  </sheetViews>
  <sheetFormatPr defaultColWidth="9.140625" defaultRowHeight="14.25"/>
  <cols>
    <col min="1" max="1" width="1.28515625" style="104" customWidth="1"/>
    <col min="2" max="2" width="30" style="104" customWidth="1"/>
    <col min="3" max="3" width="10.42578125" style="104" customWidth="1"/>
    <col min="4" max="4" width="9.85546875" style="104" customWidth="1"/>
    <col min="5" max="5" width="11.5703125" style="104" customWidth="1"/>
    <col min="6" max="6" width="1.5703125" style="104" customWidth="1"/>
    <col min="7" max="7" width="10" style="104" bestFit="1" customWidth="1"/>
    <col min="8" max="8" width="10.85546875" style="104" customWidth="1"/>
    <col min="9" max="9" width="1.7109375" style="104" customWidth="1"/>
    <col min="10" max="10" width="9.140625" style="104"/>
    <col min="11" max="11" width="11.85546875" style="104" customWidth="1"/>
    <col min="12" max="12" width="1.5703125" style="104" customWidth="1"/>
    <col min="13" max="13" width="9.140625" style="104"/>
    <col min="14" max="14" width="11.28515625" style="104" customWidth="1"/>
    <col min="15" max="15" width="3.5703125" style="104" customWidth="1"/>
    <col min="16" max="16" width="19.42578125" style="105" bestFit="1" customWidth="1"/>
    <col min="17" max="17" width="11.28515625" style="105" customWidth="1"/>
    <col min="18" max="68" width="9.140625" style="106"/>
    <col min="69" max="16384" width="9.140625" style="104"/>
  </cols>
  <sheetData>
    <row r="1" spans="1:17" ht="18">
      <c r="A1" s="103" t="s">
        <v>144</v>
      </c>
    </row>
    <row r="3" spans="1:17" ht="15">
      <c r="A3" s="107"/>
      <c r="B3" s="107"/>
      <c r="C3" s="107"/>
      <c r="D3" s="615">
        <v>2011</v>
      </c>
      <c r="E3" s="615"/>
      <c r="F3" s="108"/>
      <c r="G3" s="616">
        <v>2012</v>
      </c>
      <c r="H3" s="616"/>
      <c r="I3" s="109"/>
      <c r="J3" s="616">
        <v>2013</v>
      </c>
      <c r="K3" s="616"/>
      <c r="L3" s="109"/>
      <c r="M3" s="616">
        <v>2014</v>
      </c>
      <c r="N3" s="616"/>
      <c r="O3" s="107"/>
    </row>
    <row r="4" spans="1:17" ht="18">
      <c r="A4" s="110"/>
      <c r="B4" s="111"/>
      <c r="C4" s="111"/>
      <c r="D4" s="617" t="s">
        <v>145</v>
      </c>
      <c r="E4" s="617"/>
      <c r="F4" s="112"/>
      <c r="G4" s="616" t="s">
        <v>146</v>
      </c>
      <c r="H4" s="616"/>
      <c r="I4" s="616"/>
      <c r="J4" s="616"/>
      <c r="K4" s="616"/>
      <c r="L4" s="616"/>
      <c r="M4" s="616"/>
      <c r="N4" s="616"/>
      <c r="O4" s="111"/>
    </row>
    <row r="5" spans="1:17" ht="15">
      <c r="A5" s="113"/>
      <c r="B5" s="111"/>
      <c r="C5" s="111"/>
      <c r="D5" s="111"/>
      <c r="E5" s="111"/>
      <c r="F5" s="111"/>
      <c r="G5" s="111"/>
      <c r="H5" s="111"/>
      <c r="I5" s="111"/>
      <c r="J5" s="111"/>
      <c r="K5" s="111"/>
      <c r="L5" s="111"/>
      <c r="M5" s="111"/>
      <c r="N5" s="111"/>
      <c r="O5" s="111"/>
      <c r="P5" s="614" t="s">
        <v>5</v>
      </c>
      <c r="Q5" s="614"/>
    </row>
    <row r="6" spans="1:17" ht="51">
      <c r="A6" s="113"/>
      <c r="B6" s="114" t="s">
        <v>147</v>
      </c>
      <c r="C6" s="114"/>
      <c r="D6" s="115" t="s">
        <v>148</v>
      </c>
      <c r="E6" s="115" t="s">
        <v>149</v>
      </c>
      <c r="F6" s="106"/>
      <c r="G6" s="115" t="s">
        <v>148</v>
      </c>
      <c r="H6" s="115" t="s">
        <v>149</v>
      </c>
      <c r="I6" s="106"/>
      <c r="J6" s="115" t="s">
        <v>148</v>
      </c>
      <c r="K6" s="115" t="s">
        <v>149</v>
      </c>
      <c r="L6" s="106"/>
      <c r="M6" s="115" t="s">
        <v>148</v>
      </c>
      <c r="N6" s="115" t="s">
        <v>149</v>
      </c>
      <c r="O6" s="111"/>
      <c r="P6" s="116" t="s">
        <v>148</v>
      </c>
      <c r="Q6" s="116" t="s">
        <v>149</v>
      </c>
    </row>
    <row r="7" spans="1:17" ht="15" thickBot="1">
      <c r="A7" s="113"/>
      <c r="B7" s="117"/>
      <c r="C7" s="117"/>
      <c r="D7" s="117"/>
      <c r="E7" s="117"/>
      <c r="F7" s="117"/>
      <c r="G7" s="117"/>
      <c r="H7" s="117"/>
      <c r="I7" s="117"/>
      <c r="J7" s="117"/>
      <c r="K7" s="117"/>
      <c r="L7" s="117"/>
      <c r="M7" s="117"/>
      <c r="N7" s="117"/>
      <c r="O7" s="111"/>
    </row>
    <row r="8" spans="1:17" ht="15" thickBot="1">
      <c r="A8" s="113"/>
      <c r="B8" s="118" t="s">
        <v>150</v>
      </c>
      <c r="C8" s="119"/>
      <c r="D8" s="120"/>
      <c r="E8" s="120"/>
      <c r="F8" s="120"/>
      <c r="G8" s="120"/>
      <c r="H8" s="120"/>
      <c r="I8" s="120"/>
      <c r="J8" s="120"/>
      <c r="K8" s="120"/>
      <c r="L8" s="120"/>
      <c r="M8" s="120"/>
      <c r="N8" s="120"/>
      <c r="O8" s="111"/>
    </row>
    <row r="9" spans="1:17" ht="18" customHeight="1">
      <c r="A9" s="121"/>
      <c r="B9" s="122" t="s">
        <v>151</v>
      </c>
      <c r="C9" s="122" t="s">
        <v>152</v>
      </c>
      <c r="D9" s="123">
        <v>43.680999999999997</v>
      </c>
      <c r="E9" s="123">
        <v>309783.06099999999</v>
      </c>
      <c r="F9" s="124"/>
      <c r="G9" s="123"/>
      <c r="H9" s="123">
        <f>+E9</f>
        <v>309783.06099999999</v>
      </c>
      <c r="I9" s="124"/>
      <c r="J9" s="123"/>
      <c r="K9" s="123">
        <f>+H9</f>
        <v>309783.06099999999</v>
      </c>
      <c r="L9" s="124"/>
      <c r="M9" s="123"/>
      <c r="N9" s="123">
        <f>+K9</f>
        <v>309783.06099999999</v>
      </c>
      <c r="O9" s="111"/>
    </row>
    <row r="10" spans="1:17" ht="18" customHeight="1">
      <c r="A10" s="121"/>
      <c r="B10" s="122" t="s">
        <v>153</v>
      </c>
      <c r="C10" s="122" t="s">
        <v>152</v>
      </c>
      <c r="D10" s="125">
        <v>1.4810000000000001</v>
      </c>
      <c r="E10" s="125">
        <v>1968.567</v>
      </c>
      <c r="F10" s="124"/>
      <c r="G10" s="125"/>
      <c r="H10" s="123">
        <f>+E10</f>
        <v>1968.567</v>
      </c>
      <c r="I10" s="124"/>
      <c r="J10" s="123"/>
      <c r="K10" s="123">
        <f>+H10</f>
        <v>1968.567</v>
      </c>
      <c r="L10" s="124"/>
      <c r="M10" s="123"/>
      <c r="N10" s="123">
        <f>+K10</f>
        <v>1968.567</v>
      </c>
      <c r="O10" s="111"/>
    </row>
    <row r="11" spans="1:17" ht="18" customHeight="1">
      <c r="A11" s="121"/>
      <c r="B11" s="122" t="s">
        <v>154</v>
      </c>
      <c r="C11" s="122" t="s">
        <v>152</v>
      </c>
      <c r="D11" s="126">
        <v>177.24199999999999</v>
      </c>
      <c r="E11" s="125">
        <f>352544.51</f>
        <v>352544.51</v>
      </c>
      <c r="F11" s="124"/>
      <c r="G11" s="125"/>
      <c r="H11" s="123">
        <f>+E11</f>
        <v>352544.51</v>
      </c>
      <c r="I11" s="124"/>
      <c r="J11" s="123"/>
      <c r="K11" s="123">
        <f>+H11</f>
        <v>352544.51</v>
      </c>
      <c r="L11" s="124"/>
      <c r="M11" s="123"/>
      <c r="N11" s="123">
        <f>+K11</f>
        <v>352544.51</v>
      </c>
      <c r="O11" s="111"/>
    </row>
    <row r="12" spans="1:17" ht="18" customHeight="1">
      <c r="A12" s="121"/>
      <c r="B12" s="122" t="s">
        <v>155</v>
      </c>
      <c r="C12" s="122" t="s">
        <v>152</v>
      </c>
      <c r="D12" s="125">
        <v>10.221</v>
      </c>
      <c r="E12" s="125">
        <f>166902.004</f>
        <v>166902.00399999999</v>
      </c>
      <c r="F12" s="124"/>
      <c r="G12" s="125"/>
      <c r="H12" s="123">
        <f>+E12</f>
        <v>166902.00399999999</v>
      </c>
      <c r="I12" s="124"/>
      <c r="J12" s="123"/>
      <c r="K12" s="123">
        <f>+H12</f>
        <v>166902.00399999999</v>
      </c>
      <c r="L12" s="124"/>
      <c r="M12" s="123"/>
      <c r="N12" s="123">
        <f>+K12</f>
        <v>166902.00399999999</v>
      </c>
      <c r="O12" s="111"/>
    </row>
    <row r="13" spans="1:17" ht="18" customHeight="1">
      <c r="A13" s="121"/>
      <c r="B13" s="122" t="s">
        <v>156</v>
      </c>
      <c r="C13" s="122" t="s">
        <v>152</v>
      </c>
      <c r="D13" s="125">
        <v>14.693</v>
      </c>
      <c r="E13" s="125">
        <f>256790.723</f>
        <v>256790.723</v>
      </c>
      <c r="F13" s="124"/>
      <c r="G13" s="125"/>
      <c r="H13" s="123">
        <f>+E13</f>
        <v>256790.723</v>
      </c>
      <c r="I13" s="124"/>
      <c r="J13" s="123"/>
      <c r="K13" s="123">
        <f>+H13</f>
        <v>256790.723</v>
      </c>
      <c r="L13" s="124"/>
      <c r="M13" s="123"/>
      <c r="N13" s="123">
        <f>+K13</f>
        <v>256790.723</v>
      </c>
      <c r="O13" s="111"/>
    </row>
    <row r="14" spans="1:17" s="106" customFormat="1" ht="18" customHeight="1">
      <c r="A14" s="121"/>
      <c r="B14" s="128" t="s">
        <v>161</v>
      </c>
      <c r="C14" s="129"/>
      <c r="D14" s="130">
        <f>SUM(D9:D13)</f>
        <v>247.31800000000001</v>
      </c>
      <c r="E14" s="131">
        <f>SUM(E9:E13)</f>
        <v>1087988.865</v>
      </c>
      <c r="F14" s="132"/>
      <c r="G14" s="131">
        <f>SUM(G9:G13)</f>
        <v>0</v>
      </c>
      <c r="H14" s="131">
        <f>SUM(H9:H13)</f>
        <v>1087988.865</v>
      </c>
      <c r="I14" s="132"/>
      <c r="J14" s="131">
        <f>SUM(J9:J13)</f>
        <v>0</v>
      </c>
      <c r="K14" s="131">
        <f>SUM(K9:K13)</f>
        <v>1087988.865</v>
      </c>
      <c r="L14" s="132"/>
      <c r="M14" s="131">
        <f>SUM(M9:M13)</f>
        <v>0</v>
      </c>
      <c r="N14" s="131">
        <f>SUM(N9:N13)</f>
        <v>1087988.865</v>
      </c>
      <c r="O14" s="133"/>
      <c r="P14" s="134">
        <f>+D14+G14+J14+M14</f>
        <v>247.31800000000001</v>
      </c>
      <c r="Q14" s="134">
        <f>+E14+H14+K14+N14</f>
        <v>4351955.46</v>
      </c>
    </row>
    <row r="15" spans="1:17" s="106" customFormat="1" ht="15" thickBot="1">
      <c r="A15" s="104"/>
      <c r="B15" s="104"/>
      <c r="C15" s="117"/>
      <c r="D15" s="117"/>
      <c r="E15" s="117"/>
      <c r="F15" s="117"/>
      <c r="G15" s="117"/>
      <c r="H15" s="117"/>
      <c r="I15" s="117"/>
      <c r="J15" s="117"/>
      <c r="K15" s="117"/>
      <c r="L15" s="117"/>
      <c r="M15" s="117"/>
      <c r="N15" s="117"/>
      <c r="O15" s="104"/>
      <c r="P15" s="105"/>
      <c r="Q15" s="105"/>
    </row>
    <row r="16" spans="1:17" s="106" customFormat="1" ht="15" thickBot="1">
      <c r="A16" s="113"/>
      <c r="B16" s="118" t="s">
        <v>162</v>
      </c>
      <c r="C16" s="119"/>
      <c r="D16" s="120"/>
      <c r="E16" s="120"/>
      <c r="F16" s="120"/>
      <c r="G16" s="120"/>
      <c r="H16" s="120"/>
      <c r="I16" s="120"/>
      <c r="J16" s="120"/>
      <c r="K16" s="120"/>
      <c r="L16" s="120"/>
      <c r="M16" s="120"/>
      <c r="N16" s="120"/>
      <c r="O16" s="111"/>
      <c r="P16" s="105"/>
      <c r="Q16" s="105"/>
    </row>
    <row r="17" spans="1:18" s="106" customFormat="1">
      <c r="A17" s="104"/>
      <c r="B17" s="122" t="s">
        <v>163</v>
      </c>
      <c r="C17" s="122" t="s">
        <v>164</v>
      </c>
      <c r="D17" s="123">
        <f>+[16]Summary!$Q$8-D89</f>
        <v>39.700000000000003</v>
      </c>
      <c r="E17" s="123">
        <f>+[16]Summary!$R$8-E89</f>
        <v>170541</v>
      </c>
      <c r="F17" s="104"/>
      <c r="G17" s="125"/>
      <c r="H17" s="123">
        <f>+E17</f>
        <v>170541</v>
      </c>
      <c r="I17" s="124"/>
      <c r="J17" s="123"/>
      <c r="K17" s="123">
        <f>+H17</f>
        <v>170541</v>
      </c>
      <c r="L17" s="124"/>
      <c r="M17" s="123"/>
      <c r="N17" s="123">
        <f>+K17</f>
        <v>170541</v>
      </c>
      <c r="O17" s="111"/>
      <c r="P17" s="105"/>
      <c r="Q17" s="105"/>
      <c r="R17" s="106">
        <f>E17/(E17+E18+E19)</f>
        <v>0.29574900154515549</v>
      </c>
    </row>
    <row r="18" spans="1:18" s="106" customFormat="1">
      <c r="A18" s="104"/>
      <c r="B18" s="122" t="s">
        <v>163</v>
      </c>
      <c r="C18" s="122" t="s">
        <v>165</v>
      </c>
      <c r="D18" s="123">
        <f>+[16]Summary!$Q$7-D90</f>
        <v>74.11999999999999</v>
      </c>
      <c r="E18" s="123">
        <f>+[16]Summary!$R$7-E90</f>
        <v>350226</v>
      </c>
      <c r="F18" s="104"/>
      <c r="G18" s="125"/>
      <c r="H18" s="123">
        <f>+E18</f>
        <v>350226</v>
      </c>
      <c r="I18" s="124"/>
      <c r="J18" s="123"/>
      <c r="K18" s="123">
        <f>+H18</f>
        <v>350226</v>
      </c>
      <c r="L18" s="124"/>
      <c r="M18" s="123"/>
      <c r="N18" s="123">
        <f>+K18</f>
        <v>350226</v>
      </c>
      <c r="O18" s="111"/>
      <c r="P18" s="105"/>
      <c r="Q18" s="105"/>
      <c r="R18" s="106">
        <f>E18/(E17+E18+E19)</f>
        <v>0.60735535627886328</v>
      </c>
    </row>
    <row r="19" spans="1:18" s="106" customFormat="1">
      <c r="A19" s="104"/>
      <c r="B19" s="122" t="s">
        <v>163</v>
      </c>
      <c r="C19" s="122" t="s">
        <v>111</v>
      </c>
      <c r="D19" s="123">
        <f>+[16]Summary!$Q$6-D91</f>
        <v>15.78</v>
      </c>
      <c r="E19" s="123">
        <f>+[16]Summary!$R$6-E91</f>
        <v>55874</v>
      </c>
      <c r="F19" s="104"/>
      <c r="G19" s="125"/>
      <c r="H19" s="123">
        <f>+E19</f>
        <v>55874</v>
      </c>
      <c r="I19" s="124"/>
      <c r="J19" s="123"/>
      <c r="K19" s="123">
        <f>+H19</f>
        <v>55874</v>
      </c>
      <c r="L19" s="124"/>
      <c r="M19" s="123"/>
      <c r="N19" s="123">
        <f>+K19</f>
        <v>55874</v>
      </c>
      <c r="O19" s="111"/>
      <c r="P19" s="105"/>
      <c r="Q19" s="105"/>
      <c r="R19" s="106">
        <f>E19/(E17+E18+E19)</f>
        <v>9.6895642175981248E-2</v>
      </c>
    </row>
    <row r="20" spans="1:18" s="106" customFormat="1">
      <c r="A20" s="104"/>
      <c r="B20" s="122" t="s">
        <v>163</v>
      </c>
      <c r="C20" s="122" t="s">
        <v>166</v>
      </c>
      <c r="D20" s="123"/>
      <c r="E20" s="123"/>
      <c r="F20" s="104"/>
      <c r="G20" s="125"/>
      <c r="H20" s="123"/>
      <c r="I20" s="124"/>
      <c r="J20" s="123"/>
      <c r="K20" s="123"/>
      <c r="L20" s="124"/>
      <c r="M20" s="123"/>
      <c r="N20" s="123"/>
      <c r="O20" s="111"/>
      <c r="P20" s="105"/>
      <c r="Q20" s="105"/>
    </row>
    <row r="21" spans="1:18" s="106" customFormat="1">
      <c r="A21" s="104"/>
      <c r="B21" s="122" t="s">
        <v>167</v>
      </c>
      <c r="C21" s="122" t="s">
        <v>164</v>
      </c>
      <c r="D21" s="123">
        <v>118.974</v>
      </c>
      <c r="E21" s="123">
        <v>295710.79599999997</v>
      </c>
      <c r="F21" s="104"/>
      <c r="G21" s="125"/>
      <c r="H21" s="123">
        <f>+E21</f>
        <v>295710.79599999997</v>
      </c>
      <c r="I21" s="124"/>
      <c r="J21" s="123"/>
      <c r="K21" s="123">
        <f>+H21</f>
        <v>295710.79599999997</v>
      </c>
      <c r="L21" s="124"/>
      <c r="M21" s="123"/>
      <c r="N21" s="123">
        <f>+K21</f>
        <v>295710.79599999997</v>
      </c>
      <c r="O21" s="111"/>
      <c r="P21" s="105"/>
      <c r="Q21" s="105"/>
    </row>
    <row r="22" spans="1:18" s="106" customFormat="1">
      <c r="A22" s="104"/>
      <c r="B22" s="122" t="s">
        <v>168</v>
      </c>
      <c r="C22" s="122"/>
      <c r="D22" s="123"/>
      <c r="E22" s="123"/>
      <c r="F22" s="104"/>
      <c r="G22" s="125"/>
      <c r="H22" s="123"/>
      <c r="I22" s="124"/>
      <c r="J22" s="123"/>
      <c r="K22" s="123"/>
      <c r="L22" s="124"/>
      <c r="M22" s="123"/>
      <c r="N22" s="123"/>
      <c r="O22" s="111"/>
      <c r="P22" s="105"/>
      <c r="Q22" s="105"/>
    </row>
    <row r="23" spans="1:18" s="106" customFormat="1">
      <c r="A23" s="104"/>
      <c r="B23" s="122" t="s">
        <v>169</v>
      </c>
      <c r="C23" s="122" t="s">
        <v>165</v>
      </c>
      <c r="D23" s="123"/>
      <c r="E23" s="123"/>
      <c r="F23" s="104"/>
      <c r="G23" s="125"/>
      <c r="H23" s="123"/>
      <c r="I23" s="124"/>
      <c r="J23" s="123"/>
      <c r="K23" s="123"/>
      <c r="L23" s="124"/>
      <c r="M23" s="123"/>
      <c r="N23" s="123"/>
      <c r="O23" s="111"/>
      <c r="P23" s="105"/>
      <c r="Q23" s="105"/>
    </row>
    <row r="24" spans="1:18" s="106" customFormat="1">
      <c r="A24" s="104"/>
      <c r="B24" s="122" t="s">
        <v>170</v>
      </c>
      <c r="C24" s="122" t="s">
        <v>165</v>
      </c>
      <c r="D24" s="123"/>
      <c r="E24" s="123"/>
      <c r="F24" s="104"/>
      <c r="G24" s="125"/>
      <c r="H24" s="123"/>
      <c r="I24" s="124"/>
      <c r="J24" s="123"/>
      <c r="K24" s="123"/>
      <c r="L24" s="124"/>
      <c r="M24" s="123"/>
      <c r="N24" s="123"/>
      <c r="O24" s="111"/>
      <c r="P24" s="105"/>
      <c r="Q24" s="105"/>
    </row>
    <row r="25" spans="1:18" s="106" customFormat="1">
      <c r="A25" s="104"/>
      <c r="B25" s="122" t="s">
        <v>171</v>
      </c>
      <c r="C25" s="122" t="s">
        <v>165</v>
      </c>
      <c r="D25" s="123"/>
      <c r="E25" s="123"/>
      <c r="F25" s="104"/>
      <c r="G25" s="125"/>
      <c r="H25" s="123"/>
      <c r="I25" s="124"/>
      <c r="J25" s="123"/>
      <c r="K25" s="123"/>
      <c r="L25" s="124"/>
      <c r="M25" s="123"/>
      <c r="N25" s="123"/>
      <c r="O25" s="111"/>
      <c r="P25" s="105"/>
      <c r="Q25" s="105"/>
    </row>
    <row r="26" spans="1:18" s="106" customFormat="1">
      <c r="A26" s="104"/>
      <c r="B26" s="122" t="s">
        <v>172</v>
      </c>
      <c r="C26" s="122"/>
      <c r="D26" s="123"/>
      <c r="E26" s="123"/>
      <c r="F26" s="104"/>
      <c r="G26" s="125"/>
      <c r="H26" s="123"/>
      <c r="I26" s="124"/>
      <c r="J26" s="123"/>
      <c r="K26" s="123"/>
      <c r="L26" s="124"/>
      <c r="M26" s="123"/>
      <c r="N26" s="123"/>
      <c r="O26" s="111"/>
      <c r="P26" s="105"/>
      <c r="Q26" s="105"/>
    </row>
    <row r="27" spans="1:18" s="106" customFormat="1">
      <c r="A27" s="104"/>
      <c r="B27" s="122" t="s">
        <v>105</v>
      </c>
      <c r="C27" s="127"/>
      <c r="D27" s="123"/>
      <c r="E27" s="123"/>
      <c r="F27" s="104"/>
      <c r="G27" s="125"/>
      <c r="H27" s="123"/>
      <c r="I27" s="124"/>
      <c r="J27" s="123"/>
      <c r="K27" s="123"/>
      <c r="L27" s="124"/>
      <c r="M27" s="123"/>
      <c r="N27" s="123"/>
      <c r="O27" s="111"/>
      <c r="P27" s="105"/>
      <c r="Q27" s="105"/>
    </row>
    <row r="28" spans="1:18" s="106" customFormat="1" ht="18" customHeight="1">
      <c r="A28" s="121"/>
      <c r="B28" s="128" t="s">
        <v>173</v>
      </c>
      <c r="C28" s="129"/>
      <c r="D28" s="130">
        <f>SUM(D17:D27)</f>
        <v>248.57400000000001</v>
      </c>
      <c r="E28" s="131">
        <f>SUM(E17:E27)</f>
        <v>872351.79599999997</v>
      </c>
      <c r="F28" s="132"/>
      <c r="G28" s="130">
        <f>SUM(G17:G27)</f>
        <v>0</v>
      </c>
      <c r="H28" s="131">
        <f>SUM(H17:H27)</f>
        <v>872351.79599999997</v>
      </c>
      <c r="I28" s="132"/>
      <c r="J28" s="130">
        <f>SUM(J17:J27)</f>
        <v>0</v>
      </c>
      <c r="K28" s="131">
        <f>SUM(K17:K27)</f>
        <v>872351.79599999997</v>
      </c>
      <c r="L28" s="132"/>
      <c r="M28" s="130">
        <f>SUM(M17:M27)</f>
        <v>0</v>
      </c>
      <c r="N28" s="131">
        <f>SUM(N17:N27)</f>
        <v>872351.79599999997</v>
      </c>
      <c r="O28" s="111"/>
      <c r="P28" s="134">
        <f>+D28+G28+J28+M28</f>
        <v>248.57400000000001</v>
      </c>
      <c r="Q28" s="134">
        <f>+E28+H28+K28+N28</f>
        <v>3489407.1839999999</v>
      </c>
    </row>
    <row r="29" spans="1:18" s="106" customFormat="1" ht="15" thickBot="1">
      <c r="A29" s="104"/>
      <c r="B29" s="104"/>
      <c r="C29" s="117"/>
      <c r="D29" s="117"/>
      <c r="E29" s="117"/>
      <c r="F29" s="117"/>
      <c r="G29" s="117"/>
      <c r="H29" s="117"/>
      <c r="I29" s="117"/>
      <c r="J29" s="117"/>
      <c r="K29" s="117"/>
      <c r="L29" s="117"/>
      <c r="M29" s="117"/>
      <c r="N29" s="117"/>
      <c r="O29" s="104"/>
      <c r="P29" s="105"/>
      <c r="Q29" s="105"/>
    </row>
    <row r="30" spans="1:18" s="106" customFormat="1" ht="15" thickBot="1">
      <c r="A30" s="113"/>
      <c r="B30" s="118" t="s">
        <v>174</v>
      </c>
      <c r="C30" s="119"/>
      <c r="D30" s="120"/>
      <c r="E30" s="120"/>
      <c r="F30" s="120"/>
      <c r="G30" s="120"/>
      <c r="H30" s="120"/>
      <c r="I30" s="120"/>
      <c r="J30" s="120"/>
      <c r="K30" s="120"/>
      <c r="L30" s="120"/>
      <c r="M30" s="120"/>
      <c r="N30" s="120"/>
      <c r="O30" s="111"/>
      <c r="P30" s="105"/>
      <c r="Q30" s="105"/>
    </row>
    <row r="31" spans="1:18" s="106" customFormat="1">
      <c r="A31" s="104"/>
      <c r="B31" s="122" t="s">
        <v>175</v>
      </c>
      <c r="C31" s="122"/>
      <c r="D31" s="123"/>
      <c r="E31" s="123"/>
      <c r="F31" s="104"/>
      <c r="G31" s="125"/>
      <c r="H31" s="123"/>
      <c r="I31" s="124"/>
      <c r="J31" s="123"/>
      <c r="K31" s="123"/>
      <c r="L31" s="124"/>
      <c r="M31" s="123"/>
      <c r="N31" s="123"/>
      <c r="O31" s="111"/>
      <c r="P31" s="105"/>
      <c r="Q31" s="105"/>
    </row>
    <row r="32" spans="1:18" s="106" customFormat="1">
      <c r="A32" s="104"/>
      <c r="B32" s="122" t="s">
        <v>176</v>
      </c>
      <c r="C32" s="122"/>
      <c r="D32" s="123"/>
      <c r="E32" s="123"/>
      <c r="F32" s="104"/>
      <c r="G32" s="125"/>
      <c r="H32" s="123"/>
      <c r="I32" s="124"/>
      <c r="J32" s="123"/>
      <c r="K32" s="123"/>
      <c r="L32" s="124"/>
      <c r="M32" s="123"/>
      <c r="N32" s="123"/>
      <c r="O32" s="111"/>
      <c r="P32" s="105"/>
      <c r="Q32" s="105"/>
    </row>
    <row r="33" spans="1:17" s="106" customFormat="1">
      <c r="A33" s="104"/>
      <c r="B33" s="122" t="s">
        <v>177</v>
      </c>
      <c r="C33" s="122" t="s">
        <v>111</v>
      </c>
      <c r="D33" s="123"/>
      <c r="E33" s="123"/>
      <c r="F33" s="104"/>
      <c r="G33" s="125"/>
      <c r="H33" s="123"/>
      <c r="I33" s="124"/>
      <c r="J33" s="123"/>
      <c r="K33" s="123"/>
      <c r="L33" s="124"/>
      <c r="M33" s="123"/>
      <c r="N33" s="123"/>
      <c r="O33" s="111"/>
      <c r="P33" s="105"/>
      <c r="Q33" s="105"/>
    </row>
    <row r="34" spans="1:17" s="106" customFormat="1">
      <c r="A34" s="104"/>
      <c r="B34" s="122" t="s">
        <v>163</v>
      </c>
      <c r="C34" s="122" t="s">
        <v>111</v>
      </c>
      <c r="D34" s="123">
        <v>17.788</v>
      </c>
      <c r="E34" s="123">
        <v>109094.06299999999</v>
      </c>
      <c r="F34" s="104"/>
      <c r="G34" s="125"/>
      <c r="H34" s="123">
        <f>+E34</f>
        <v>109094.06299999999</v>
      </c>
      <c r="I34" s="124"/>
      <c r="J34" s="123"/>
      <c r="K34" s="123">
        <f>+H34</f>
        <v>109094.06299999999</v>
      </c>
      <c r="L34" s="124"/>
      <c r="M34" s="135"/>
      <c r="N34" s="123">
        <f>+K34</f>
        <v>109094.06299999999</v>
      </c>
      <c r="O34" s="111"/>
      <c r="P34" s="105"/>
      <c r="Q34" s="105"/>
    </row>
    <row r="35" spans="1:17" s="106" customFormat="1">
      <c r="A35" s="104"/>
      <c r="B35" s="122" t="s">
        <v>105</v>
      </c>
      <c r="C35" s="122" t="s">
        <v>111</v>
      </c>
      <c r="D35" s="123"/>
      <c r="E35" s="123"/>
      <c r="F35" s="104"/>
      <c r="G35" s="125"/>
      <c r="H35" s="123"/>
      <c r="I35" s="124"/>
      <c r="J35" s="123"/>
      <c r="K35" s="123"/>
      <c r="L35" s="124"/>
      <c r="M35" s="123"/>
      <c r="N35" s="123"/>
      <c r="O35" s="111"/>
      <c r="P35" s="105"/>
      <c r="Q35" s="105"/>
    </row>
    <row r="36" spans="1:17" s="106" customFormat="1" ht="18" customHeight="1">
      <c r="A36" s="121"/>
      <c r="B36" s="128" t="s">
        <v>178</v>
      </c>
      <c r="C36" s="129"/>
      <c r="D36" s="130">
        <f>SUM(D31:D35)</f>
        <v>17.788</v>
      </c>
      <c r="E36" s="130">
        <f>SUM(E31:E35)</f>
        <v>109094.06299999999</v>
      </c>
      <c r="F36" s="132"/>
      <c r="G36" s="130">
        <f>SUM(G31:G35)</f>
        <v>0</v>
      </c>
      <c r="H36" s="130">
        <f>SUM(H31:H35)</f>
        <v>109094.06299999999</v>
      </c>
      <c r="I36" s="132"/>
      <c r="J36" s="130">
        <f>SUM(J31:J35)</f>
        <v>0</v>
      </c>
      <c r="K36" s="130">
        <f>SUM(K31:K35)</f>
        <v>109094.06299999999</v>
      </c>
      <c r="L36" s="132"/>
      <c r="M36" s="130">
        <f>SUM(M31:M35)</f>
        <v>0</v>
      </c>
      <c r="N36" s="130">
        <f>SUM(N31:N35)</f>
        <v>109094.06299999999</v>
      </c>
      <c r="O36" s="111"/>
      <c r="P36" s="134">
        <f>+D36+G36+J36+M36</f>
        <v>17.788</v>
      </c>
      <c r="Q36" s="134">
        <f>+E36+H36+K36+N36</f>
        <v>436376.25199999998</v>
      </c>
    </row>
    <row r="37" spans="1:17" s="106" customFormat="1" ht="15" thickBot="1">
      <c r="A37" s="104"/>
      <c r="B37" s="104"/>
      <c r="C37" s="117"/>
      <c r="D37" s="117"/>
      <c r="E37" s="117"/>
      <c r="F37" s="117"/>
      <c r="G37" s="117"/>
      <c r="H37" s="117"/>
      <c r="I37" s="117"/>
      <c r="J37" s="117"/>
      <c r="K37" s="117"/>
      <c r="L37" s="117"/>
      <c r="M37" s="117"/>
      <c r="N37" s="117"/>
      <c r="O37" s="104"/>
      <c r="P37" s="105"/>
      <c r="Q37" s="105"/>
    </row>
    <row r="38" spans="1:17" s="106" customFormat="1" ht="15" thickBot="1">
      <c r="A38" s="113"/>
      <c r="B38" s="118" t="s">
        <v>179</v>
      </c>
      <c r="C38" s="119"/>
      <c r="D38" s="120"/>
      <c r="E38" s="120"/>
      <c r="F38" s="120"/>
      <c r="G38" s="120"/>
      <c r="H38" s="120"/>
      <c r="I38" s="120"/>
      <c r="J38" s="120"/>
      <c r="K38" s="120"/>
      <c r="L38" s="120"/>
      <c r="M38" s="120"/>
      <c r="N38" s="120"/>
      <c r="O38" s="111"/>
      <c r="P38" s="105"/>
      <c r="Q38" s="105"/>
    </row>
    <row r="39" spans="1:17" s="106" customFormat="1">
      <c r="A39" s="104"/>
      <c r="B39" s="122" t="s">
        <v>179</v>
      </c>
      <c r="C39" s="122" t="s">
        <v>152</v>
      </c>
      <c r="D39" s="123"/>
      <c r="E39" s="123"/>
      <c r="F39" s="104"/>
      <c r="G39" s="125"/>
      <c r="H39" s="123"/>
      <c r="I39" s="124"/>
      <c r="J39" s="123"/>
      <c r="K39" s="123"/>
      <c r="L39" s="124"/>
      <c r="M39" s="123"/>
      <c r="N39" s="123"/>
      <c r="O39" s="111"/>
      <c r="P39" s="105"/>
      <c r="Q39" s="105"/>
    </row>
    <row r="40" spans="1:17" s="106" customFormat="1" ht="18" customHeight="1">
      <c r="A40" s="121"/>
      <c r="B40" s="128" t="s">
        <v>180</v>
      </c>
      <c r="C40" s="129"/>
      <c r="D40" s="130">
        <f>SUM(D39)</f>
        <v>0</v>
      </c>
      <c r="E40" s="130">
        <f>SUM(E39)</f>
        <v>0</v>
      </c>
      <c r="F40" s="132"/>
      <c r="G40" s="130">
        <f>SUM(G39)</f>
        <v>0</v>
      </c>
      <c r="H40" s="130">
        <f>SUM(H39)</f>
        <v>0</v>
      </c>
      <c r="I40" s="132"/>
      <c r="J40" s="130">
        <f>SUM(J39)</f>
        <v>0</v>
      </c>
      <c r="K40" s="130">
        <f>SUM(K39)</f>
        <v>0</v>
      </c>
      <c r="L40" s="132"/>
      <c r="M40" s="130">
        <f>SUM(M39)</f>
        <v>0</v>
      </c>
      <c r="N40" s="130">
        <f>SUM(N39)</f>
        <v>0</v>
      </c>
      <c r="O40" s="111"/>
      <c r="P40" s="134">
        <f>+D40+G40+J40+M40</f>
        <v>0</v>
      </c>
      <c r="Q40" s="134">
        <f>+E40+H40+K40+N40</f>
        <v>0</v>
      </c>
    </row>
    <row r="41" spans="1:17" s="106" customFormat="1" ht="15" thickBot="1">
      <c r="A41" s="104"/>
      <c r="B41" s="104"/>
      <c r="C41" s="117"/>
      <c r="D41" s="117"/>
      <c r="E41" s="117"/>
      <c r="F41" s="117"/>
      <c r="G41" s="117"/>
      <c r="H41" s="117"/>
      <c r="I41" s="117"/>
      <c r="J41" s="117"/>
      <c r="K41" s="117"/>
      <c r="L41" s="117"/>
      <c r="M41" s="117"/>
      <c r="N41" s="117"/>
      <c r="O41" s="104"/>
      <c r="P41" s="105"/>
      <c r="Q41" s="105"/>
    </row>
    <row r="42" spans="1:17" s="106" customFormat="1" ht="15" thickBot="1">
      <c r="A42" s="113"/>
      <c r="B42" s="118" t="s">
        <v>181</v>
      </c>
      <c r="C42" s="119"/>
      <c r="D42" s="120"/>
      <c r="E42" s="120"/>
      <c r="F42" s="120"/>
      <c r="G42" s="120"/>
      <c r="H42" s="120"/>
      <c r="I42" s="120"/>
      <c r="J42" s="120"/>
      <c r="K42" s="120"/>
      <c r="L42" s="120"/>
      <c r="M42" s="120"/>
      <c r="N42" s="120"/>
      <c r="O42" s="111"/>
      <c r="P42" s="105"/>
      <c r="Q42" s="105"/>
    </row>
    <row r="43" spans="1:17" s="106" customFormat="1">
      <c r="A43" s="104"/>
      <c r="B43" s="122" t="s">
        <v>179</v>
      </c>
      <c r="C43" s="122"/>
      <c r="D43" s="123"/>
      <c r="E43" s="123"/>
      <c r="F43" s="104"/>
      <c r="G43" s="125"/>
      <c r="H43" s="123"/>
      <c r="I43" s="124"/>
      <c r="J43" s="123"/>
      <c r="K43" s="123"/>
      <c r="L43" s="124"/>
      <c r="M43" s="123"/>
      <c r="N43" s="123"/>
      <c r="O43" s="111"/>
      <c r="P43" s="105"/>
      <c r="Q43" s="105"/>
    </row>
    <row r="44" spans="1:17" s="106" customFormat="1">
      <c r="A44" s="104"/>
      <c r="B44" s="122" t="s">
        <v>167</v>
      </c>
      <c r="C44" s="122"/>
      <c r="D44" s="123"/>
      <c r="E44" s="123"/>
      <c r="F44" s="104"/>
      <c r="G44" s="125"/>
      <c r="H44" s="123"/>
      <c r="I44" s="124"/>
      <c r="J44" s="123"/>
      <c r="K44" s="123"/>
      <c r="L44" s="124"/>
      <c r="M44" s="123"/>
      <c r="N44" s="123"/>
      <c r="O44" s="111"/>
      <c r="P44" s="105"/>
      <c r="Q44" s="105"/>
    </row>
    <row r="45" spans="1:17" s="106" customFormat="1" ht="18" customHeight="1">
      <c r="A45" s="121"/>
      <c r="B45" s="128" t="s">
        <v>182</v>
      </c>
      <c r="C45" s="129"/>
      <c r="D45" s="130">
        <f>SUM(D43:D44)</f>
        <v>0</v>
      </c>
      <c r="E45" s="130">
        <f>SUM(E43:E44)</f>
        <v>0</v>
      </c>
      <c r="F45" s="132"/>
      <c r="G45" s="130">
        <f>SUM(G43:G44)</f>
        <v>0</v>
      </c>
      <c r="H45" s="130">
        <f>SUM(H43:H44)</f>
        <v>0</v>
      </c>
      <c r="I45" s="132"/>
      <c r="J45" s="130">
        <f>SUM(J43:J44)</f>
        <v>0</v>
      </c>
      <c r="K45" s="130">
        <f>SUM(K43:K44)</f>
        <v>0</v>
      </c>
      <c r="L45" s="132"/>
      <c r="M45" s="130">
        <f>SUM(M43:M44)</f>
        <v>0</v>
      </c>
      <c r="N45" s="130">
        <f>SUM(N43:N44)</f>
        <v>0</v>
      </c>
      <c r="O45" s="111"/>
      <c r="P45" s="134">
        <f>+D45+G45+J45+M45</f>
        <v>0</v>
      </c>
      <c r="Q45" s="134">
        <f>+E45+H45+K45+N45</f>
        <v>0</v>
      </c>
    </row>
    <row r="46" spans="1:17" s="106" customFormat="1" ht="15" thickBot="1">
      <c r="A46" s="104"/>
      <c r="B46" s="104"/>
      <c r="C46" s="117"/>
      <c r="D46" s="117"/>
      <c r="E46" s="117"/>
      <c r="F46" s="117"/>
      <c r="G46" s="117"/>
      <c r="H46" s="117"/>
      <c r="I46" s="117"/>
      <c r="J46" s="117"/>
      <c r="K46" s="117"/>
      <c r="L46" s="117"/>
      <c r="M46" s="117"/>
      <c r="N46" s="117"/>
      <c r="O46" s="104"/>
      <c r="P46" s="105"/>
      <c r="Q46" s="105"/>
    </row>
    <row r="47" spans="1:17" s="106" customFormat="1" ht="15" thickBot="1">
      <c r="A47" s="113"/>
      <c r="B47" s="118" t="s">
        <v>183</v>
      </c>
      <c r="C47" s="119"/>
      <c r="D47" s="120"/>
      <c r="E47" s="120"/>
      <c r="F47" s="120"/>
      <c r="G47" s="120"/>
      <c r="H47" s="120"/>
      <c r="I47" s="120"/>
      <c r="J47" s="120"/>
      <c r="K47" s="120"/>
      <c r="L47" s="120"/>
      <c r="M47" s="120"/>
      <c r="N47" s="120"/>
      <c r="O47" s="111"/>
      <c r="P47" s="105"/>
      <c r="Q47" s="105"/>
    </row>
    <row r="48" spans="1:17" s="106" customFormat="1">
      <c r="A48" s="104"/>
      <c r="B48" s="122" t="s">
        <v>184</v>
      </c>
      <c r="C48" s="122" t="s">
        <v>165</v>
      </c>
      <c r="D48" s="123">
        <v>14.683</v>
      </c>
      <c r="E48" s="123">
        <v>85316.578999999998</v>
      </c>
      <c r="F48" s="104"/>
      <c r="G48" s="125"/>
      <c r="H48" s="123">
        <f>+E48</f>
        <v>85316.578999999998</v>
      </c>
      <c r="I48" s="124"/>
      <c r="J48" s="123"/>
      <c r="K48" s="123">
        <f>+H48</f>
        <v>85316.578999999998</v>
      </c>
      <c r="L48" s="124"/>
      <c r="M48" s="123"/>
      <c r="N48" s="123">
        <f>+K48</f>
        <v>85316.578999999998</v>
      </c>
      <c r="O48" s="111"/>
      <c r="P48" s="105"/>
      <c r="Q48" s="105"/>
    </row>
    <row r="49" spans="1:68" s="106" customFormat="1">
      <c r="A49" s="104"/>
      <c r="B49" s="122" t="s">
        <v>103</v>
      </c>
      <c r="C49" s="122" t="s">
        <v>165</v>
      </c>
      <c r="D49" s="123">
        <v>0.53100000000000003</v>
      </c>
      <c r="E49" s="123">
        <v>2726.5630000000001</v>
      </c>
      <c r="F49" s="104"/>
      <c r="G49" s="125"/>
      <c r="H49" s="123">
        <f>+E49</f>
        <v>2726.5630000000001</v>
      </c>
      <c r="I49" s="124"/>
      <c r="J49" s="123"/>
      <c r="K49" s="123">
        <f>+H49</f>
        <v>2726.5630000000001</v>
      </c>
      <c r="L49" s="124"/>
      <c r="M49" s="123"/>
      <c r="N49" s="123">
        <f>+K49</f>
        <v>2726.5630000000001</v>
      </c>
      <c r="O49" s="111"/>
      <c r="P49" s="105"/>
      <c r="Q49" s="105"/>
    </row>
    <row r="50" spans="1:68" s="106" customFormat="1">
      <c r="A50" s="104"/>
      <c r="B50" s="122" t="s">
        <v>185</v>
      </c>
      <c r="C50" s="122"/>
      <c r="D50" s="123"/>
      <c r="E50" s="123"/>
      <c r="F50" s="104"/>
      <c r="G50" s="125"/>
      <c r="H50" s="123"/>
      <c r="I50" s="124"/>
      <c r="J50" s="123"/>
      <c r="K50" s="123"/>
      <c r="L50" s="124"/>
      <c r="M50" s="123"/>
      <c r="N50" s="123"/>
      <c r="O50" s="111"/>
      <c r="P50" s="105"/>
      <c r="Q50" s="105"/>
    </row>
    <row r="51" spans="1:68" s="106" customFormat="1">
      <c r="A51" s="104"/>
      <c r="B51" s="122" t="s">
        <v>186</v>
      </c>
      <c r="C51" s="122"/>
      <c r="D51" s="123"/>
      <c r="E51" s="123"/>
      <c r="F51" s="104"/>
      <c r="G51" s="125"/>
      <c r="H51" s="123"/>
      <c r="I51" s="124"/>
      <c r="J51" s="123"/>
      <c r="K51" s="123"/>
      <c r="L51" s="124"/>
      <c r="M51" s="123"/>
      <c r="N51" s="123"/>
      <c r="O51" s="111"/>
      <c r="P51" s="105"/>
      <c r="Q51" s="105"/>
    </row>
    <row r="52" spans="1:68" s="106" customFormat="1">
      <c r="A52" s="104"/>
      <c r="B52" s="122" t="s">
        <v>187</v>
      </c>
      <c r="C52" s="122"/>
      <c r="D52" s="123"/>
      <c r="E52" s="123"/>
      <c r="F52" s="104"/>
      <c r="G52" s="125"/>
      <c r="H52" s="123"/>
      <c r="I52" s="124"/>
      <c r="J52" s="123"/>
      <c r="K52" s="123"/>
      <c r="L52" s="124"/>
      <c r="M52" s="123"/>
      <c r="N52" s="123"/>
      <c r="O52" s="111"/>
      <c r="P52" s="105"/>
      <c r="Q52" s="105"/>
    </row>
    <row r="53" spans="1:68" s="106" customFormat="1" ht="18" customHeight="1">
      <c r="A53" s="121"/>
      <c r="B53" s="128" t="s">
        <v>188</v>
      </c>
      <c r="C53" s="129"/>
      <c r="D53" s="130">
        <f>SUM(D48:D52)</f>
        <v>15.214</v>
      </c>
      <c r="E53" s="130">
        <f>SUM(E48:E52)</f>
        <v>88043.141999999993</v>
      </c>
      <c r="F53" s="132"/>
      <c r="G53" s="130">
        <f>SUM(G48:G52)</f>
        <v>0</v>
      </c>
      <c r="H53" s="130">
        <f>SUM(H48:H52)</f>
        <v>88043.141999999993</v>
      </c>
      <c r="I53" s="132"/>
      <c r="J53" s="130">
        <f>SUM(J48:J52)</f>
        <v>0</v>
      </c>
      <c r="K53" s="130">
        <f>SUM(K48:K52)</f>
        <v>88043.141999999993</v>
      </c>
      <c r="L53" s="132"/>
      <c r="M53" s="130">
        <f>SUM(M48:M52)</f>
        <v>0</v>
      </c>
      <c r="N53" s="130">
        <f>SUM(N48:N52)</f>
        <v>88043.141999999993</v>
      </c>
      <c r="O53" s="111"/>
      <c r="P53" s="134">
        <f>+D53+G53+J53+M53</f>
        <v>15.214</v>
      </c>
      <c r="Q53" s="134">
        <f>+E53+H53+K53+N53</f>
        <v>352172.56799999997</v>
      </c>
    </row>
    <row r="54" spans="1:68" s="106" customFormat="1" ht="15" thickBot="1">
      <c r="A54" s="104"/>
      <c r="B54" s="104"/>
      <c r="C54" s="117"/>
      <c r="D54" s="117"/>
      <c r="E54" s="117"/>
      <c r="F54" s="117"/>
      <c r="G54" s="117"/>
      <c r="H54" s="117"/>
      <c r="I54" s="117"/>
      <c r="J54" s="117"/>
      <c r="K54" s="117"/>
      <c r="L54" s="117"/>
      <c r="M54" s="117"/>
      <c r="N54" s="117"/>
      <c r="O54" s="104"/>
      <c r="P54" s="105"/>
      <c r="Q54" s="105"/>
    </row>
    <row r="55" spans="1:68" s="106" customFormat="1" ht="15" thickBot="1">
      <c r="A55" s="113"/>
      <c r="B55" s="118" t="s">
        <v>189</v>
      </c>
      <c r="C55" s="119"/>
      <c r="D55" s="120"/>
      <c r="E55" s="120"/>
      <c r="F55" s="120"/>
      <c r="G55" s="120"/>
      <c r="H55" s="120"/>
      <c r="I55" s="120"/>
      <c r="J55" s="120"/>
      <c r="K55" s="120"/>
      <c r="L55" s="120"/>
      <c r="M55" s="120"/>
      <c r="N55" s="120"/>
      <c r="O55" s="111"/>
      <c r="P55" s="105"/>
      <c r="Q55" s="105"/>
    </row>
    <row r="56" spans="1:68" s="106" customFormat="1">
      <c r="A56" s="104"/>
      <c r="B56" s="122" t="s">
        <v>190</v>
      </c>
      <c r="C56" s="122" t="s">
        <v>165</v>
      </c>
      <c r="D56" s="123"/>
      <c r="E56" s="123"/>
      <c r="F56" s="104"/>
      <c r="G56" s="125"/>
      <c r="H56" s="123"/>
      <c r="I56" s="124"/>
      <c r="J56" s="123"/>
      <c r="K56" s="123"/>
      <c r="L56" s="124"/>
      <c r="M56" s="123"/>
      <c r="N56" s="123"/>
      <c r="O56" s="104"/>
      <c r="P56" s="105"/>
      <c r="Q56" s="105"/>
    </row>
    <row r="57" spans="1:68" s="106" customFormat="1">
      <c r="A57" s="104"/>
      <c r="B57" s="122" t="s">
        <v>191</v>
      </c>
      <c r="C57" s="122" t="s">
        <v>192</v>
      </c>
      <c r="D57" s="123"/>
      <c r="E57" s="123"/>
      <c r="F57" s="104"/>
      <c r="G57" s="125"/>
      <c r="H57" s="123"/>
      <c r="I57" s="124"/>
      <c r="J57" s="123"/>
      <c r="K57" s="123"/>
      <c r="L57" s="124"/>
      <c r="M57" s="123"/>
      <c r="N57" s="123"/>
      <c r="O57" s="104"/>
      <c r="P57" s="105"/>
      <c r="Q57" s="105"/>
    </row>
    <row r="58" spans="1:68" s="106" customFormat="1">
      <c r="A58" s="104"/>
      <c r="B58" s="122" t="s">
        <v>193</v>
      </c>
      <c r="C58" s="122"/>
      <c r="D58" s="123"/>
      <c r="E58" s="123"/>
      <c r="F58" s="104"/>
      <c r="G58" s="125"/>
      <c r="H58" s="123"/>
      <c r="I58" s="124"/>
      <c r="J58" s="123"/>
      <c r="K58" s="123"/>
      <c r="L58" s="124"/>
      <c r="M58" s="123"/>
      <c r="N58" s="123"/>
      <c r="O58" s="104"/>
      <c r="P58" s="105"/>
      <c r="Q58" s="105"/>
    </row>
    <row r="59" spans="1:68" s="106" customFormat="1" ht="18" customHeight="1">
      <c r="A59" s="121"/>
      <c r="B59" s="128" t="s">
        <v>194</v>
      </c>
      <c r="C59" s="129"/>
      <c r="D59" s="130">
        <f>SUM(D56:D58)</f>
        <v>0</v>
      </c>
      <c r="E59" s="130">
        <f>SUM(E56:E58)</f>
        <v>0</v>
      </c>
      <c r="F59" s="132"/>
      <c r="G59" s="130">
        <f>SUM(G56:G58)</f>
        <v>0</v>
      </c>
      <c r="H59" s="130">
        <f>SUM(H56:H58)</f>
        <v>0</v>
      </c>
      <c r="I59" s="132"/>
      <c r="J59" s="130">
        <f>SUM(J56:J58)</f>
        <v>0</v>
      </c>
      <c r="K59" s="130">
        <f>SUM(K56:K58)</f>
        <v>0</v>
      </c>
      <c r="L59" s="132"/>
      <c r="M59" s="130">
        <f>SUM(M56:M58)</f>
        <v>0</v>
      </c>
      <c r="N59" s="130">
        <f>SUM(N56:N58)</f>
        <v>0</v>
      </c>
      <c r="O59" s="111"/>
      <c r="P59" s="134">
        <f>+D59+G59+J59+M59</f>
        <v>0</v>
      </c>
      <c r="Q59" s="134">
        <f>+E59+H59+K59+N59</f>
        <v>0</v>
      </c>
    </row>
    <row r="60" spans="1:68" s="106" customFormat="1">
      <c r="A60" s="104"/>
      <c r="B60" s="136"/>
      <c r="C60" s="104"/>
      <c r="D60" s="104"/>
      <c r="E60" s="104"/>
      <c r="F60" s="104"/>
      <c r="G60" s="104"/>
      <c r="H60" s="104"/>
      <c r="I60" s="104"/>
      <c r="J60" s="104"/>
      <c r="K60" s="104"/>
      <c r="L60" s="104"/>
      <c r="M60" s="104"/>
      <c r="N60" s="104"/>
      <c r="O60" s="104"/>
      <c r="P60" s="105"/>
      <c r="Q60" s="105"/>
    </row>
    <row r="61" spans="1:68" s="137" customFormat="1" ht="15.75" thickBot="1">
      <c r="D61" s="138">
        <f>+D59+D53+D45+D40+D36+D28+D14</f>
        <v>528.89400000000001</v>
      </c>
      <c r="E61" s="138">
        <f>+E59+E53+E45+E40+E36+E28+E14</f>
        <v>2157477.8659999999</v>
      </c>
      <c r="G61" s="138">
        <f>+G59+G53+G45+G40+G36+G28+G14</f>
        <v>0</v>
      </c>
      <c r="H61" s="138">
        <f>+H59+H53+H45+H40+H36+H28+H14</f>
        <v>2157477.8659999999</v>
      </c>
      <c r="J61" s="138">
        <f>+J59+J53+J45+J40+J36+J28+J14</f>
        <v>0</v>
      </c>
      <c r="K61" s="138">
        <f>+K59+K53+K45+K40+K36+K28+K14</f>
        <v>2157477.8659999999</v>
      </c>
      <c r="M61" s="138">
        <f>+M59+M53+M45+M40+M36+M28+M14</f>
        <v>0</v>
      </c>
      <c r="N61" s="138">
        <f>+N59+N53+N45+N40+N36+N28+N14</f>
        <v>2157477.8659999999</v>
      </c>
      <c r="P61" s="138">
        <f>+P59+P53+P45+P40+P36+P28+P14</f>
        <v>528.89400000000001</v>
      </c>
      <c r="Q61" s="138">
        <f>+Q59+Q53+Q45+Q40+Q36+Q28+Q14</f>
        <v>8629911.4639999997</v>
      </c>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row>
    <row r="62" spans="1:68" s="137" customFormat="1" ht="15" thickTop="1">
      <c r="P62" s="140"/>
      <c r="Q62" s="140"/>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row>
    <row r="63" spans="1:68" s="137" customFormat="1">
      <c r="B63" s="136" t="s">
        <v>195</v>
      </c>
      <c r="P63" s="140"/>
      <c r="Q63" s="140"/>
      <c r="R63" s="139"/>
      <c r="S63" s="139"/>
      <c r="T63" s="139"/>
      <c r="U63" s="139"/>
      <c r="V63" s="139"/>
      <c r="W63" s="139"/>
      <c r="X63" s="139"/>
      <c r="Y63" s="139"/>
      <c r="Z63" s="139"/>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row>
    <row r="64" spans="1:68" s="137" customFormat="1">
      <c r="B64" s="136" t="s">
        <v>196</v>
      </c>
      <c r="P64" s="140"/>
      <c r="Q64" s="140"/>
      <c r="R64" s="139"/>
      <c r="S64" s="139"/>
      <c r="T64" s="139"/>
      <c r="U64" s="139"/>
      <c r="V64" s="139"/>
      <c r="W64" s="139"/>
      <c r="X64" s="139"/>
      <c r="Y64" s="139"/>
      <c r="Z64" s="139"/>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row>
    <row r="65" spans="1:68" s="137" customFormat="1">
      <c r="B65" s="136" t="s">
        <v>197</v>
      </c>
      <c r="C65" s="136"/>
      <c r="P65" s="140"/>
      <c r="Q65" s="140"/>
      <c r="R65" s="139"/>
      <c r="S65" s="139"/>
      <c r="T65" s="139"/>
      <c r="U65" s="139"/>
      <c r="V65" s="139"/>
      <c r="W65" s="139"/>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row>
    <row r="66" spans="1:68" s="137" customFormat="1">
      <c r="B66" s="136" t="s">
        <v>198</v>
      </c>
      <c r="P66" s="140"/>
      <c r="Q66" s="140"/>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row>
    <row r="67" spans="1:68" s="137" customFormat="1">
      <c r="B67" s="136" t="s">
        <v>199</v>
      </c>
      <c r="P67" s="140"/>
      <c r="Q67" s="140"/>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row>
    <row r="68" spans="1:68" s="137" customFormat="1">
      <c r="B68" s="136"/>
      <c r="C68" s="136"/>
      <c r="P68" s="140"/>
      <c r="Q68" s="140"/>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row>
    <row r="69" spans="1:68" ht="18">
      <c r="A69" s="103" t="s">
        <v>200</v>
      </c>
    </row>
    <row r="71" spans="1:68" ht="15">
      <c r="A71" s="107"/>
      <c r="B71" s="107"/>
      <c r="C71" s="107"/>
      <c r="D71" s="615">
        <v>2011</v>
      </c>
      <c r="E71" s="615"/>
      <c r="F71" s="108"/>
      <c r="G71" s="616">
        <v>2012</v>
      </c>
      <c r="H71" s="616"/>
      <c r="I71" s="109"/>
      <c r="J71" s="616">
        <v>2013</v>
      </c>
      <c r="K71" s="616"/>
      <c r="L71" s="109"/>
      <c r="M71" s="616">
        <v>2014</v>
      </c>
      <c r="N71" s="616"/>
      <c r="O71" s="107"/>
    </row>
    <row r="72" spans="1:68" ht="18">
      <c r="A72" s="110"/>
      <c r="B72" s="111"/>
      <c r="C72" s="111"/>
      <c r="D72" s="617" t="s">
        <v>145</v>
      </c>
      <c r="E72" s="617"/>
      <c r="F72" s="112"/>
      <c r="G72" s="616" t="s">
        <v>146</v>
      </c>
      <c r="H72" s="616"/>
      <c r="I72" s="616"/>
      <c r="J72" s="616"/>
      <c r="K72" s="616"/>
      <c r="L72" s="616"/>
      <c r="M72" s="616"/>
      <c r="N72" s="616"/>
      <c r="O72" s="111"/>
    </row>
    <row r="73" spans="1:68" ht="15">
      <c r="P73" s="614" t="s">
        <v>5</v>
      </c>
      <c r="Q73" s="614"/>
    </row>
    <row r="74" spans="1:68" ht="51">
      <c r="B74" s="114" t="s">
        <v>201</v>
      </c>
      <c r="C74" s="114"/>
      <c r="D74" s="115" t="str">
        <f>+$D$6</f>
        <v>Peak Demand Savings (kW)</v>
      </c>
      <c r="E74" s="115" t="str">
        <f>+$E$6</f>
        <v>Energy Savings (kWh)</v>
      </c>
      <c r="F74" s="106"/>
      <c r="G74" s="115" t="str">
        <f>+$G$6</f>
        <v>Peak Demand Savings (kW)</v>
      </c>
      <c r="H74" s="115" t="str">
        <f>+$H$6</f>
        <v>Energy Savings (kWh)</v>
      </c>
      <c r="I74" s="106"/>
      <c r="J74" s="115" t="str">
        <f>+$J$6</f>
        <v>Peak Demand Savings (kW)</v>
      </c>
      <c r="K74" s="115" t="str">
        <f>+$K$6</f>
        <v>Energy Savings (kWh)</v>
      </c>
      <c r="L74" s="106"/>
      <c r="M74" s="115" t="str">
        <f>+$M$6</f>
        <v>Peak Demand Savings (kW)</v>
      </c>
      <c r="N74" s="115" t="str">
        <f>+$N$6</f>
        <v>Energy Savings (kWh)</v>
      </c>
      <c r="P74" s="116" t="str">
        <f>+$P$6</f>
        <v>Peak Demand Savings (kW)</v>
      </c>
      <c r="Q74" s="116" t="str">
        <f>+$Q$6</f>
        <v>Energy Savings (kWh)</v>
      </c>
    </row>
    <row r="75" spans="1:68" ht="15" thickBot="1">
      <c r="B75" s="117"/>
      <c r="C75" s="117"/>
      <c r="D75" s="117"/>
      <c r="E75" s="117"/>
      <c r="F75" s="117"/>
      <c r="G75" s="117"/>
      <c r="H75" s="117"/>
      <c r="I75" s="117"/>
      <c r="J75" s="117"/>
      <c r="K75" s="117"/>
      <c r="L75" s="117"/>
      <c r="M75" s="117"/>
      <c r="N75" s="117"/>
    </row>
    <row r="76" spans="1:68" ht="15" thickBot="1">
      <c r="B76" s="118" t="s">
        <v>150</v>
      </c>
      <c r="C76" s="119"/>
      <c r="D76" s="120"/>
      <c r="E76" s="120"/>
      <c r="F76" s="120"/>
      <c r="G76" s="120"/>
      <c r="H76" s="120"/>
      <c r="I76" s="120"/>
      <c r="J76" s="120"/>
      <c r="K76" s="120"/>
      <c r="L76" s="120"/>
      <c r="M76" s="120"/>
      <c r="N76" s="120"/>
    </row>
    <row r="77" spans="1:68" s="106" customFormat="1">
      <c r="A77" s="104"/>
      <c r="B77" s="122" t="s">
        <v>151</v>
      </c>
      <c r="C77" s="122" t="s">
        <v>152</v>
      </c>
      <c r="D77" s="123"/>
      <c r="E77" s="123"/>
      <c r="F77" s="124"/>
      <c r="G77" s="123"/>
      <c r="H77" s="123"/>
      <c r="I77" s="124"/>
      <c r="J77" s="123"/>
      <c r="K77" s="123"/>
      <c r="L77" s="124"/>
      <c r="M77" s="141"/>
      <c r="N77" s="123">
        <f>+G586+Q588</f>
        <v>-63231</v>
      </c>
      <c r="O77" s="104"/>
      <c r="P77" s="105"/>
      <c r="Q77" s="105"/>
      <c r="R77" s="123"/>
    </row>
    <row r="78" spans="1:68" s="106" customFormat="1">
      <c r="A78" s="104"/>
      <c r="B78" s="122" t="s">
        <v>153</v>
      </c>
      <c r="C78" s="122" t="s">
        <v>152</v>
      </c>
      <c r="D78" s="125"/>
      <c r="E78" s="125"/>
      <c r="F78" s="124"/>
      <c r="G78" s="125"/>
      <c r="H78" s="123"/>
      <c r="I78" s="124"/>
      <c r="J78" s="123"/>
      <c r="K78" s="123"/>
      <c r="L78" s="124"/>
      <c r="M78" s="141"/>
      <c r="N78" s="123"/>
      <c r="O78" s="104"/>
      <c r="P78" s="105"/>
      <c r="Q78" s="105"/>
    </row>
    <row r="79" spans="1:68" s="106" customFormat="1">
      <c r="A79" s="104"/>
      <c r="B79" s="122" t="s">
        <v>154</v>
      </c>
      <c r="C79" s="122" t="s">
        <v>152</v>
      </c>
      <c r="D79" s="123">
        <v>-38.103999999999999</v>
      </c>
      <c r="E79" s="125">
        <v>-73921.619000000006</v>
      </c>
      <c r="F79" s="124"/>
      <c r="G79" s="125"/>
      <c r="H79" s="123">
        <f>+E79</f>
        <v>-73921.619000000006</v>
      </c>
      <c r="I79" s="124"/>
      <c r="J79" s="123"/>
      <c r="K79" s="123">
        <f>+H79</f>
        <v>-73921.619000000006</v>
      </c>
      <c r="L79" s="124"/>
      <c r="M79" s="141"/>
      <c r="N79" s="123">
        <f>+K79</f>
        <v>-73921.619000000006</v>
      </c>
      <c r="O79" s="104"/>
      <c r="P79" s="105"/>
      <c r="Q79" s="105"/>
    </row>
    <row r="80" spans="1:68" s="106" customFormat="1">
      <c r="A80" s="104"/>
      <c r="B80" s="122" t="s">
        <v>155</v>
      </c>
      <c r="C80" s="122" t="s">
        <v>152</v>
      </c>
      <c r="D80" s="123">
        <v>0.14099999999999999</v>
      </c>
      <c r="E80" s="125">
        <v>2408.703</v>
      </c>
      <c r="F80" s="124"/>
      <c r="G80" s="125"/>
      <c r="H80" s="123">
        <f>+E80</f>
        <v>2408.703</v>
      </c>
      <c r="I80" s="124"/>
      <c r="J80" s="123"/>
      <c r="K80" s="123">
        <f>+H80</f>
        <v>2408.703</v>
      </c>
      <c r="L80" s="124"/>
      <c r="M80" s="141"/>
      <c r="N80" s="123">
        <f>+K80</f>
        <v>2408.703</v>
      </c>
      <c r="O80" s="104"/>
      <c r="P80" s="105"/>
      <c r="Q80" s="105"/>
    </row>
    <row r="81" spans="1:19" s="106" customFormat="1">
      <c r="A81" s="104"/>
      <c r="B81" s="122" t="s">
        <v>156</v>
      </c>
      <c r="C81" s="122" t="s">
        <v>152</v>
      </c>
      <c r="D81" s="123">
        <v>0.94299999999999995</v>
      </c>
      <c r="E81" s="125">
        <v>19078.692999999999</v>
      </c>
      <c r="F81" s="124"/>
      <c r="G81" s="125"/>
      <c r="H81" s="123">
        <f>+E81</f>
        <v>19078.692999999999</v>
      </c>
      <c r="I81" s="124"/>
      <c r="J81" s="123"/>
      <c r="K81" s="123">
        <f>+H81</f>
        <v>19078.692999999999</v>
      </c>
      <c r="L81" s="124"/>
      <c r="M81" s="141"/>
      <c r="N81" s="123">
        <f>+K81</f>
        <v>19078.692999999999</v>
      </c>
      <c r="O81" s="104"/>
      <c r="P81" s="105"/>
      <c r="Q81" s="105"/>
    </row>
    <row r="82" spans="1:19" s="106" customFormat="1">
      <c r="A82" s="104"/>
      <c r="B82" s="122" t="s">
        <v>157</v>
      </c>
      <c r="C82" s="122" t="s">
        <v>152</v>
      </c>
      <c r="D82" s="123"/>
      <c r="E82" s="125"/>
      <c r="F82" s="124"/>
      <c r="G82" s="125"/>
      <c r="H82" s="123"/>
      <c r="I82" s="124"/>
      <c r="J82" s="123"/>
      <c r="K82" s="123"/>
      <c r="L82" s="124"/>
      <c r="M82" s="141"/>
      <c r="N82" s="123"/>
      <c r="O82" s="104"/>
      <c r="P82" s="105"/>
      <c r="Q82" s="105"/>
    </row>
    <row r="83" spans="1:19" s="106" customFormat="1">
      <c r="A83" s="104"/>
      <c r="B83" s="122" t="s">
        <v>158</v>
      </c>
      <c r="C83" s="122" t="s">
        <v>152</v>
      </c>
      <c r="D83" s="123"/>
      <c r="E83" s="125"/>
      <c r="F83" s="124"/>
      <c r="G83" s="125"/>
      <c r="H83" s="123"/>
      <c r="I83" s="124"/>
      <c r="J83" s="123"/>
      <c r="K83" s="123"/>
      <c r="L83" s="124"/>
      <c r="M83" s="123"/>
      <c r="N83" s="123"/>
      <c r="O83" s="104"/>
      <c r="P83" s="105"/>
      <c r="Q83" s="105"/>
    </row>
    <row r="84" spans="1:19" s="106" customFormat="1">
      <c r="A84" s="104"/>
      <c r="B84" s="122" t="s">
        <v>159</v>
      </c>
      <c r="C84" s="122" t="s">
        <v>152</v>
      </c>
      <c r="D84" s="123"/>
      <c r="E84" s="125"/>
      <c r="F84" s="124"/>
      <c r="G84" s="125"/>
      <c r="H84" s="123"/>
      <c r="I84" s="124"/>
      <c r="J84" s="123"/>
      <c r="K84" s="123"/>
      <c r="L84" s="124"/>
      <c r="M84" s="123"/>
      <c r="N84" s="123"/>
      <c r="O84" s="104"/>
      <c r="P84" s="105"/>
      <c r="Q84" s="105"/>
    </row>
    <row r="85" spans="1:19" s="106" customFormat="1">
      <c r="A85" s="104"/>
      <c r="B85" s="122" t="s">
        <v>160</v>
      </c>
      <c r="C85" s="127" t="s">
        <v>152</v>
      </c>
      <c r="D85" s="123"/>
      <c r="E85" s="125"/>
      <c r="F85" s="124"/>
      <c r="G85" s="125"/>
      <c r="H85" s="123"/>
      <c r="I85" s="124"/>
      <c r="J85" s="123"/>
      <c r="K85" s="123"/>
      <c r="L85" s="124"/>
      <c r="M85" s="123"/>
      <c r="N85" s="123"/>
      <c r="O85" s="104"/>
      <c r="P85" s="105"/>
      <c r="Q85" s="105"/>
    </row>
    <row r="86" spans="1:19" s="106" customFormat="1">
      <c r="A86" s="104"/>
      <c r="B86" s="128" t="s">
        <v>161</v>
      </c>
      <c r="C86" s="129"/>
      <c r="D86" s="130">
        <f>SUM(D77:D85)</f>
        <v>-37.020000000000003</v>
      </c>
      <c r="E86" s="131">
        <f>SUM(E77:E85)</f>
        <v>-52434.223000000013</v>
      </c>
      <c r="F86" s="132"/>
      <c r="G86" s="131">
        <f>SUM(G77:G85)</f>
        <v>0</v>
      </c>
      <c r="H86" s="131">
        <f>SUM(H77:H85)</f>
        <v>-52434.223000000013</v>
      </c>
      <c r="I86" s="132"/>
      <c r="J86" s="131">
        <f>SUM(J77:J85)</f>
        <v>0</v>
      </c>
      <c r="K86" s="131">
        <f>SUM(K77:K85)</f>
        <v>-52434.223000000013</v>
      </c>
      <c r="L86" s="132"/>
      <c r="M86" s="131">
        <f>SUM(M77:M85)</f>
        <v>0</v>
      </c>
      <c r="N86" s="131">
        <f>SUM(N77:N85)</f>
        <v>-115665.223</v>
      </c>
      <c r="O86" s="104"/>
      <c r="P86" s="134">
        <f>+D86+G86+J86+M86</f>
        <v>-37.020000000000003</v>
      </c>
      <c r="Q86" s="134">
        <f>+E86+H86+K86+N86</f>
        <v>-272967.89200000005</v>
      </c>
    </row>
    <row r="87" spans="1:19" s="106" customFormat="1" ht="15" thickBot="1">
      <c r="A87" s="104"/>
      <c r="B87" s="104"/>
      <c r="C87" s="117"/>
      <c r="D87" s="117"/>
      <c r="E87" s="117"/>
      <c r="F87" s="117"/>
      <c r="G87" s="117"/>
      <c r="H87" s="117"/>
      <c r="I87" s="117"/>
      <c r="J87" s="117"/>
      <c r="K87" s="117"/>
      <c r="L87" s="117"/>
      <c r="M87" s="117"/>
      <c r="N87" s="117"/>
      <c r="O87" s="104"/>
      <c r="P87" s="105"/>
      <c r="Q87" s="105"/>
    </row>
    <row r="88" spans="1:19" s="106" customFormat="1" ht="15" thickBot="1">
      <c r="A88" s="104"/>
      <c r="B88" s="118" t="s">
        <v>162</v>
      </c>
      <c r="C88" s="119"/>
      <c r="D88" s="120"/>
      <c r="E88" s="120"/>
      <c r="F88" s="120"/>
      <c r="G88" s="120"/>
      <c r="H88" s="120"/>
      <c r="I88" s="120"/>
      <c r="J88" s="120"/>
      <c r="K88" s="120"/>
      <c r="L88" s="120"/>
      <c r="M88" s="120"/>
      <c r="N88" s="120"/>
      <c r="O88" s="104"/>
      <c r="P88" s="105"/>
      <c r="Q88" s="105"/>
    </row>
    <row r="89" spans="1:19" s="106" customFormat="1" ht="15" thickBot="1">
      <c r="A89" s="104"/>
      <c r="B89" s="122" t="s">
        <v>163</v>
      </c>
      <c r="C89" s="122" t="s">
        <v>164</v>
      </c>
      <c r="D89" s="123">
        <f>+[16]Summary!$Z$8</f>
        <v>0.88852069082169294</v>
      </c>
      <c r="E89" s="142">
        <f>+[16]Summary!$AA$8</f>
        <v>6310.337672847847</v>
      </c>
      <c r="F89" s="104"/>
      <c r="G89" s="125"/>
      <c r="H89" s="123">
        <f t="shared" ref="H89:H96" si="0">+E89</f>
        <v>6310.337672847847</v>
      </c>
      <c r="I89" s="124"/>
      <c r="J89" s="143"/>
      <c r="K89" s="123">
        <f t="shared" ref="K89:K96" si="1">+H89</f>
        <v>6310.337672847847</v>
      </c>
      <c r="L89" s="124"/>
      <c r="M89" s="123">
        <v>-21</v>
      </c>
      <c r="N89" s="123">
        <f t="shared" ref="N89:N96" si="2">+K89</f>
        <v>6310.337672847847</v>
      </c>
      <c r="O89" s="104"/>
      <c r="P89" s="144"/>
      <c r="Q89" s="105"/>
      <c r="S89" s="123"/>
    </row>
    <row r="90" spans="1:19" s="106" customFormat="1" ht="15.75" thickTop="1" thickBot="1">
      <c r="A90" s="104"/>
      <c r="B90" s="122" t="s">
        <v>163</v>
      </c>
      <c r="C90" s="122" t="s">
        <v>165</v>
      </c>
      <c r="D90" s="123">
        <f>+[16]Summary!$Z$7</f>
        <v>2.2216790652473719</v>
      </c>
      <c r="E90" s="142">
        <f>+[16]Summary!$AA$7</f>
        <v>12958.812240663567</v>
      </c>
      <c r="F90" s="104"/>
      <c r="G90" s="125"/>
      <c r="H90" s="123">
        <f t="shared" si="0"/>
        <v>12958.812240663567</v>
      </c>
      <c r="I90" s="124"/>
      <c r="J90" s="143"/>
      <c r="K90" s="123">
        <f t="shared" si="1"/>
        <v>12958.812240663567</v>
      </c>
      <c r="L90" s="124"/>
      <c r="M90" s="143"/>
      <c r="N90" s="123">
        <f t="shared" si="2"/>
        <v>12958.812240663567</v>
      </c>
      <c r="O90" s="104"/>
      <c r="P90" s="105"/>
      <c r="Q90" s="105"/>
    </row>
    <row r="91" spans="1:19" s="106" customFormat="1" ht="15.75" thickTop="1" thickBot="1">
      <c r="A91" s="104"/>
      <c r="B91" s="122" t="s">
        <v>163</v>
      </c>
      <c r="C91" s="122" t="s">
        <v>111</v>
      </c>
      <c r="D91" s="145">
        <f>+[16]Summary!$Z$6</f>
        <v>0.28980024393095682</v>
      </c>
      <c r="E91" s="142">
        <f>+[16]Summary!$AA$6</f>
        <v>2067.85008648863</v>
      </c>
      <c r="F91" s="104"/>
      <c r="G91" s="125"/>
      <c r="H91" s="123">
        <f t="shared" si="0"/>
        <v>2067.85008648863</v>
      </c>
      <c r="I91" s="124"/>
      <c r="J91" s="143"/>
      <c r="K91" s="123">
        <f t="shared" si="1"/>
        <v>2067.85008648863</v>
      </c>
      <c r="L91" s="124"/>
      <c r="M91" s="143"/>
      <c r="N91" s="123">
        <f t="shared" si="2"/>
        <v>2067.85008648863</v>
      </c>
      <c r="O91" s="104"/>
      <c r="P91" s="105"/>
      <c r="Q91" s="105"/>
    </row>
    <row r="92" spans="1:19" s="106" customFormat="1" ht="15" thickTop="1">
      <c r="A92" s="104"/>
      <c r="B92" s="122" t="s">
        <v>163</v>
      </c>
      <c r="C92" s="122" t="s">
        <v>166</v>
      </c>
      <c r="D92" s="123"/>
      <c r="E92" s="123"/>
      <c r="F92" s="104"/>
      <c r="G92" s="125"/>
      <c r="H92" s="123"/>
      <c r="I92" s="124"/>
      <c r="J92" s="123"/>
      <c r="K92" s="123"/>
      <c r="L92" s="124"/>
      <c r="M92" s="143"/>
      <c r="N92" s="123"/>
      <c r="O92" s="104"/>
      <c r="P92" s="105"/>
      <c r="Q92" s="105"/>
    </row>
    <row r="93" spans="1:19" s="106" customFormat="1">
      <c r="A93" s="104"/>
      <c r="B93" s="122" t="s">
        <v>167</v>
      </c>
      <c r="C93" s="122" t="s">
        <v>164</v>
      </c>
      <c r="D93" s="123"/>
      <c r="E93" s="123"/>
      <c r="F93" s="104"/>
      <c r="G93" s="125"/>
      <c r="H93" s="123"/>
      <c r="I93" s="124"/>
      <c r="J93" s="123"/>
      <c r="K93" s="123"/>
      <c r="L93" s="124"/>
      <c r="M93" s="123">
        <v>-51.4</v>
      </c>
      <c r="N93" s="123">
        <f>+G587</f>
        <v>-63231</v>
      </c>
      <c r="O93" s="104"/>
      <c r="P93" s="144"/>
      <c r="Q93" s="105"/>
      <c r="R93" s="123"/>
      <c r="S93" s="123"/>
    </row>
    <row r="94" spans="1:19" s="106" customFormat="1">
      <c r="A94" s="104"/>
      <c r="B94" s="122" t="s">
        <v>168</v>
      </c>
      <c r="C94" s="122"/>
      <c r="D94" s="123"/>
      <c r="E94" s="123"/>
      <c r="F94" s="104"/>
      <c r="G94" s="125"/>
      <c r="H94" s="123"/>
      <c r="I94" s="124"/>
      <c r="J94" s="123"/>
      <c r="K94" s="123"/>
      <c r="L94" s="124"/>
      <c r="M94" s="123"/>
      <c r="N94" s="123"/>
      <c r="O94" s="104"/>
      <c r="P94" s="105"/>
      <c r="Q94" s="105"/>
    </row>
    <row r="95" spans="1:19" s="106" customFormat="1">
      <c r="A95" s="104"/>
      <c r="B95" s="122" t="s">
        <v>169</v>
      </c>
      <c r="C95" s="122" t="s">
        <v>165</v>
      </c>
      <c r="D95" s="123"/>
      <c r="E95" s="123"/>
      <c r="F95" s="104"/>
      <c r="G95" s="125"/>
      <c r="H95" s="123"/>
      <c r="I95" s="124"/>
      <c r="J95" s="123"/>
      <c r="K95" s="123"/>
      <c r="L95" s="124"/>
      <c r="M95" s="123"/>
      <c r="N95" s="123"/>
      <c r="O95" s="104"/>
      <c r="P95" s="105"/>
      <c r="Q95" s="105"/>
    </row>
    <row r="96" spans="1:19" s="106" customFormat="1">
      <c r="A96" s="104"/>
      <c r="B96" s="122" t="s">
        <v>170</v>
      </c>
      <c r="C96" s="122" t="s">
        <v>165</v>
      </c>
      <c r="D96" s="123">
        <v>16.271999999999998</v>
      </c>
      <c r="E96" s="123">
        <v>79194.884999999995</v>
      </c>
      <c r="F96" s="104"/>
      <c r="G96" s="125"/>
      <c r="H96" s="123">
        <f t="shared" si="0"/>
        <v>79194.884999999995</v>
      </c>
      <c r="I96" s="124"/>
      <c r="J96" s="123"/>
      <c r="K96" s="123">
        <f t="shared" si="1"/>
        <v>79194.884999999995</v>
      </c>
      <c r="L96" s="124"/>
      <c r="M96" s="123"/>
      <c r="N96" s="123">
        <f t="shared" si="2"/>
        <v>79194.884999999995</v>
      </c>
      <c r="O96" s="104"/>
      <c r="P96" s="105"/>
      <c r="Q96" s="105"/>
    </row>
    <row r="97" spans="1:17" s="106" customFormat="1">
      <c r="A97" s="104"/>
      <c r="B97" s="122" t="s">
        <v>171</v>
      </c>
      <c r="C97" s="122" t="s">
        <v>165</v>
      </c>
      <c r="D97" s="123"/>
      <c r="E97" s="123"/>
      <c r="F97" s="104"/>
      <c r="G97" s="125"/>
      <c r="H97" s="123"/>
      <c r="I97" s="124"/>
      <c r="J97" s="123"/>
      <c r="K97" s="123"/>
      <c r="L97" s="124"/>
      <c r="M97" s="123"/>
      <c r="N97" s="123"/>
      <c r="O97" s="104"/>
      <c r="P97" s="105"/>
      <c r="Q97" s="105"/>
    </row>
    <row r="98" spans="1:17" s="106" customFormat="1">
      <c r="A98" s="104"/>
      <c r="B98" s="122" t="s">
        <v>172</v>
      </c>
      <c r="C98" s="122"/>
      <c r="D98" s="123"/>
      <c r="E98" s="123"/>
      <c r="F98" s="104"/>
      <c r="G98" s="125"/>
      <c r="H98" s="123"/>
      <c r="I98" s="124"/>
      <c r="J98" s="123"/>
      <c r="K98" s="123"/>
      <c r="L98" s="124"/>
      <c r="M98" s="123"/>
      <c r="N98" s="123"/>
      <c r="O98" s="104"/>
      <c r="P98" s="105"/>
      <c r="Q98" s="105"/>
    </row>
    <row r="99" spans="1:17" s="106" customFormat="1">
      <c r="A99" s="104"/>
      <c r="B99" s="122" t="s">
        <v>105</v>
      </c>
      <c r="C99" s="127"/>
      <c r="D99" s="123"/>
      <c r="E99" s="123"/>
      <c r="F99" s="104"/>
      <c r="G99" s="125"/>
      <c r="H99" s="123"/>
      <c r="I99" s="124"/>
      <c r="J99" s="123"/>
      <c r="K99" s="123"/>
      <c r="L99" s="124"/>
      <c r="M99" s="123"/>
      <c r="N99" s="123"/>
      <c r="O99" s="104"/>
      <c r="P99" s="105"/>
      <c r="Q99" s="105"/>
    </row>
    <row r="100" spans="1:17" s="106" customFormat="1">
      <c r="A100" s="104"/>
      <c r="B100" s="128" t="s">
        <v>173</v>
      </c>
      <c r="C100" s="129"/>
      <c r="D100" s="130">
        <f>SUM(D89:D99)</f>
        <v>19.672000000000018</v>
      </c>
      <c r="E100" s="131">
        <f>SUM(E89:E99)</f>
        <v>100531.88500000004</v>
      </c>
      <c r="F100" s="132"/>
      <c r="G100" s="130">
        <f>SUM(G89:G99)</f>
        <v>0</v>
      </c>
      <c r="H100" s="131">
        <f>SUM(H89:H99)</f>
        <v>100531.88500000004</v>
      </c>
      <c r="I100" s="132"/>
      <c r="J100" s="130">
        <f>SUM(J89:J99)</f>
        <v>0</v>
      </c>
      <c r="K100" s="131">
        <f>SUM(K89:K99)</f>
        <v>100531.88500000004</v>
      </c>
      <c r="L100" s="132"/>
      <c r="M100" s="130">
        <f>SUM(M89:M99)</f>
        <v>-72.400000000000006</v>
      </c>
      <c r="N100" s="131">
        <f>SUM(N89:N99)</f>
        <v>37300.885000000038</v>
      </c>
      <c r="O100" s="104"/>
      <c r="P100" s="134">
        <f>+D100+G100+J100+M100</f>
        <v>-52.727999999999987</v>
      </c>
      <c r="Q100" s="134">
        <f>+E100+H100+K100+N100</f>
        <v>338896.54000000015</v>
      </c>
    </row>
    <row r="101" spans="1:17" s="106" customFormat="1" ht="15" thickBot="1">
      <c r="A101" s="104"/>
      <c r="B101" s="104"/>
      <c r="C101" s="117"/>
      <c r="D101" s="117"/>
      <c r="E101" s="117"/>
      <c r="F101" s="117"/>
      <c r="G101" s="117"/>
      <c r="H101" s="117"/>
      <c r="I101" s="117"/>
      <c r="J101" s="117"/>
      <c r="K101" s="117"/>
      <c r="L101" s="117"/>
      <c r="M101" s="117"/>
      <c r="N101" s="117"/>
      <c r="O101" s="104"/>
      <c r="P101" s="105"/>
      <c r="Q101" s="105"/>
    </row>
    <row r="102" spans="1:17" s="106" customFormat="1" ht="15" thickBot="1">
      <c r="A102" s="104"/>
      <c r="B102" s="118" t="s">
        <v>174</v>
      </c>
      <c r="C102" s="119"/>
      <c r="D102" s="120"/>
      <c r="E102" s="120"/>
      <c r="F102" s="120"/>
      <c r="G102" s="120"/>
      <c r="H102" s="120"/>
      <c r="I102" s="120"/>
      <c r="J102" s="120"/>
      <c r="K102" s="120"/>
      <c r="L102" s="120"/>
      <c r="M102" s="120"/>
      <c r="N102" s="120"/>
      <c r="O102" s="104"/>
      <c r="P102" s="105"/>
      <c r="Q102" s="105"/>
    </row>
    <row r="103" spans="1:17" s="106" customFormat="1">
      <c r="A103" s="104"/>
      <c r="B103" s="122" t="s">
        <v>175</v>
      </c>
      <c r="C103" s="122"/>
      <c r="D103" s="123"/>
      <c r="E103" s="123"/>
      <c r="F103" s="104"/>
      <c r="G103" s="125"/>
      <c r="H103" s="123"/>
      <c r="I103" s="124"/>
      <c r="J103" s="123"/>
      <c r="K103" s="123"/>
      <c r="L103" s="124"/>
      <c r="M103" s="123"/>
      <c r="N103" s="123"/>
      <c r="O103" s="104"/>
      <c r="P103" s="105"/>
      <c r="Q103" s="105"/>
    </row>
    <row r="104" spans="1:17" s="106" customFormat="1">
      <c r="A104" s="104"/>
      <c r="B104" s="122" t="s">
        <v>176</v>
      </c>
      <c r="C104" s="122"/>
      <c r="D104" s="123"/>
      <c r="E104" s="123"/>
      <c r="F104" s="104"/>
      <c r="G104" s="125"/>
      <c r="H104" s="123"/>
      <c r="I104" s="124"/>
      <c r="J104" s="123"/>
      <c r="K104" s="123"/>
      <c r="L104" s="124"/>
      <c r="M104" s="123"/>
      <c r="N104" s="123"/>
      <c r="O104" s="104"/>
      <c r="P104" s="105"/>
      <c r="Q104" s="105"/>
    </row>
    <row r="105" spans="1:17" s="106" customFormat="1">
      <c r="A105" s="104"/>
      <c r="B105" s="122" t="s">
        <v>177</v>
      </c>
      <c r="C105" s="122" t="s">
        <v>111</v>
      </c>
      <c r="D105" s="123"/>
      <c r="E105" s="123"/>
      <c r="F105" s="104"/>
      <c r="G105" s="125"/>
      <c r="H105" s="123"/>
      <c r="I105" s="124"/>
      <c r="J105" s="123"/>
      <c r="K105" s="123"/>
      <c r="L105" s="124"/>
      <c r="M105" s="123"/>
      <c r="N105" s="123"/>
      <c r="O105" s="104"/>
      <c r="P105" s="105"/>
      <c r="Q105" s="105"/>
    </row>
    <row r="106" spans="1:17" s="106" customFormat="1">
      <c r="A106" s="104"/>
      <c r="B106" s="122" t="s">
        <v>163</v>
      </c>
      <c r="C106" s="122" t="s">
        <v>111</v>
      </c>
      <c r="D106" s="123"/>
      <c r="E106" s="123"/>
      <c r="F106" s="104"/>
      <c r="G106" s="125"/>
      <c r="H106" s="123"/>
      <c r="I106" s="124"/>
      <c r="J106" s="123"/>
      <c r="K106" s="123"/>
      <c r="L106" s="124"/>
      <c r="M106" s="123"/>
      <c r="N106" s="123"/>
      <c r="O106" s="104"/>
      <c r="P106" s="105"/>
      <c r="Q106" s="105"/>
    </row>
    <row r="107" spans="1:17" s="106" customFormat="1">
      <c r="A107" s="104"/>
      <c r="B107" s="122" t="s">
        <v>105</v>
      </c>
      <c r="C107" s="122" t="s">
        <v>111</v>
      </c>
      <c r="D107" s="123"/>
      <c r="E107" s="123"/>
      <c r="F107" s="104"/>
      <c r="G107" s="125"/>
      <c r="H107" s="123"/>
      <c r="I107" s="124"/>
      <c r="J107" s="123"/>
      <c r="K107" s="123"/>
      <c r="L107" s="124"/>
      <c r="M107" s="123"/>
      <c r="N107" s="123"/>
      <c r="O107" s="104"/>
      <c r="P107" s="105"/>
      <c r="Q107" s="105"/>
    </row>
    <row r="108" spans="1:17" s="106" customFormat="1">
      <c r="A108" s="104"/>
      <c r="B108" s="128" t="s">
        <v>178</v>
      </c>
      <c r="C108" s="129"/>
      <c r="D108" s="130">
        <f>SUM(D103:D107)</f>
        <v>0</v>
      </c>
      <c r="E108" s="130">
        <f>SUM(E103:E107)</f>
        <v>0</v>
      </c>
      <c r="F108" s="132"/>
      <c r="G108" s="130">
        <f>SUM(G103:G107)</f>
        <v>0</v>
      </c>
      <c r="H108" s="130">
        <f>SUM(H103:H107)</f>
        <v>0</v>
      </c>
      <c r="I108" s="132"/>
      <c r="J108" s="130">
        <f>SUM(J103:J107)</f>
        <v>0</v>
      </c>
      <c r="K108" s="130">
        <f>SUM(K103:K107)</f>
        <v>0</v>
      </c>
      <c r="L108" s="132"/>
      <c r="M108" s="130">
        <f>SUM(M103:M107)</f>
        <v>0</v>
      </c>
      <c r="N108" s="130">
        <f>SUM(N103:N107)</f>
        <v>0</v>
      </c>
      <c r="O108" s="104"/>
      <c r="P108" s="134">
        <f>+D108+G108+J108+M108</f>
        <v>0</v>
      </c>
      <c r="Q108" s="134">
        <f>+E108+H108+K108+N108</f>
        <v>0</v>
      </c>
    </row>
    <row r="109" spans="1:17" s="106" customFormat="1" ht="15" thickBot="1">
      <c r="A109" s="104"/>
      <c r="B109" s="104"/>
      <c r="C109" s="117"/>
      <c r="D109" s="117"/>
      <c r="E109" s="117"/>
      <c r="F109" s="117"/>
      <c r="G109" s="117"/>
      <c r="H109" s="117"/>
      <c r="I109" s="117"/>
      <c r="J109" s="117"/>
      <c r="K109" s="117"/>
      <c r="L109" s="117"/>
      <c r="M109" s="117"/>
      <c r="N109" s="117"/>
      <c r="O109" s="104"/>
      <c r="P109" s="105"/>
      <c r="Q109" s="105"/>
    </row>
    <row r="110" spans="1:17" s="106" customFormat="1" ht="15" thickBot="1">
      <c r="A110" s="104"/>
      <c r="B110" s="118" t="s">
        <v>179</v>
      </c>
      <c r="C110" s="119"/>
      <c r="D110" s="120"/>
      <c r="E110" s="120"/>
      <c r="F110" s="120"/>
      <c r="G110" s="120"/>
      <c r="H110" s="120"/>
      <c r="I110" s="120"/>
      <c r="J110" s="120"/>
      <c r="K110" s="120"/>
      <c r="L110" s="120"/>
      <c r="M110" s="120"/>
      <c r="N110" s="120"/>
      <c r="O110" s="104"/>
      <c r="P110" s="105"/>
      <c r="Q110" s="105"/>
    </row>
    <row r="111" spans="1:17" s="106" customFormat="1">
      <c r="A111" s="104"/>
      <c r="B111" s="122" t="s">
        <v>179</v>
      </c>
      <c r="C111" s="122" t="s">
        <v>152</v>
      </c>
      <c r="D111" s="123"/>
      <c r="E111" s="123"/>
      <c r="F111" s="104"/>
      <c r="G111" s="125"/>
      <c r="H111" s="123"/>
      <c r="I111" s="124"/>
      <c r="J111" s="123"/>
      <c r="K111" s="123"/>
      <c r="L111" s="124"/>
      <c r="M111" s="123"/>
      <c r="N111" s="123"/>
      <c r="O111" s="104"/>
      <c r="P111" s="105"/>
      <c r="Q111" s="105"/>
    </row>
    <row r="112" spans="1:17" s="106" customFormat="1">
      <c r="A112" s="104"/>
      <c r="B112" s="128" t="s">
        <v>180</v>
      </c>
      <c r="C112" s="129"/>
      <c r="D112" s="130">
        <f>SUM(D111)</f>
        <v>0</v>
      </c>
      <c r="E112" s="130">
        <f>SUM(E111)</f>
        <v>0</v>
      </c>
      <c r="F112" s="132"/>
      <c r="G112" s="130">
        <f>SUM(G111)</f>
        <v>0</v>
      </c>
      <c r="H112" s="130">
        <f>SUM(H111)</f>
        <v>0</v>
      </c>
      <c r="I112" s="132"/>
      <c r="J112" s="130">
        <f>SUM(J111)</f>
        <v>0</v>
      </c>
      <c r="K112" s="130">
        <f>SUM(K111)</f>
        <v>0</v>
      </c>
      <c r="L112" s="132"/>
      <c r="M112" s="130">
        <f>SUM(M111)</f>
        <v>0</v>
      </c>
      <c r="N112" s="130">
        <f>SUM(N111)</f>
        <v>0</v>
      </c>
      <c r="O112" s="104"/>
      <c r="P112" s="134">
        <f>+D112+G112+J112+M112</f>
        <v>0</v>
      </c>
      <c r="Q112" s="134">
        <f>+E112+H112+K112+N112</f>
        <v>0</v>
      </c>
    </row>
    <row r="113" spans="1:17" s="106" customFormat="1" ht="15" thickBot="1">
      <c r="A113" s="104"/>
      <c r="B113" s="104"/>
      <c r="C113" s="117"/>
      <c r="D113" s="117"/>
      <c r="E113" s="117"/>
      <c r="F113" s="117"/>
      <c r="G113" s="117"/>
      <c r="H113" s="117"/>
      <c r="I113" s="117"/>
      <c r="J113" s="117"/>
      <c r="K113" s="117"/>
      <c r="L113" s="117"/>
      <c r="M113" s="117"/>
      <c r="N113" s="117"/>
      <c r="O113" s="104"/>
      <c r="P113" s="105"/>
      <c r="Q113" s="105"/>
    </row>
    <row r="114" spans="1:17" s="106" customFormat="1" ht="15" thickBot="1">
      <c r="A114" s="104"/>
      <c r="B114" s="118" t="s">
        <v>181</v>
      </c>
      <c r="C114" s="119"/>
      <c r="D114" s="120"/>
      <c r="E114" s="120"/>
      <c r="F114" s="120"/>
      <c r="G114" s="120"/>
      <c r="H114" s="120"/>
      <c r="I114" s="120"/>
      <c r="J114" s="120"/>
      <c r="K114" s="120"/>
      <c r="L114" s="120"/>
      <c r="M114" s="120"/>
      <c r="N114" s="120"/>
      <c r="O114" s="104"/>
      <c r="P114" s="105"/>
      <c r="Q114" s="105"/>
    </row>
    <row r="115" spans="1:17" s="106" customFormat="1">
      <c r="A115" s="104"/>
      <c r="B115" s="122" t="s">
        <v>179</v>
      </c>
      <c r="C115" s="122"/>
      <c r="D115" s="123"/>
      <c r="E115" s="123"/>
      <c r="F115" s="104"/>
      <c r="G115" s="125"/>
      <c r="H115" s="123"/>
      <c r="I115" s="124"/>
      <c r="J115" s="123"/>
      <c r="K115" s="123"/>
      <c r="L115" s="124"/>
      <c r="M115" s="123"/>
      <c r="N115" s="123"/>
      <c r="O115" s="104"/>
      <c r="P115" s="105"/>
      <c r="Q115" s="105"/>
    </row>
    <row r="116" spans="1:17" s="106" customFormat="1">
      <c r="A116" s="104"/>
      <c r="B116" s="122" t="s">
        <v>167</v>
      </c>
      <c r="C116" s="122"/>
      <c r="D116" s="123"/>
      <c r="E116" s="123"/>
      <c r="F116" s="104"/>
      <c r="G116" s="125"/>
      <c r="H116" s="123"/>
      <c r="I116" s="124"/>
      <c r="J116" s="123"/>
      <c r="K116" s="123"/>
      <c r="L116" s="124"/>
      <c r="M116" s="123"/>
      <c r="N116" s="123"/>
      <c r="O116" s="104"/>
      <c r="P116" s="105"/>
      <c r="Q116" s="105"/>
    </row>
    <row r="117" spans="1:17" s="106" customFormat="1">
      <c r="A117" s="104"/>
      <c r="B117" s="128" t="s">
        <v>182</v>
      </c>
      <c r="C117" s="129"/>
      <c r="D117" s="130">
        <f>SUM(D115:D116)</f>
        <v>0</v>
      </c>
      <c r="E117" s="130">
        <f>SUM(E115:E116)</f>
        <v>0</v>
      </c>
      <c r="F117" s="132"/>
      <c r="G117" s="130">
        <f>SUM(G115:G116)</f>
        <v>0</v>
      </c>
      <c r="H117" s="130">
        <f>SUM(H115:H116)</f>
        <v>0</v>
      </c>
      <c r="I117" s="132"/>
      <c r="J117" s="130">
        <f>SUM(J115:J116)</f>
        <v>0</v>
      </c>
      <c r="K117" s="130">
        <f>SUM(K115:K116)</f>
        <v>0</v>
      </c>
      <c r="L117" s="132"/>
      <c r="M117" s="130">
        <f>SUM(M115:M116)</f>
        <v>0</v>
      </c>
      <c r="N117" s="130">
        <f>SUM(N115:N116)</f>
        <v>0</v>
      </c>
      <c r="O117" s="104"/>
      <c r="P117" s="134">
        <f>+D117+G117+J117+M117</f>
        <v>0</v>
      </c>
      <c r="Q117" s="134">
        <f>+E117+H117+K117+N117</f>
        <v>0</v>
      </c>
    </row>
    <row r="118" spans="1:17" s="106" customFormat="1" ht="15" thickBot="1">
      <c r="A118" s="104"/>
      <c r="B118" s="104"/>
      <c r="C118" s="117"/>
      <c r="D118" s="117"/>
      <c r="E118" s="117"/>
      <c r="F118" s="117"/>
      <c r="G118" s="117"/>
      <c r="H118" s="117"/>
      <c r="I118" s="117"/>
      <c r="J118" s="117"/>
      <c r="K118" s="117"/>
      <c r="L118" s="117"/>
      <c r="M118" s="117"/>
      <c r="N118" s="117"/>
      <c r="O118" s="104"/>
      <c r="P118" s="105"/>
      <c r="Q118" s="105"/>
    </row>
    <row r="119" spans="1:17" s="106" customFormat="1" ht="15" thickBot="1">
      <c r="A119" s="104"/>
      <c r="B119" s="118" t="s">
        <v>183</v>
      </c>
      <c r="C119" s="119"/>
      <c r="D119" s="120"/>
      <c r="E119" s="120"/>
      <c r="F119" s="120"/>
      <c r="G119" s="120"/>
      <c r="H119" s="120"/>
      <c r="I119" s="120"/>
      <c r="J119" s="120"/>
      <c r="K119" s="120"/>
      <c r="L119" s="120"/>
      <c r="M119" s="120"/>
      <c r="N119" s="120"/>
      <c r="O119" s="104"/>
      <c r="P119" s="105"/>
      <c r="Q119" s="105"/>
    </row>
    <row r="120" spans="1:17" s="106" customFormat="1">
      <c r="A120" s="104"/>
      <c r="B120" s="122" t="s">
        <v>184</v>
      </c>
      <c r="C120" s="122" t="s">
        <v>165</v>
      </c>
      <c r="D120" s="123"/>
      <c r="E120" s="123"/>
      <c r="F120" s="104"/>
      <c r="G120" s="125"/>
      <c r="H120" s="123"/>
      <c r="I120" s="124"/>
      <c r="J120" s="123"/>
      <c r="K120" s="123"/>
      <c r="L120" s="124"/>
      <c r="M120" s="123"/>
      <c r="N120" s="123"/>
      <c r="O120" s="104"/>
      <c r="P120" s="105"/>
      <c r="Q120" s="105"/>
    </row>
    <row r="121" spans="1:17" s="106" customFormat="1">
      <c r="A121" s="104"/>
      <c r="B121" s="122" t="s">
        <v>103</v>
      </c>
      <c r="C121" s="122" t="s">
        <v>165</v>
      </c>
      <c r="D121" s="123"/>
      <c r="E121" s="123"/>
      <c r="F121" s="104"/>
      <c r="G121" s="125"/>
      <c r="H121" s="123"/>
      <c r="I121" s="124"/>
      <c r="J121" s="123"/>
      <c r="K121" s="123"/>
      <c r="L121" s="124"/>
      <c r="M121" s="123"/>
      <c r="N121" s="123"/>
      <c r="O121" s="104"/>
      <c r="P121" s="105"/>
      <c r="Q121" s="105"/>
    </row>
    <row r="122" spans="1:17" s="106" customFormat="1">
      <c r="A122" s="104"/>
      <c r="B122" s="122" t="s">
        <v>185</v>
      </c>
      <c r="C122" s="122"/>
      <c r="D122" s="123"/>
      <c r="E122" s="123"/>
      <c r="F122" s="104"/>
      <c r="G122" s="125"/>
      <c r="H122" s="123"/>
      <c r="I122" s="124"/>
      <c r="J122" s="123"/>
      <c r="K122" s="123"/>
      <c r="L122" s="124"/>
      <c r="M122" s="123"/>
      <c r="N122" s="123"/>
      <c r="O122" s="104"/>
      <c r="P122" s="105"/>
      <c r="Q122" s="105"/>
    </row>
    <row r="123" spans="1:17" s="106" customFormat="1">
      <c r="A123" s="104"/>
      <c r="B123" s="122" t="s">
        <v>186</v>
      </c>
      <c r="C123" s="122"/>
      <c r="D123" s="123"/>
      <c r="E123" s="123"/>
      <c r="F123" s="104"/>
      <c r="G123" s="125"/>
      <c r="H123" s="123"/>
      <c r="I123" s="124"/>
      <c r="J123" s="123"/>
      <c r="K123" s="123"/>
      <c r="L123" s="124"/>
      <c r="M123" s="123"/>
      <c r="N123" s="123"/>
      <c r="O123" s="104"/>
      <c r="P123" s="105"/>
      <c r="Q123" s="105"/>
    </row>
    <row r="124" spans="1:17" s="106" customFormat="1">
      <c r="A124" s="104"/>
      <c r="B124" s="122" t="s">
        <v>187</v>
      </c>
      <c r="C124" s="122"/>
      <c r="D124" s="123"/>
      <c r="E124" s="123"/>
      <c r="F124" s="104"/>
      <c r="G124" s="125"/>
      <c r="H124" s="123"/>
      <c r="I124" s="124"/>
      <c r="J124" s="123"/>
      <c r="K124" s="123"/>
      <c r="L124" s="124"/>
      <c r="M124" s="123"/>
      <c r="N124" s="123"/>
      <c r="O124" s="104"/>
      <c r="P124" s="105"/>
      <c r="Q124" s="105"/>
    </row>
    <row r="125" spans="1:17" s="106" customFormat="1">
      <c r="A125" s="104"/>
      <c r="B125" s="128" t="s">
        <v>188</v>
      </c>
      <c r="C125" s="129"/>
      <c r="D125" s="130">
        <f>SUM(D120:D124)</f>
        <v>0</v>
      </c>
      <c r="E125" s="130">
        <f>SUM(E120:E124)</f>
        <v>0</v>
      </c>
      <c r="F125" s="132"/>
      <c r="G125" s="130">
        <f>SUM(G120:G124)</f>
        <v>0</v>
      </c>
      <c r="H125" s="130">
        <f>SUM(H120:H124)</f>
        <v>0</v>
      </c>
      <c r="I125" s="132"/>
      <c r="J125" s="130">
        <f>SUM(J120:J124)</f>
        <v>0</v>
      </c>
      <c r="K125" s="130">
        <f>SUM(K120:K124)</f>
        <v>0</v>
      </c>
      <c r="L125" s="132"/>
      <c r="M125" s="130">
        <f>SUM(M120:M124)</f>
        <v>0</v>
      </c>
      <c r="N125" s="130">
        <f>SUM(N120:N124)</f>
        <v>0</v>
      </c>
      <c r="O125" s="104"/>
      <c r="P125" s="134">
        <f>+D125+G125+J125+M125</f>
        <v>0</v>
      </c>
      <c r="Q125" s="134">
        <f>+E125+H125+K125+N125</f>
        <v>0</v>
      </c>
    </row>
    <row r="126" spans="1:17" s="106" customFormat="1" ht="15" thickBot="1">
      <c r="A126" s="104"/>
      <c r="B126" s="104"/>
      <c r="C126" s="117"/>
      <c r="D126" s="117"/>
      <c r="E126" s="117"/>
      <c r="F126" s="117"/>
      <c r="G126" s="117"/>
      <c r="H126" s="117"/>
      <c r="I126" s="117"/>
      <c r="J126" s="117"/>
      <c r="K126" s="117"/>
      <c r="L126" s="117"/>
      <c r="M126" s="117"/>
      <c r="N126" s="117"/>
      <c r="O126" s="104"/>
      <c r="P126" s="105"/>
      <c r="Q126" s="105"/>
    </row>
    <row r="127" spans="1:17" s="106" customFormat="1" ht="15" thickBot="1">
      <c r="A127" s="104"/>
      <c r="B127" s="118" t="s">
        <v>189</v>
      </c>
      <c r="C127" s="119"/>
      <c r="D127" s="120"/>
      <c r="E127" s="120"/>
      <c r="F127" s="120"/>
      <c r="G127" s="120"/>
      <c r="H127" s="120"/>
      <c r="I127" s="120"/>
      <c r="J127" s="120"/>
      <c r="K127" s="120"/>
      <c r="L127" s="120"/>
      <c r="M127" s="120"/>
      <c r="N127" s="120"/>
      <c r="O127" s="104"/>
      <c r="P127" s="105"/>
      <c r="Q127" s="105"/>
    </row>
    <row r="128" spans="1:17" s="106" customFormat="1">
      <c r="A128" s="104"/>
      <c r="B128" s="122" t="s">
        <v>190</v>
      </c>
      <c r="C128" s="122" t="s">
        <v>165</v>
      </c>
      <c r="D128" s="123"/>
      <c r="E128" s="123"/>
      <c r="F128" s="104"/>
      <c r="G128" s="125"/>
      <c r="H128" s="123"/>
      <c r="I128" s="124"/>
      <c r="J128" s="123"/>
      <c r="K128" s="123"/>
      <c r="L128" s="124"/>
      <c r="M128" s="123"/>
      <c r="N128" s="123"/>
      <c r="O128" s="104"/>
      <c r="P128" s="105"/>
      <c r="Q128" s="105"/>
    </row>
    <row r="129" spans="1:17" s="106" customFormat="1">
      <c r="A129" s="104"/>
      <c r="B129" s="122" t="s">
        <v>191</v>
      </c>
      <c r="C129" s="122" t="s">
        <v>192</v>
      </c>
      <c r="D129" s="123"/>
      <c r="E129" s="123"/>
      <c r="F129" s="104"/>
      <c r="G129" s="125"/>
      <c r="H129" s="123"/>
      <c r="I129" s="124"/>
      <c r="J129" s="123"/>
      <c r="K129" s="123"/>
      <c r="L129" s="124"/>
      <c r="M129" s="123"/>
      <c r="N129" s="123"/>
      <c r="O129" s="104"/>
      <c r="P129" s="105"/>
      <c r="Q129" s="105"/>
    </row>
    <row r="130" spans="1:17" s="106" customFormat="1">
      <c r="A130" s="104"/>
      <c r="B130" s="122" t="s">
        <v>193</v>
      </c>
      <c r="C130" s="122"/>
      <c r="D130" s="123"/>
      <c r="E130" s="123"/>
      <c r="F130" s="104"/>
      <c r="G130" s="125"/>
      <c r="H130" s="123"/>
      <c r="I130" s="124"/>
      <c r="J130" s="123"/>
      <c r="K130" s="123"/>
      <c r="L130" s="124"/>
      <c r="M130" s="123"/>
      <c r="N130" s="123"/>
      <c r="O130" s="104"/>
      <c r="P130" s="105"/>
      <c r="Q130" s="105"/>
    </row>
    <row r="131" spans="1:17" s="106" customFormat="1">
      <c r="A131" s="104"/>
      <c r="B131" s="128" t="s">
        <v>194</v>
      </c>
      <c r="C131" s="129"/>
      <c r="D131" s="130">
        <f>SUM(D128:D130)</f>
        <v>0</v>
      </c>
      <c r="E131" s="130">
        <f>SUM(E128:E130)</f>
        <v>0</v>
      </c>
      <c r="F131" s="132"/>
      <c r="G131" s="130">
        <f>SUM(G128:G130)</f>
        <v>0</v>
      </c>
      <c r="H131" s="130">
        <f>SUM(H128:H130)</f>
        <v>0</v>
      </c>
      <c r="I131" s="132"/>
      <c r="J131" s="130">
        <f>SUM(J128:J130)</f>
        <v>0</v>
      </c>
      <c r="K131" s="130">
        <f>SUM(K128:K130)</f>
        <v>0</v>
      </c>
      <c r="L131" s="132"/>
      <c r="M131" s="130">
        <f>SUM(M128:M130)</f>
        <v>0</v>
      </c>
      <c r="N131" s="130">
        <f>SUM(N128:N130)</f>
        <v>0</v>
      </c>
      <c r="O131" s="104"/>
      <c r="P131" s="134">
        <f>+D131+G131+J131+M131</f>
        <v>0</v>
      </c>
      <c r="Q131" s="134">
        <f>+E131+H131+K131+N131</f>
        <v>0</v>
      </c>
    </row>
    <row r="132" spans="1:17" s="106" customFormat="1">
      <c r="A132" s="104"/>
      <c r="B132" s="136"/>
      <c r="C132" s="104"/>
      <c r="D132" s="104"/>
      <c r="E132" s="104"/>
      <c r="F132" s="104"/>
      <c r="G132" s="104"/>
      <c r="H132" s="104"/>
      <c r="I132" s="104"/>
      <c r="J132" s="104"/>
      <c r="K132" s="104"/>
      <c r="L132" s="104"/>
      <c r="M132" s="104"/>
      <c r="N132" s="104"/>
      <c r="O132" s="104"/>
      <c r="P132" s="105"/>
      <c r="Q132" s="105"/>
    </row>
    <row r="133" spans="1:17" s="106" customFormat="1" ht="15.75" thickBot="1">
      <c r="A133" s="104"/>
      <c r="B133" s="136"/>
      <c r="C133" s="104"/>
      <c r="D133" s="138">
        <f>+D131+D125+D117+D112+D108+D100+D86</f>
        <v>-17.347999999999985</v>
      </c>
      <c r="E133" s="138">
        <f>+E131+E125+E117+E112+E108+E100+E86</f>
        <v>48097.662000000026</v>
      </c>
      <c r="F133" s="137"/>
      <c r="G133" s="138">
        <f>+G131+G125+G117+G112+G108+G100+G86</f>
        <v>0</v>
      </c>
      <c r="H133" s="138">
        <f>+H131+H125+H117+H112+H108+H100+H86</f>
        <v>48097.662000000026</v>
      </c>
      <c r="I133" s="137"/>
      <c r="J133" s="138">
        <f>+J131+J125+J117+J112+J108+J100+J86</f>
        <v>0</v>
      </c>
      <c r="K133" s="138">
        <f>+K131+K125+K117+K112+K108+K100+K86</f>
        <v>48097.662000000026</v>
      </c>
      <c r="L133" s="137"/>
      <c r="M133" s="138">
        <f>+M131+M125+M117+M112+M108+M100+M86</f>
        <v>-72.400000000000006</v>
      </c>
      <c r="N133" s="138">
        <f>+N131+N125+N117+N112+N108+N100+N86</f>
        <v>-78364.33799999996</v>
      </c>
      <c r="O133" s="137"/>
      <c r="P133" s="138">
        <f>+P131+P125+P117+P112+P108+P100+P86</f>
        <v>-89.74799999999999</v>
      </c>
      <c r="Q133" s="138">
        <f>+Q131+Q125+Q117+Q112+Q108+Q100+Q86</f>
        <v>65928.648000000103</v>
      </c>
    </row>
    <row r="134" spans="1:17" s="106" customFormat="1" ht="15" thickTop="1">
      <c r="A134" s="104"/>
      <c r="B134" s="104"/>
      <c r="C134" s="104"/>
      <c r="D134" s="104"/>
      <c r="E134" s="104"/>
      <c r="F134" s="104"/>
      <c r="G134" s="104"/>
      <c r="H134" s="104"/>
      <c r="I134" s="104"/>
      <c r="J134" s="104"/>
      <c r="K134" s="104"/>
      <c r="L134" s="104"/>
      <c r="M134" s="104"/>
      <c r="N134" s="104"/>
      <c r="O134" s="104"/>
      <c r="P134" s="105"/>
      <c r="Q134" s="105"/>
    </row>
    <row r="136" spans="1:17" s="106" customFormat="1">
      <c r="A136" s="104"/>
      <c r="B136" s="136" t="s">
        <v>202</v>
      </c>
      <c r="C136" s="137"/>
      <c r="D136" s="104"/>
      <c r="E136" s="104"/>
      <c r="F136" s="104"/>
      <c r="G136" s="104"/>
      <c r="H136" s="104"/>
      <c r="I136" s="104"/>
      <c r="J136" s="104"/>
      <c r="K136" s="104"/>
      <c r="L136" s="104"/>
      <c r="M136" s="104"/>
      <c r="N136" s="104"/>
      <c r="O136" s="104"/>
      <c r="P136" s="105"/>
      <c r="Q136" s="105"/>
    </row>
    <row r="137" spans="1:17" s="106" customFormat="1">
      <c r="A137" s="104"/>
      <c r="B137" s="136" t="s">
        <v>203</v>
      </c>
      <c r="C137" s="137"/>
      <c r="D137" s="104"/>
      <c r="E137" s="104"/>
      <c r="F137" s="104"/>
      <c r="G137" s="104"/>
      <c r="H137" s="104"/>
      <c r="I137" s="104"/>
      <c r="J137" s="104"/>
      <c r="K137" s="104"/>
      <c r="L137" s="104"/>
      <c r="M137" s="104"/>
      <c r="N137" s="104"/>
      <c r="O137" s="104"/>
      <c r="P137" s="105"/>
      <c r="Q137" s="105"/>
    </row>
    <row r="138" spans="1:17" s="106" customFormat="1">
      <c r="A138" s="104"/>
      <c r="B138" s="146" t="s">
        <v>204</v>
      </c>
      <c r="C138" s="137"/>
      <c r="D138" s="104"/>
      <c r="E138" s="104"/>
      <c r="F138" s="104"/>
      <c r="G138" s="104"/>
      <c r="H138" s="104"/>
      <c r="I138" s="104"/>
      <c r="J138" s="104"/>
      <c r="K138" s="104"/>
      <c r="L138" s="104"/>
      <c r="M138" s="104"/>
      <c r="N138" s="104"/>
      <c r="O138" s="104"/>
      <c r="P138" s="105"/>
      <c r="Q138" s="105"/>
    </row>
    <row r="139" spans="1:17" s="106" customFormat="1">
      <c r="A139" s="104"/>
      <c r="B139" s="136" t="s">
        <v>205</v>
      </c>
      <c r="C139" s="137"/>
      <c r="D139" s="104"/>
      <c r="E139" s="104"/>
      <c r="F139" s="104"/>
      <c r="G139" s="104"/>
      <c r="H139" s="104"/>
      <c r="I139" s="104"/>
      <c r="J139" s="104"/>
      <c r="K139" s="104"/>
      <c r="L139" s="104"/>
      <c r="M139" s="104"/>
      <c r="N139" s="104"/>
      <c r="O139" s="104"/>
      <c r="P139" s="105"/>
      <c r="Q139" s="105"/>
    </row>
    <row r="140" spans="1:17" s="106" customFormat="1">
      <c r="A140" s="104"/>
      <c r="B140" s="136" t="s">
        <v>206</v>
      </c>
      <c r="C140" s="137"/>
      <c r="D140" s="104"/>
      <c r="E140" s="104"/>
      <c r="F140" s="104"/>
      <c r="G140" s="104"/>
      <c r="H140" s="104"/>
      <c r="I140" s="104"/>
      <c r="J140" s="104"/>
      <c r="K140" s="104"/>
      <c r="L140" s="104"/>
      <c r="M140" s="104"/>
      <c r="N140" s="104"/>
      <c r="O140" s="104"/>
      <c r="P140" s="105"/>
      <c r="Q140" s="105"/>
    </row>
    <row r="141" spans="1:17" s="106" customFormat="1">
      <c r="A141" s="104"/>
      <c r="B141" s="136" t="s">
        <v>207</v>
      </c>
      <c r="C141" s="136"/>
      <c r="D141" s="104"/>
      <c r="E141" s="104"/>
      <c r="F141" s="104"/>
      <c r="G141" s="104"/>
      <c r="H141" s="104"/>
      <c r="I141" s="104"/>
      <c r="J141" s="104"/>
      <c r="K141" s="104"/>
      <c r="L141" s="104"/>
      <c r="M141" s="104"/>
      <c r="N141" s="104"/>
      <c r="O141" s="104"/>
      <c r="P141" s="105"/>
      <c r="Q141" s="105"/>
    </row>
    <row r="142" spans="1:17" s="106" customFormat="1">
      <c r="A142" s="104"/>
      <c r="B142" s="136"/>
      <c r="C142" s="104"/>
      <c r="D142" s="104"/>
      <c r="E142" s="104"/>
      <c r="F142" s="104"/>
      <c r="G142" s="104"/>
      <c r="H142" s="104"/>
      <c r="I142" s="104"/>
      <c r="J142" s="104"/>
      <c r="K142" s="104"/>
      <c r="L142" s="104"/>
      <c r="M142" s="104"/>
      <c r="N142" s="104"/>
      <c r="O142" s="104"/>
      <c r="P142" s="105"/>
      <c r="Q142" s="105"/>
    </row>
    <row r="143" spans="1:17" s="106" customFormat="1">
      <c r="A143" s="104"/>
      <c r="B143" s="136"/>
      <c r="C143" s="104"/>
      <c r="D143" s="104"/>
      <c r="E143" s="104"/>
      <c r="F143" s="104"/>
      <c r="G143" s="104"/>
      <c r="H143" s="104"/>
      <c r="I143" s="104"/>
      <c r="J143" s="104"/>
      <c r="K143" s="104"/>
      <c r="L143" s="104"/>
      <c r="M143" s="104"/>
      <c r="N143" s="104"/>
      <c r="O143" s="104"/>
      <c r="P143" s="105"/>
      <c r="Q143" s="105"/>
    </row>
    <row r="145" spans="1:17" s="106" customFormat="1" ht="18">
      <c r="A145" s="103" t="s">
        <v>208</v>
      </c>
      <c r="B145" s="104"/>
      <c r="C145" s="104"/>
      <c r="D145" s="104"/>
      <c r="E145" s="104"/>
      <c r="F145" s="104"/>
      <c r="G145" s="104"/>
      <c r="H145" s="104"/>
      <c r="I145" s="104"/>
      <c r="J145" s="104"/>
      <c r="K145" s="104"/>
      <c r="L145" s="104"/>
      <c r="M145" s="104"/>
      <c r="N145" s="104"/>
      <c r="O145" s="104"/>
      <c r="P145" s="105"/>
      <c r="Q145" s="105"/>
    </row>
    <row r="147" spans="1:17" s="106" customFormat="1" ht="15">
      <c r="A147" s="107"/>
      <c r="B147" s="107"/>
      <c r="C147" s="107"/>
      <c r="D147" s="615">
        <v>2012</v>
      </c>
      <c r="E147" s="615"/>
      <c r="F147" s="108"/>
      <c r="G147" s="616"/>
      <c r="H147" s="616"/>
      <c r="I147" s="109"/>
      <c r="J147" s="616">
        <v>2013</v>
      </c>
      <c r="K147" s="616"/>
      <c r="L147" s="109"/>
      <c r="M147" s="616">
        <v>2014</v>
      </c>
      <c r="N147" s="616"/>
      <c r="O147" s="107"/>
      <c r="P147" s="105"/>
      <c r="Q147" s="105"/>
    </row>
    <row r="148" spans="1:17" s="106" customFormat="1" ht="18">
      <c r="A148" s="110"/>
      <c r="B148" s="111"/>
      <c r="C148" s="111"/>
      <c r="D148" s="617" t="s">
        <v>145</v>
      </c>
      <c r="E148" s="617"/>
      <c r="F148" s="112"/>
      <c r="G148" s="616" t="s">
        <v>209</v>
      </c>
      <c r="H148" s="616"/>
      <c r="I148" s="616"/>
      <c r="J148" s="616"/>
      <c r="K148" s="616"/>
      <c r="L148" s="616"/>
      <c r="M148" s="616"/>
      <c r="N148" s="616"/>
      <c r="O148" s="111"/>
      <c r="P148" s="105"/>
      <c r="Q148" s="105"/>
    </row>
    <row r="149" spans="1:17" s="106" customFormat="1" ht="15">
      <c r="A149" s="113"/>
      <c r="B149" s="111"/>
      <c r="C149" s="111"/>
      <c r="D149" s="111"/>
      <c r="E149" s="111"/>
      <c r="F149" s="111"/>
      <c r="G149" s="111"/>
      <c r="H149" s="111"/>
      <c r="I149" s="111"/>
      <c r="J149" s="111"/>
      <c r="K149" s="111"/>
      <c r="L149" s="111"/>
      <c r="M149" s="111"/>
      <c r="N149" s="111"/>
      <c r="O149" s="111"/>
      <c r="P149" s="614" t="s">
        <v>5</v>
      </c>
      <c r="Q149" s="614"/>
    </row>
    <row r="150" spans="1:17" s="106" customFormat="1" ht="51">
      <c r="A150" s="113"/>
      <c r="B150" s="114" t="s">
        <v>210</v>
      </c>
      <c r="C150" s="114"/>
      <c r="D150" s="115" t="str">
        <f>+$D$6</f>
        <v>Peak Demand Savings (kW)</v>
      </c>
      <c r="E150" s="115" t="str">
        <f>+$E$6</f>
        <v>Energy Savings (kWh)</v>
      </c>
      <c r="G150" s="115" t="str">
        <f>+$G$6</f>
        <v>Peak Demand Savings (kW)</v>
      </c>
      <c r="H150" s="115" t="str">
        <f>+$H$6</f>
        <v>Energy Savings (kWh)</v>
      </c>
      <c r="J150" s="115" t="str">
        <f>+$J$6</f>
        <v>Peak Demand Savings (kW)</v>
      </c>
      <c r="K150" s="115" t="str">
        <f>+$K$6</f>
        <v>Energy Savings (kWh)</v>
      </c>
      <c r="M150" s="115" t="str">
        <f>+$M$6</f>
        <v>Peak Demand Savings (kW)</v>
      </c>
      <c r="N150" s="115" t="str">
        <f>+$N$6</f>
        <v>Energy Savings (kWh)</v>
      </c>
      <c r="O150" s="104"/>
      <c r="P150" s="116" t="str">
        <f>+$P$6</f>
        <v>Peak Demand Savings (kW)</v>
      </c>
      <c r="Q150" s="116" t="str">
        <f>+$Q$6</f>
        <v>Energy Savings (kWh)</v>
      </c>
    </row>
    <row r="151" spans="1:17" s="106" customFormat="1" ht="15" thickBot="1">
      <c r="A151" s="113"/>
      <c r="B151" s="117"/>
      <c r="C151" s="117"/>
      <c r="D151" s="117"/>
      <c r="E151" s="117"/>
      <c r="F151" s="117"/>
      <c r="G151" s="117"/>
      <c r="H151" s="117"/>
      <c r="I151" s="117"/>
      <c r="J151" s="117"/>
      <c r="K151" s="117"/>
      <c r="L151" s="117"/>
      <c r="M151" s="117"/>
      <c r="N151" s="117"/>
      <c r="O151" s="111"/>
      <c r="P151" s="105"/>
      <c r="Q151" s="105"/>
    </row>
    <row r="152" spans="1:17" s="106" customFormat="1" ht="15" thickBot="1">
      <c r="A152" s="113"/>
      <c r="B152" s="118" t="s">
        <v>150</v>
      </c>
      <c r="C152" s="119"/>
      <c r="D152" s="120"/>
      <c r="E152" s="120"/>
      <c r="F152" s="120"/>
      <c r="G152" s="120"/>
      <c r="H152" s="120"/>
      <c r="I152" s="120"/>
      <c r="J152" s="120"/>
      <c r="K152" s="120"/>
      <c r="L152" s="120"/>
      <c r="M152" s="120"/>
      <c r="N152" s="120"/>
      <c r="O152" s="111"/>
      <c r="P152" s="105"/>
      <c r="Q152" s="105"/>
    </row>
    <row r="153" spans="1:17" s="106" customFormat="1" ht="18" customHeight="1">
      <c r="A153" s="121"/>
      <c r="B153" s="122" t="s">
        <v>151</v>
      </c>
      <c r="C153" s="122" t="s">
        <v>152</v>
      </c>
      <c r="D153" s="147">
        <v>23.981000000000002</v>
      </c>
      <c r="E153" s="147">
        <v>173730.69699999999</v>
      </c>
      <c r="F153" s="124"/>
      <c r="G153" s="123"/>
      <c r="H153" s="123"/>
      <c r="I153" s="124"/>
      <c r="J153" s="123"/>
      <c r="K153" s="123">
        <f>+E153</f>
        <v>173730.69699999999</v>
      </c>
      <c r="L153" s="124"/>
      <c r="M153" s="141"/>
      <c r="N153" s="123">
        <f>+K153</f>
        <v>173730.69699999999</v>
      </c>
      <c r="O153" s="111"/>
      <c r="P153" s="105"/>
      <c r="Q153" s="105"/>
    </row>
    <row r="154" spans="1:17" s="106" customFormat="1" ht="18" customHeight="1">
      <c r="A154" s="121"/>
      <c r="B154" s="122" t="s">
        <v>153</v>
      </c>
      <c r="C154" s="122" t="s">
        <v>152</v>
      </c>
      <c r="D154" s="147">
        <v>6.7229999999999999</v>
      </c>
      <c r="E154" s="147">
        <v>11971.198</v>
      </c>
      <c r="F154" s="124"/>
      <c r="G154" s="125"/>
      <c r="H154" s="123"/>
      <c r="I154" s="124"/>
      <c r="J154" s="123"/>
      <c r="K154" s="123">
        <f>+E154</f>
        <v>11971.198</v>
      </c>
      <c r="L154" s="124"/>
      <c r="M154" s="141"/>
      <c r="N154" s="123">
        <f>+K154</f>
        <v>11971.198</v>
      </c>
      <c r="O154" s="111"/>
      <c r="P154" s="105"/>
      <c r="Q154" s="105"/>
    </row>
    <row r="155" spans="1:17" s="106" customFormat="1" ht="18" customHeight="1">
      <c r="A155" s="121"/>
      <c r="B155" s="122" t="s">
        <v>154</v>
      </c>
      <c r="C155" s="122" t="s">
        <v>152</v>
      </c>
      <c r="D155" s="147">
        <v>80.933000000000007</v>
      </c>
      <c r="E155" s="147">
        <v>151972.44699999999</v>
      </c>
      <c r="F155" s="124"/>
      <c r="G155" s="125"/>
      <c r="H155" s="123"/>
      <c r="I155" s="124"/>
      <c r="J155" s="123"/>
      <c r="K155" s="123">
        <f>+E155</f>
        <v>151972.44699999999</v>
      </c>
      <c r="L155" s="124"/>
      <c r="M155" s="141"/>
      <c r="N155" s="123">
        <f>+K155</f>
        <v>151972.44699999999</v>
      </c>
      <c r="O155" s="111"/>
      <c r="P155" s="105"/>
      <c r="Q155" s="105"/>
    </row>
    <row r="156" spans="1:17" s="106" customFormat="1" ht="18" customHeight="1">
      <c r="A156" s="121"/>
      <c r="B156" s="122" t="s">
        <v>155</v>
      </c>
      <c r="C156" s="122" t="s">
        <v>152</v>
      </c>
      <c r="D156" s="147">
        <v>2.0129999999999999</v>
      </c>
      <c r="E156" s="147">
        <v>12217.632</v>
      </c>
      <c r="F156" s="124"/>
      <c r="G156" s="125"/>
      <c r="H156" s="123"/>
      <c r="I156" s="124"/>
      <c r="J156" s="123"/>
      <c r="K156" s="123">
        <f>+E156</f>
        <v>12217.632</v>
      </c>
      <c r="L156" s="124"/>
      <c r="M156" s="141"/>
      <c r="N156" s="123">
        <f>+K156</f>
        <v>12217.632</v>
      </c>
      <c r="O156" s="111"/>
      <c r="P156" s="105"/>
      <c r="Q156" s="105"/>
    </row>
    <row r="157" spans="1:17" s="106" customFormat="1" ht="18" customHeight="1">
      <c r="A157" s="121"/>
      <c r="B157" s="122" t="s">
        <v>156</v>
      </c>
      <c r="C157" s="122" t="s">
        <v>152</v>
      </c>
      <c r="D157" s="147">
        <v>12.932</v>
      </c>
      <c r="E157" s="147">
        <v>234021.02499999999</v>
      </c>
      <c r="F157" s="124"/>
      <c r="G157" s="125"/>
      <c r="H157" s="123"/>
      <c r="I157" s="124"/>
      <c r="J157" s="123"/>
      <c r="K157" s="123">
        <f>+E157</f>
        <v>234021.02499999999</v>
      </c>
      <c r="L157" s="124"/>
      <c r="M157" s="141"/>
      <c r="N157" s="123">
        <f>+K157</f>
        <v>234021.02499999999</v>
      </c>
      <c r="O157" s="111"/>
      <c r="P157" s="105"/>
      <c r="Q157" s="105"/>
    </row>
    <row r="158" spans="1:17" s="106" customFormat="1" ht="18" customHeight="1">
      <c r="A158" s="121"/>
      <c r="B158" s="122" t="s">
        <v>157</v>
      </c>
      <c r="C158" s="122" t="s">
        <v>152</v>
      </c>
      <c r="D158" s="147"/>
      <c r="E158" s="147"/>
      <c r="F158" s="124"/>
      <c r="G158" s="125"/>
      <c r="H158" s="123"/>
      <c r="I158" s="124"/>
      <c r="J158" s="123"/>
      <c r="K158" s="123"/>
      <c r="L158" s="124"/>
      <c r="M158" s="141"/>
      <c r="N158" s="123"/>
      <c r="O158" s="111"/>
      <c r="P158" s="105"/>
      <c r="Q158" s="105"/>
    </row>
    <row r="159" spans="1:17" s="106" customFormat="1" ht="18" customHeight="1">
      <c r="A159" s="121"/>
      <c r="B159" s="122" t="s">
        <v>158</v>
      </c>
      <c r="C159" s="122" t="s">
        <v>152</v>
      </c>
      <c r="D159" s="147"/>
      <c r="E159" s="125"/>
      <c r="F159" s="124"/>
      <c r="G159" s="125"/>
      <c r="H159" s="123"/>
      <c r="I159" s="124"/>
      <c r="J159" s="123"/>
      <c r="K159" s="123"/>
      <c r="L159" s="124"/>
      <c r="M159" s="123"/>
      <c r="N159" s="123"/>
      <c r="O159" s="111"/>
      <c r="P159" s="105"/>
      <c r="Q159" s="105"/>
    </row>
    <row r="160" spans="1:17" s="106" customFormat="1" ht="18" customHeight="1">
      <c r="A160" s="121"/>
      <c r="B160" s="122" t="s">
        <v>159</v>
      </c>
      <c r="C160" s="122" t="s">
        <v>152</v>
      </c>
      <c r="D160" s="148"/>
      <c r="E160" s="125"/>
      <c r="F160" s="124"/>
      <c r="G160" s="125"/>
      <c r="H160" s="123"/>
      <c r="I160" s="124"/>
      <c r="J160" s="123"/>
      <c r="K160" s="123"/>
      <c r="L160" s="124"/>
      <c r="M160" s="123"/>
      <c r="N160" s="123"/>
      <c r="O160" s="111"/>
      <c r="P160" s="105"/>
      <c r="Q160" s="105"/>
    </row>
    <row r="161" spans="1:17" s="106" customFormat="1" ht="18" customHeight="1">
      <c r="A161" s="121"/>
      <c r="B161" s="122" t="s">
        <v>160</v>
      </c>
      <c r="C161" s="127" t="s">
        <v>152</v>
      </c>
      <c r="D161" s="147"/>
      <c r="E161" s="125"/>
      <c r="F161" s="124"/>
      <c r="G161" s="125"/>
      <c r="H161" s="123"/>
      <c r="I161" s="124"/>
      <c r="J161" s="123"/>
      <c r="K161" s="123"/>
      <c r="L161" s="124"/>
      <c r="M161" s="123"/>
      <c r="N161" s="123"/>
      <c r="O161" s="111"/>
      <c r="P161" s="105"/>
      <c r="Q161" s="105"/>
    </row>
    <row r="162" spans="1:17" s="106" customFormat="1" ht="18" customHeight="1">
      <c r="A162" s="121"/>
      <c r="B162" s="128" t="s">
        <v>161</v>
      </c>
      <c r="C162" s="129"/>
      <c r="D162" s="130">
        <f>SUM(D153:D161)</f>
        <v>126.58200000000001</v>
      </c>
      <c r="E162" s="131">
        <f>SUM(E153:E161)</f>
        <v>583912.99899999995</v>
      </c>
      <c r="F162" s="132"/>
      <c r="G162" s="131">
        <f>SUM(G153:G161)</f>
        <v>0</v>
      </c>
      <c r="H162" s="131">
        <f>SUM(H153:H161)</f>
        <v>0</v>
      </c>
      <c r="I162" s="132"/>
      <c r="J162" s="131">
        <f>SUM(J153:J161)</f>
        <v>0</v>
      </c>
      <c r="K162" s="131">
        <f>SUM(K153:K161)</f>
        <v>583912.99899999995</v>
      </c>
      <c r="L162" s="132"/>
      <c r="M162" s="131">
        <f>SUM(M153:M161)</f>
        <v>0</v>
      </c>
      <c r="N162" s="131">
        <f>SUM(N153:N161)</f>
        <v>583912.99899999995</v>
      </c>
      <c r="O162" s="111"/>
      <c r="P162" s="134">
        <f>+D162+G162+J162+M162</f>
        <v>126.58200000000001</v>
      </c>
      <c r="Q162" s="134">
        <f>+E162+H162+K162+N162</f>
        <v>1751738.997</v>
      </c>
    </row>
    <row r="163" spans="1:17" s="106" customFormat="1" ht="15" thickBot="1">
      <c r="A163" s="104"/>
      <c r="B163" s="104"/>
      <c r="C163" s="117"/>
      <c r="D163" s="117"/>
      <c r="E163" s="117"/>
      <c r="F163" s="117"/>
      <c r="G163" s="117"/>
      <c r="H163" s="117"/>
      <c r="I163" s="117"/>
      <c r="J163" s="117"/>
      <c r="K163" s="117"/>
      <c r="L163" s="117"/>
      <c r="M163" s="117"/>
      <c r="N163" s="117"/>
      <c r="O163" s="104"/>
      <c r="P163" s="105"/>
      <c r="Q163" s="105"/>
    </row>
    <row r="164" spans="1:17" s="106" customFormat="1" ht="15" thickBot="1">
      <c r="A164" s="113"/>
      <c r="B164" s="118" t="s">
        <v>162</v>
      </c>
      <c r="C164" s="119"/>
      <c r="D164" s="120"/>
      <c r="E164" s="120"/>
      <c r="F164" s="120"/>
      <c r="G164" s="120"/>
      <c r="H164" s="120"/>
      <c r="I164" s="120"/>
      <c r="J164" s="120"/>
      <c r="K164" s="120"/>
      <c r="L164" s="120"/>
      <c r="M164" s="120"/>
      <c r="N164" s="120"/>
      <c r="O164" s="111"/>
      <c r="P164" s="105"/>
      <c r="Q164" s="105"/>
    </row>
    <row r="165" spans="1:17" s="106" customFormat="1" ht="15" thickBot="1">
      <c r="A165" s="104"/>
      <c r="B165" s="122" t="s">
        <v>163</v>
      </c>
      <c r="C165" s="122" t="s">
        <v>164</v>
      </c>
      <c r="D165" s="147">
        <f>+[16]Summary!$Q$22-D238</f>
        <v>88.71</v>
      </c>
      <c r="E165" s="142">
        <f>+[16]Summary!$R$22-E238</f>
        <v>403994</v>
      </c>
      <c r="F165" s="104"/>
      <c r="G165" s="125"/>
      <c r="H165" s="123"/>
      <c r="I165" s="124"/>
      <c r="J165" s="123"/>
      <c r="K165" s="123">
        <f t="shared" ref="K165:K172" si="3">+E165</f>
        <v>403994</v>
      </c>
      <c r="L165" s="124"/>
      <c r="M165" s="123"/>
      <c r="N165" s="123">
        <f t="shared" ref="N165:N172" si="4">+K165</f>
        <v>403994</v>
      </c>
      <c r="O165" s="111"/>
      <c r="P165" s="105"/>
      <c r="Q165" s="105"/>
    </row>
    <row r="166" spans="1:17" s="106" customFormat="1" ht="15.75" thickTop="1" thickBot="1">
      <c r="A166" s="104"/>
      <c r="B166" s="122" t="s">
        <v>163</v>
      </c>
      <c r="C166" s="122" t="s">
        <v>165</v>
      </c>
      <c r="D166" s="147">
        <f>+[16]Summary!$Q$21-D239</f>
        <v>192.29</v>
      </c>
      <c r="E166" s="142">
        <f>+[16]Summary!$R$21-E239</f>
        <v>830412</v>
      </c>
      <c r="F166" s="104"/>
      <c r="G166" s="125"/>
      <c r="H166" s="123"/>
      <c r="I166" s="124"/>
      <c r="J166" s="123"/>
      <c r="K166" s="123">
        <f t="shared" si="3"/>
        <v>830412</v>
      </c>
      <c r="L166" s="124"/>
      <c r="M166" s="123"/>
      <c r="N166" s="123">
        <f t="shared" si="4"/>
        <v>830412</v>
      </c>
      <c r="O166" s="111"/>
      <c r="P166" s="105"/>
      <c r="Q166" s="105"/>
    </row>
    <row r="167" spans="1:17" s="106" customFormat="1" ht="15" thickTop="1">
      <c r="A167" s="104"/>
      <c r="B167" s="122" t="s">
        <v>163</v>
      </c>
      <c r="C167" s="122" t="s">
        <v>111</v>
      </c>
      <c r="D167" s="123"/>
      <c r="E167" s="123"/>
      <c r="F167" s="104"/>
      <c r="G167" s="125"/>
      <c r="H167" s="123"/>
      <c r="I167" s="124"/>
      <c r="J167" s="123"/>
      <c r="K167" s="123"/>
      <c r="L167" s="124"/>
      <c r="M167" s="123"/>
      <c r="N167" s="123"/>
      <c r="O167" s="111"/>
      <c r="P167" s="105"/>
      <c r="Q167" s="105"/>
    </row>
    <row r="168" spans="1:17" s="106" customFormat="1">
      <c r="A168" s="104"/>
      <c r="B168" s="122" t="s">
        <v>163</v>
      </c>
      <c r="C168" s="122" t="s">
        <v>166</v>
      </c>
      <c r="D168" s="123"/>
      <c r="E168" s="123"/>
      <c r="F168" s="104"/>
      <c r="G168" s="125"/>
      <c r="H168" s="123"/>
      <c r="I168" s="124"/>
      <c r="J168" s="123"/>
      <c r="K168" s="123"/>
      <c r="L168" s="124"/>
      <c r="M168" s="123"/>
      <c r="N168" s="123"/>
      <c r="O168" s="111"/>
      <c r="P168" s="105"/>
      <c r="Q168" s="105"/>
    </row>
    <row r="169" spans="1:17" s="106" customFormat="1">
      <c r="A169" s="104"/>
      <c r="B169" s="122" t="s">
        <v>167</v>
      </c>
      <c r="C169" s="122" t="s">
        <v>164</v>
      </c>
      <c r="D169" s="147">
        <v>216.316</v>
      </c>
      <c r="E169" s="147">
        <v>788017.728</v>
      </c>
      <c r="F169" s="104"/>
      <c r="G169" s="125"/>
      <c r="H169" s="123"/>
      <c r="I169" s="124"/>
      <c r="J169" s="123"/>
      <c r="K169" s="123">
        <f t="shared" si="3"/>
        <v>788017.728</v>
      </c>
      <c r="L169" s="124"/>
      <c r="M169" s="123"/>
      <c r="N169" s="123">
        <f t="shared" si="4"/>
        <v>788017.728</v>
      </c>
      <c r="O169" s="111"/>
      <c r="P169" s="105"/>
      <c r="Q169" s="105"/>
    </row>
    <row r="170" spans="1:17" s="106" customFormat="1">
      <c r="A170" s="104"/>
      <c r="B170" s="122" t="s">
        <v>168</v>
      </c>
      <c r="C170" s="122"/>
      <c r="D170" s="123"/>
      <c r="E170" s="123"/>
      <c r="F170" s="104"/>
      <c r="G170" s="125"/>
      <c r="H170" s="123"/>
      <c r="I170" s="124"/>
      <c r="J170" s="123"/>
      <c r="K170" s="123"/>
      <c r="L170" s="124"/>
      <c r="M170" s="123"/>
      <c r="N170" s="123"/>
      <c r="O170" s="111"/>
      <c r="P170" s="105"/>
      <c r="Q170" s="105"/>
    </row>
    <row r="171" spans="1:17" s="106" customFormat="1">
      <c r="A171" s="104"/>
      <c r="B171" s="122" t="s">
        <v>169</v>
      </c>
      <c r="C171" s="122" t="s">
        <v>165</v>
      </c>
      <c r="D171" s="123"/>
      <c r="E171" s="123"/>
      <c r="F171" s="104"/>
      <c r="G171" s="125"/>
      <c r="H171" s="123"/>
      <c r="I171" s="124"/>
      <c r="J171" s="123"/>
      <c r="K171" s="123"/>
      <c r="L171" s="124"/>
      <c r="M171" s="123"/>
      <c r="N171" s="123"/>
      <c r="O171" s="111"/>
      <c r="P171" s="105"/>
      <c r="Q171" s="105"/>
    </row>
    <row r="172" spans="1:17" s="106" customFormat="1">
      <c r="A172" s="104"/>
      <c r="B172" s="122" t="s">
        <v>170</v>
      </c>
      <c r="C172" s="122" t="s">
        <v>165</v>
      </c>
      <c r="D172" s="147">
        <v>20.709</v>
      </c>
      <c r="E172" s="147">
        <v>100705.018</v>
      </c>
      <c r="F172" s="104"/>
      <c r="G172" s="125"/>
      <c r="H172" s="123"/>
      <c r="I172" s="124"/>
      <c r="J172" s="123"/>
      <c r="K172" s="123">
        <f t="shared" si="3"/>
        <v>100705.018</v>
      </c>
      <c r="L172" s="124"/>
      <c r="M172" s="123"/>
      <c r="N172" s="123">
        <f t="shared" si="4"/>
        <v>100705.018</v>
      </c>
      <c r="O172" s="111"/>
      <c r="P172" s="105"/>
      <c r="Q172" s="105"/>
    </row>
    <row r="173" spans="1:17" s="106" customFormat="1">
      <c r="A173" s="104"/>
      <c r="B173" s="122" t="s">
        <v>171</v>
      </c>
      <c r="C173" s="122" t="s">
        <v>165</v>
      </c>
      <c r="D173" s="123"/>
      <c r="E173" s="123"/>
      <c r="F173" s="104"/>
      <c r="G173" s="125"/>
      <c r="H173" s="123"/>
      <c r="I173" s="124"/>
      <c r="J173" s="123"/>
      <c r="K173" s="123"/>
      <c r="L173" s="124"/>
      <c r="M173" s="123"/>
      <c r="N173" s="123"/>
      <c r="O173" s="111"/>
      <c r="P173" s="105"/>
      <c r="Q173" s="105"/>
    </row>
    <row r="174" spans="1:17" s="106" customFormat="1">
      <c r="A174" s="104"/>
      <c r="B174" s="122" t="s">
        <v>172</v>
      </c>
      <c r="C174" s="122"/>
      <c r="D174" s="123"/>
      <c r="E174" s="123"/>
      <c r="F174" s="104"/>
      <c r="G174" s="125"/>
      <c r="H174" s="123"/>
      <c r="I174" s="124"/>
      <c r="J174" s="123"/>
      <c r="K174" s="123"/>
      <c r="L174" s="124"/>
      <c r="M174" s="123"/>
      <c r="N174" s="123"/>
      <c r="O174" s="111"/>
      <c r="P174" s="105"/>
      <c r="Q174" s="105"/>
    </row>
    <row r="175" spans="1:17" s="106" customFormat="1">
      <c r="A175" s="104"/>
      <c r="B175" s="122" t="s">
        <v>105</v>
      </c>
      <c r="C175" s="127"/>
      <c r="D175" s="123"/>
      <c r="E175" s="123"/>
      <c r="F175" s="104"/>
      <c r="G175" s="125"/>
      <c r="H175" s="123"/>
      <c r="I175" s="124"/>
      <c r="J175" s="123"/>
      <c r="K175" s="123"/>
      <c r="L175" s="124"/>
      <c r="M175" s="123"/>
      <c r="N175" s="123"/>
      <c r="O175" s="111"/>
      <c r="P175" s="105"/>
      <c r="Q175" s="105"/>
    </row>
    <row r="176" spans="1:17" s="106" customFormat="1" ht="18" customHeight="1">
      <c r="A176" s="121"/>
      <c r="B176" s="128" t="s">
        <v>173</v>
      </c>
      <c r="C176" s="129"/>
      <c r="D176" s="130">
        <f>SUM(D165:D175)</f>
        <v>518.02499999999998</v>
      </c>
      <c r="E176" s="131">
        <f>SUM(E165:E175)</f>
        <v>2123128.7460000003</v>
      </c>
      <c r="F176" s="132"/>
      <c r="G176" s="130">
        <f>SUM(G165:G175)</f>
        <v>0</v>
      </c>
      <c r="H176" s="131">
        <f>SUM(H165:H175)</f>
        <v>0</v>
      </c>
      <c r="I176" s="132"/>
      <c r="J176" s="130">
        <f>SUM(J165:J175)</f>
        <v>0</v>
      </c>
      <c r="K176" s="131">
        <f>SUM(K165:K175)</f>
        <v>2123128.7460000003</v>
      </c>
      <c r="L176" s="132"/>
      <c r="M176" s="130">
        <f>SUM(M165:M175)</f>
        <v>0</v>
      </c>
      <c r="N176" s="131">
        <f>SUM(N165:N175)</f>
        <v>2123128.7460000003</v>
      </c>
      <c r="O176" s="111"/>
      <c r="P176" s="134">
        <f>+D176+G176+J176+M176</f>
        <v>518.02499999999998</v>
      </c>
      <c r="Q176" s="134">
        <f>+E176+H176+K176+N176</f>
        <v>6369386.2380000008</v>
      </c>
    </row>
    <row r="177" spans="1:17" s="106" customFormat="1" ht="15" thickBot="1">
      <c r="A177" s="104"/>
      <c r="B177" s="104"/>
      <c r="C177" s="117"/>
      <c r="D177" s="117"/>
      <c r="E177" s="117"/>
      <c r="F177" s="117"/>
      <c r="G177" s="117"/>
      <c r="H177" s="117"/>
      <c r="I177" s="117"/>
      <c r="J177" s="117"/>
      <c r="K177" s="117"/>
      <c r="L177" s="117"/>
      <c r="M177" s="117"/>
      <c r="N177" s="117"/>
      <c r="O177" s="104"/>
      <c r="P177" s="105"/>
      <c r="Q177" s="105"/>
    </row>
    <row r="178" spans="1:17" s="106" customFormat="1" ht="15" thickBot="1">
      <c r="A178" s="113"/>
      <c r="B178" s="118" t="s">
        <v>174</v>
      </c>
      <c r="C178" s="119"/>
      <c r="D178" s="120"/>
      <c r="E178" s="120"/>
      <c r="F178" s="120"/>
      <c r="G178" s="120"/>
      <c r="H178" s="120"/>
      <c r="I178" s="120"/>
      <c r="J178" s="120"/>
      <c r="K178" s="120"/>
      <c r="L178" s="120"/>
      <c r="M178" s="120"/>
      <c r="N178" s="120"/>
      <c r="O178" s="111"/>
      <c r="P178" s="105"/>
      <c r="Q178" s="105"/>
    </row>
    <row r="179" spans="1:17" s="106" customFormat="1">
      <c r="A179" s="104"/>
      <c r="B179" s="122" t="s">
        <v>175</v>
      </c>
      <c r="C179" s="122"/>
      <c r="D179" s="123"/>
      <c r="E179" s="123"/>
      <c r="F179" s="104"/>
      <c r="G179" s="125"/>
      <c r="H179" s="123"/>
      <c r="I179" s="124"/>
      <c r="J179" s="123"/>
      <c r="K179" s="123"/>
      <c r="L179" s="124"/>
      <c r="M179" s="123"/>
      <c r="N179" s="123"/>
      <c r="O179" s="111"/>
      <c r="P179" s="105"/>
      <c r="Q179" s="105"/>
    </row>
    <row r="180" spans="1:17" s="106" customFormat="1">
      <c r="A180" s="104"/>
      <c r="B180" s="122" t="s">
        <v>176</v>
      </c>
      <c r="C180" s="122"/>
      <c r="D180" s="123"/>
      <c r="E180" s="123"/>
      <c r="F180" s="104"/>
      <c r="G180" s="125"/>
      <c r="H180" s="123"/>
      <c r="I180" s="124"/>
      <c r="J180" s="123"/>
      <c r="K180" s="123"/>
      <c r="L180" s="124"/>
      <c r="M180" s="123"/>
      <c r="N180" s="123"/>
      <c r="O180" s="111"/>
      <c r="P180" s="105"/>
      <c r="Q180" s="105"/>
    </row>
    <row r="181" spans="1:17" s="106" customFormat="1">
      <c r="A181" s="104"/>
      <c r="B181" s="122" t="s">
        <v>177</v>
      </c>
      <c r="C181" s="122" t="s">
        <v>111</v>
      </c>
      <c r="D181" s="123"/>
      <c r="E181" s="123"/>
      <c r="F181" s="104"/>
      <c r="G181" s="125"/>
      <c r="H181" s="123"/>
      <c r="I181" s="124"/>
      <c r="J181" s="123"/>
      <c r="K181" s="123"/>
      <c r="L181" s="124"/>
      <c r="M181" s="123"/>
      <c r="N181" s="123"/>
      <c r="O181" s="111"/>
      <c r="P181" s="105"/>
      <c r="Q181" s="105"/>
    </row>
    <row r="182" spans="1:17" s="106" customFormat="1">
      <c r="A182" s="104"/>
      <c r="B182" s="122" t="s">
        <v>163</v>
      </c>
      <c r="C182" s="122" t="s">
        <v>111</v>
      </c>
      <c r="D182" s="123"/>
      <c r="E182" s="123"/>
      <c r="F182" s="104"/>
      <c r="G182" s="125"/>
      <c r="H182" s="123"/>
      <c r="I182" s="124"/>
      <c r="J182" s="123"/>
      <c r="K182" s="123"/>
      <c r="L182" s="124"/>
      <c r="M182" s="123"/>
      <c r="N182" s="123"/>
      <c r="O182" s="111"/>
      <c r="P182" s="105"/>
      <c r="Q182" s="105"/>
    </row>
    <row r="183" spans="1:17" s="106" customFormat="1">
      <c r="A183" s="104"/>
      <c r="B183" s="122" t="s">
        <v>105</v>
      </c>
      <c r="C183" s="122" t="s">
        <v>111</v>
      </c>
      <c r="D183" s="147">
        <v>1658.721</v>
      </c>
      <c r="E183" s="147">
        <v>39974.449999999997</v>
      </c>
      <c r="F183" s="104"/>
      <c r="G183" s="125"/>
      <c r="H183" s="123"/>
      <c r="I183" s="124"/>
      <c r="J183" s="123"/>
      <c r="K183" s="123"/>
      <c r="L183" s="124"/>
      <c r="M183" s="123"/>
      <c r="N183" s="123"/>
      <c r="O183" s="111"/>
      <c r="P183" s="105"/>
      <c r="Q183" s="105"/>
    </row>
    <row r="184" spans="1:17" s="106" customFormat="1" ht="18" customHeight="1">
      <c r="A184" s="121"/>
      <c r="B184" s="128" t="s">
        <v>178</v>
      </c>
      <c r="C184" s="129"/>
      <c r="D184" s="130">
        <f>SUM(D179:D183)</f>
        <v>1658.721</v>
      </c>
      <c r="E184" s="130">
        <f>SUM(E179:E183)</f>
        <v>39974.449999999997</v>
      </c>
      <c r="F184" s="132"/>
      <c r="G184" s="130">
        <f>SUM(G179:G183)</f>
        <v>0</v>
      </c>
      <c r="H184" s="130">
        <f>SUM(H179:H183)</f>
        <v>0</v>
      </c>
      <c r="I184" s="132"/>
      <c r="J184" s="130">
        <f>SUM(J179:J183)</f>
        <v>0</v>
      </c>
      <c r="K184" s="130">
        <f>SUM(K179:K183)</f>
        <v>0</v>
      </c>
      <c r="L184" s="132"/>
      <c r="M184" s="130">
        <f>SUM(M179:M183)</f>
        <v>0</v>
      </c>
      <c r="N184" s="130">
        <f>SUM(N179:N183)</f>
        <v>0</v>
      </c>
      <c r="O184" s="111"/>
      <c r="P184" s="134">
        <f>+D184+G184+J184+M184</f>
        <v>1658.721</v>
      </c>
      <c r="Q184" s="134">
        <f>+E184+H184+K184+N184</f>
        <v>39974.449999999997</v>
      </c>
    </row>
    <row r="185" spans="1:17" s="106" customFormat="1" ht="15" thickBot="1">
      <c r="A185" s="104"/>
      <c r="B185" s="104"/>
      <c r="C185" s="117"/>
      <c r="D185" s="117"/>
      <c r="E185" s="117"/>
      <c r="F185" s="117"/>
      <c r="G185" s="117"/>
      <c r="H185" s="117"/>
      <c r="I185" s="117"/>
      <c r="J185" s="117"/>
      <c r="K185" s="117"/>
      <c r="L185" s="117"/>
      <c r="M185" s="117"/>
      <c r="N185" s="117"/>
      <c r="O185" s="104"/>
      <c r="P185" s="105"/>
      <c r="Q185" s="105"/>
    </row>
    <row r="186" spans="1:17" s="106" customFormat="1" ht="15" thickBot="1">
      <c r="A186" s="113"/>
      <c r="B186" s="118" t="s">
        <v>179</v>
      </c>
      <c r="C186" s="119"/>
      <c r="D186" s="120"/>
      <c r="E186" s="120"/>
      <c r="F186" s="120"/>
      <c r="G186" s="120"/>
      <c r="H186" s="120"/>
      <c r="I186" s="120"/>
      <c r="J186" s="120"/>
      <c r="K186" s="120"/>
      <c r="L186" s="120"/>
      <c r="M186" s="120"/>
      <c r="N186" s="120"/>
      <c r="O186" s="111"/>
      <c r="P186" s="105"/>
      <c r="Q186" s="105"/>
    </row>
    <row r="187" spans="1:17" s="106" customFormat="1">
      <c r="A187" s="104"/>
      <c r="B187" s="122" t="s">
        <v>179</v>
      </c>
      <c r="C187" s="122" t="s">
        <v>152</v>
      </c>
      <c r="D187" s="123"/>
      <c r="E187" s="123"/>
      <c r="F187" s="104"/>
      <c r="G187" s="125"/>
      <c r="H187" s="123"/>
      <c r="I187" s="124"/>
      <c r="J187" s="123"/>
      <c r="K187" s="123"/>
      <c r="L187" s="124"/>
      <c r="M187" s="123"/>
      <c r="N187" s="123"/>
      <c r="O187" s="111"/>
      <c r="P187" s="105"/>
      <c r="Q187" s="105"/>
    </row>
    <row r="188" spans="1:17" s="106" customFormat="1" ht="18" customHeight="1">
      <c r="A188" s="121"/>
      <c r="B188" s="128" t="s">
        <v>180</v>
      </c>
      <c r="C188" s="129"/>
      <c r="D188" s="130">
        <f>SUM(D187)</f>
        <v>0</v>
      </c>
      <c r="E188" s="130">
        <f>SUM(E187)</f>
        <v>0</v>
      </c>
      <c r="F188" s="132"/>
      <c r="G188" s="130">
        <f>SUM(G187)</f>
        <v>0</v>
      </c>
      <c r="H188" s="130">
        <f>SUM(H187)</f>
        <v>0</v>
      </c>
      <c r="I188" s="132"/>
      <c r="J188" s="130">
        <f>SUM(J187)</f>
        <v>0</v>
      </c>
      <c r="K188" s="130">
        <f>SUM(K187)</f>
        <v>0</v>
      </c>
      <c r="L188" s="132"/>
      <c r="M188" s="130">
        <f>SUM(M187)</f>
        <v>0</v>
      </c>
      <c r="N188" s="130">
        <f>SUM(N187)</f>
        <v>0</v>
      </c>
      <c r="O188" s="111"/>
      <c r="P188" s="134">
        <f>+D188+G188+J188+M188</f>
        <v>0</v>
      </c>
      <c r="Q188" s="134">
        <f>+E188+H188+K188+N188</f>
        <v>0</v>
      </c>
    </row>
    <row r="189" spans="1:17" s="106" customFormat="1" ht="15" thickBot="1">
      <c r="A189" s="104"/>
      <c r="B189" s="104"/>
      <c r="C189" s="117"/>
      <c r="D189" s="117"/>
      <c r="E189" s="117"/>
      <c r="F189" s="117"/>
      <c r="G189" s="117"/>
      <c r="H189" s="117"/>
      <c r="I189" s="117"/>
      <c r="J189" s="117"/>
      <c r="K189" s="117"/>
      <c r="L189" s="117"/>
      <c r="M189" s="117"/>
      <c r="N189" s="117"/>
      <c r="O189" s="104"/>
      <c r="P189" s="105"/>
      <c r="Q189" s="105"/>
    </row>
    <row r="190" spans="1:17" s="106" customFormat="1" ht="15" thickBot="1">
      <c r="A190" s="113"/>
      <c r="B190" s="118" t="s">
        <v>181</v>
      </c>
      <c r="C190" s="119"/>
      <c r="D190" s="120"/>
      <c r="E190" s="120"/>
      <c r="F190" s="120"/>
      <c r="G190" s="120"/>
      <c r="H190" s="120"/>
      <c r="I190" s="120"/>
      <c r="J190" s="120"/>
      <c r="K190" s="120"/>
      <c r="L190" s="120"/>
      <c r="M190" s="120"/>
      <c r="N190" s="120"/>
      <c r="O190" s="111"/>
      <c r="P190" s="105"/>
      <c r="Q190" s="105"/>
    </row>
    <row r="191" spans="1:17" s="106" customFormat="1">
      <c r="A191" s="104"/>
      <c r="B191" s="122" t="s">
        <v>179</v>
      </c>
      <c r="C191" s="122"/>
      <c r="D191" s="123"/>
      <c r="E191" s="123"/>
      <c r="F191" s="104"/>
      <c r="G191" s="125"/>
      <c r="H191" s="123"/>
      <c r="I191" s="124"/>
      <c r="J191" s="123"/>
      <c r="K191" s="123"/>
      <c r="L191" s="124"/>
      <c r="M191" s="123"/>
      <c r="N191" s="123"/>
      <c r="O191" s="111"/>
      <c r="P191" s="105"/>
      <c r="Q191" s="105"/>
    </row>
    <row r="192" spans="1:17" s="106" customFormat="1">
      <c r="A192" s="104"/>
      <c r="B192" s="122" t="s">
        <v>167</v>
      </c>
      <c r="C192" s="122"/>
      <c r="D192" s="123"/>
      <c r="E192" s="123"/>
      <c r="F192" s="104"/>
      <c r="G192" s="125"/>
      <c r="H192" s="123"/>
      <c r="I192" s="124"/>
      <c r="J192" s="123"/>
      <c r="K192" s="123"/>
      <c r="L192" s="124"/>
      <c r="M192" s="123"/>
      <c r="N192" s="123"/>
      <c r="O192" s="111"/>
      <c r="P192" s="105"/>
      <c r="Q192" s="105"/>
    </row>
    <row r="193" spans="1:17" s="106" customFormat="1" ht="18" customHeight="1">
      <c r="A193" s="121"/>
      <c r="B193" s="128" t="s">
        <v>182</v>
      </c>
      <c r="C193" s="129"/>
      <c r="D193" s="130">
        <f>SUM(D191:D192)</f>
        <v>0</v>
      </c>
      <c r="E193" s="130">
        <f>SUM(E191:E192)</f>
        <v>0</v>
      </c>
      <c r="F193" s="132"/>
      <c r="G193" s="130">
        <f>SUM(G191:G192)</f>
        <v>0</v>
      </c>
      <c r="H193" s="130">
        <f>SUM(H191:H192)</f>
        <v>0</v>
      </c>
      <c r="I193" s="132"/>
      <c r="J193" s="130">
        <f>SUM(J191:J192)</f>
        <v>0</v>
      </c>
      <c r="K193" s="130">
        <f>SUM(K191:K192)</f>
        <v>0</v>
      </c>
      <c r="L193" s="132"/>
      <c r="M193" s="130">
        <f>SUM(M191:M192)</f>
        <v>0</v>
      </c>
      <c r="N193" s="130">
        <f>SUM(N191:N192)</f>
        <v>0</v>
      </c>
      <c r="O193" s="111"/>
      <c r="P193" s="134">
        <f>+D193+G193+J193+M193</f>
        <v>0</v>
      </c>
      <c r="Q193" s="134">
        <f>+E193+H193+K193+N193</f>
        <v>0</v>
      </c>
    </row>
    <row r="194" spans="1:17" s="106" customFormat="1" ht="15" thickBot="1">
      <c r="A194" s="104"/>
      <c r="B194" s="104"/>
      <c r="C194" s="117"/>
      <c r="D194" s="117"/>
      <c r="E194" s="117"/>
      <c r="F194" s="117"/>
      <c r="G194" s="117"/>
      <c r="H194" s="117"/>
      <c r="I194" s="117"/>
      <c r="J194" s="117"/>
      <c r="K194" s="117"/>
      <c r="L194" s="117"/>
      <c r="M194" s="117"/>
      <c r="N194" s="117"/>
      <c r="O194" s="104"/>
      <c r="P194" s="105"/>
      <c r="Q194" s="105"/>
    </row>
    <row r="195" spans="1:17" s="106" customFormat="1" ht="15" thickBot="1">
      <c r="A195" s="113"/>
      <c r="B195" s="118" t="s">
        <v>183</v>
      </c>
      <c r="C195" s="119"/>
      <c r="D195" s="120"/>
      <c r="E195" s="120"/>
      <c r="F195" s="120"/>
      <c r="G195" s="120"/>
      <c r="H195" s="120"/>
      <c r="I195" s="120"/>
      <c r="J195" s="120"/>
      <c r="K195" s="120"/>
      <c r="L195" s="120"/>
      <c r="M195" s="120"/>
      <c r="N195" s="120"/>
      <c r="O195" s="111"/>
      <c r="P195" s="105"/>
      <c r="Q195" s="105"/>
    </row>
    <row r="196" spans="1:17" s="106" customFormat="1">
      <c r="A196" s="104"/>
      <c r="B196" s="122" t="s">
        <v>184</v>
      </c>
      <c r="C196" s="122" t="s">
        <v>165</v>
      </c>
      <c r="D196" s="123"/>
      <c r="E196" s="123"/>
      <c r="F196" s="104"/>
      <c r="G196" s="125"/>
      <c r="H196" s="123"/>
      <c r="I196" s="124"/>
      <c r="J196" s="123"/>
      <c r="K196" s="123"/>
      <c r="L196" s="124"/>
      <c r="M196" s="123"/>
      <c r="N196" s="123"/>
      <c r="O196" s="111"/>
      <c r="P196" s="105"/>
      <c r="Q196" s="105"/>
    </row>
    <row r="197" spans="1:17" s="106" customFormat="1">
      <c r="A197" s="104"/>
      <c r="B197" s="122" t="s">
        <v>103</v>
      </c>
      <c r="C197" s="122" t="s">
        <v>165</v>
      </c>
      <c r="D197" s="147">
        <v>9.1370000000000005</v>
      </c>
      <c r="E197" s="147">
        <v>35281.133999999998</v>
      </c>
      <c r="F197" s="104"/>
      <c r="G197" s="125"/>
      <c r="H197" s="123"/>
      <c r="I197" s="124"/>
      <c r="J197" s="123"/>
      <c r="K197" s="123">
        <f>+E197</f>
        <v>35281.133999999998</v>
      </c>
      <c r="L197" s="124"/>
      <c r="M197" s="123"/>
      <c r="N197" s="123">
        <f>+K197</f>
        <v>35281.133999999998</v>
      </c>
      <c r="O197" s="111"/>
      <c r="P197" s="105"/>
      <c r="Q197" s="105"/>
    </row>
    <row r="198" spans="1:17" s="106" customFormat="1">
      <c r="A198" s="104"/>
      <c r="B198" s="122" t="s">
        <v>185</v>
      </c>
      <c r="C198" s="122"/>
      <c r="D198" s="123"/>
      <c r="E198" s="123"/>
      <c r="F198" s="104"/>
      <c r="G198" s="125"/>
      <c r="H198" s="123"/>
      <c r="I198" s="124"/>
      <c r="J198" s="123"/>
      <c r="K198" s="123"/>
      <c r="L198" s="124"/>
      <c r="M198" s="123"/>
      <c r="N198" s="123"/>
      <c r="O198" s="111"/>
      <c r="P198" s="105"/>
      <c r="Q198" s="105"/>
    </row>
    <row r="199" spans="1:17" s="106" customFormat="1">
      <c r="A199" s="104"/>
      <c r="B199" s="122" t="s">
        <v>186</v>
      </c>
      <c r="C199" s="122"/>
      <c r="D199" s="123"/>
      <c r="E199" s="123"/>
      <c r="F199" s="104"/>
      <c r="G199" s="125"/>
      <c r="H199" s="123"/>
      <c r="I199" s="124"/>
      <c r="J199" s="123"/>
      <c r="K199" s="123"/>
      <c r="L199" s="124"/>
      <c r="M199" s="123"/>
      <c r="N199" s="123"/>
      <c r="O199" s="111"/>
      <c r="P199" s="105"/>
      <c r="Q199" s="105"/>
    </row>
    <row r="200" spans="1:17" s="106" customFormat="1">
      <c r="A200" s="104"/>
      <c r="B200" s="122" t="s">
        <v>187</v>
      </c>
      <c r="C200" s="122"/>
      <c r="D200" s="123"/>
      <c r="E200" s="123"/>
      <c r="F200" s="104"/>
      <c r="G200" s="125"/>
      <c r="H200" s="123"/>
      <c r="I200" s="124"/>
      <c r="J200" s="123"/>
      <c r="K200" s="123"/>
      <c r="L200" s="124"/>
      <c r="M200" s="123"/>
      <c r="N200" s="123"/>
      <c r="O200" s="111"/>
      <c r="P200" s="105"/>
      <c r="Q200" s="105"/>
    </row>
    <row r="201" spans="1:17" s="106" customFormat="1" ht="18" customHeight="1">
      <c r="A201" s="121"/>
      <c r="B201" s="128" t="s">
        <v>188</v>
      </c>
      <c r="C201" s="129"/>
      <c r="D201" s="130">
        <f>SUM(D196:D200)</f>
        <v>9.1370000000000005</v>
      </c>
      <c r="E201" s="130">
        <f>SUM(E196:E200)</f>
        <v>35281.133999999998</v>
      </c>
      <c r="F201" s="132"/>
      <c r="G201" s="130">
        <f>SUM(G196:G200)</f>
        <v>0</v>
      </c>
      <c r="H201" s="130">
        <f>SUM(H196:H200)</f>
        <v>0</v>
      </c>
      <c r="I201" s="132"/>
      <c r="J201" s="130">
        <f>SUM(J196:J200)</f>
        <v>0</v>
      </c>
      <c r="K201" s="130">
        <f>SUM(K196:K200)</f>
        <v>35281.133999999998</v>
      </c>
      <c r="L201" s="132"/>
      <c r="M201" s="130">
        <f>SUM(M196:M200)</f>
        <v>0</v>
      </c>
      <c r="N201" s="130">
        <f>SUM(N196:N200)</f>
        <v>35281.133999999998</v>
      </c>
      <c r="O201" s="111"/>
      <c r="P201" s="134">
        <f>+D201+G201+J201+M201</f>
        <v>9.1370000000000005</v>
      </c>
      <c r="Q201" s="134">
        <f>+E201+H201+K201+N201</f>
        <v>105843.402</v>
      </c>
    </row>
    <row r="202" spans="1:17" s="106" customFormat="1" ht="15" thickBot="1">
      <c r="A202" s="104"/>
      <c r="B202" s="104"/>
      <c r="C202" s="117"/>
      <c r="D202" s="117"/>
      <c r="E202" s="117"/>
      <c r="F202" s="117"/>
      <c r="G202" s="117"/>
      <c r="H202" s="117"/>
      <c r="I202" s="117"/>
      <c r="J202" s="117"/>
      <c r="K202" s="117"/>
      <c r="L202" s="117"/>
      <c r="M202" s="117"/>
      <c r="N202" s="117"/>
      <c r="O202" s="104"/>
      <c r="P202" s="105"/>
      <c r="Q202" s="105"/>
    </row>
    <row r="203" spans="1:17" s="106" customFormat="1" ht="15" thickBot="1">
      <c r="A203" s="113"/>
      <c r="B203" s="118" t="s">
        <v>189</v>
      </c>
      <c r="C203" s="119"/>
      <c r="D203" s="120"/>
      <c r="E203" s="120"/>
      <c r="F203" s="120"/>
      <c r="G203" s="120"/>
      <c r="H203" s="120"/>
      <c r="I203" s="120"/>
      <c r="J203" s="120"/>
      <c r="K203" s="120"/>
      <c r="L203" s="120"/>
      <c r="M203" s="120"/>
      <c r="N203" s="120"/>
      <c r="O203" s="111"/>
      <c r="P203" s="105"/>
      <c r="Q203" s="105"/>
    </row>
    <row r="204" spans="1:17" s="106" customFormat="1">
      <c r="A204" s="104"/>
      <c r="B204" s="122" t="s">
        <v>190</v>
      </c>
      <c r="C204" s="122" t="s">
        <v>165</v>
      </c>
      <c r="D204" s="123"/>
      <c r="E204" s="123"/>
      <c r="F204" s="104"/>
      <c r="G204" s="125"/>
      <c r="H204" s="123"/>
      <c r="I204" s="124"/>
      <c r="J204" s="123"/>
      <c r="K204" s="123"/>
      <c r="L204" s="124"/>
      <c r="M204" s="123"/>
      <c r="N204" s="123"/>
      <c r="O204" s="104"/>
      <c r="P204" s="105"/>
      <c r="Q204" s="105"/>
    </row>
    <row r="205" spans="1:17" s="106" customFormat="1">
      <c r="A205" s="104"/>
      <c r="B205" s="122" t="s">
        <v>191</v>
      </c>
      <c r="C205" s="122" t="s">
        <v>192</v>
      </c>
      <c r="D205" s="123"/>
      <c r="E205" s="123"/>
      <c r="F205" s="104"/>
      <c r="G205" s="125"/>
      <c r="H205" s="123"/>
      <c r="I205" s="124"/>
      <c r="J205" s="123"/>
      <c r="K205" s="123"/>
      <c r="L205" s="124"/>
      <c r="M205" s="123"/>
      <c r="N205" s="123"/>
      <c r="O205" s="104"/>
      <c r="P205" s="105"/>
      <c r="Q205" s="105"/>
    </row>
    <row r="206" spans="1:17" s="106" customFormat="1">
      <c r="A206" s="104"/>
      <c r="B206" s="122" t="s">
        <v>193</v>
      </c>
      <c r="C206" s="122"/>
      <c r="D206" s="123"/>
      <c r="E206" s="123"/>
      <c r="F206" s="104"/>
      <c r="G206" s="125"/>
      <c r="H206" s="123"/>
      <c r="I206" s="124"/>
      <c r="J206" s="123"/>
      <c r="K206" s="123"/>
      <c r="L206" s="124"/>
      <c r="M206" s="123"/>
      <c r="N206" s="123"/>
      <c r="O206" s="104"/>
      <c r="P206" s="105"/>
      <c r="Q206" s="105"/>
    </row>
    <row r="207" spans="1:17" s="106" customFormat="1" ht="18" customHeight="1">
      <c r="A207" s="121"/>
      <c r="B207" s="128" t="s">
        <v>194</v>
      </c>
      <c r="C207" s="129"/>
      <c r="D207" s="130">
        <f>SUM(D204:D206)</f>
        <v>0</v>
      </c>
      <c r="E207" s="130">
        <f>SUM(E204:E206)</f>
        <v>0</v>
      </c>
      <c r="F207" s="132"/>
      <c r="G207" s="130">
        <f>SUM(G204:G206)</f>
        <v>0</v>
      </c>
      <c r="H207" s="130">
        <f>SUM(H204:H206)</f>
        <v>0</v>
      </c>
      <c r="I207" s="132"/>
      <c r="J207" s="130">
        <f>SUM(J204:J206)</f>
        <v>0</v>
      </c>
      <c r="K207" s="130">
        <f>SUM(K204:K206)</f>
        <v>0</v>
      </c>
      <c r="L207" s="132"/>
      <c r="M207" s="130">
        <f>SUM(M204:M206)</f>
        <v>0</v>
      </c>
      <c r="N207" s="130">
        <f>SUM(N204:N206)</f>
        <v>0</v>
      </c>
      <c r="O207" s="111"/>
      <c r="P207" s="134">
        <f>+D207+G207+J207+M207</f>
        <v>0</v>
      </c>
      <c r="Q207" s="134">
        <f>+E207+H207+K207+N207</f>
        <v>0</v>
      </c>
    </row>
    <row r="208" spans="1:17" s="106" customFormat="1" ht="9" customHeight="1">
      <c r="A208" s="104"/>
      <c r="B208" s="136"/>
      <c r="C208" s="104"/>
      <c r="D208" s="104"/>
      <c r="E208" s="104"/>
      <c r="F208" s="104"/>
      <c r="G208" s="104"/>
      <c r="H208" s="104"/>
      <c r="I208" s="104"/>
      <c r="J208" s="104"/>
      <c r="K208" s="104"/>
      <c r="L208" s="104"/>
      <c r="M208" s="104"/>
      <c r="N208" s="104"/>
      <c r="O208" s="104"/>
      <c r="P208" s="105"/>
      <c r="Q208" s="105"/>
    </row>
    <row r="209" spans="1:17" s="106" customFormat="1" ht="15.75" thickBot="1">
      <c r="A209" s="104"/>
      <c r="B209" s="104"/>
      <c r="C209" s="104"/>
      <c r="D209" s="138">
        <f>+D207+D201+D193+D188+D184+D176+D162</f>
        <v>2312.4649999999997</v>
      </c>
      <c r="E209" s="138">
        <f>+E207+E201+E193+E188+E184+E176+E162</f>
        <v>2782297.3289999999</v>
      </c>
      <c r="F209" s="137"/>
      <c r="G209" s="138">
        <f>+G207+G201+G193+G188+G184+G176+G162</f>
        <v>0</v>
      </c>
      <c r="H209" s="138">
        <f>+H207+H201+H193+H188+H184+H176+H162</f>
        <v>0</v>
      </c>
      <c r="I209" s="137"/>
      <c r="J209" s="138">
        <f>+J207+J201+J193+J188+J184+J176+J162</f>
        <v>0</v>
      </c>
      <c r="K209" s="138">
        <f>+K207+K201+K193+K188+K184+K176+K162</f>
        <v>2742322.8790000002</v>
      </c>
      <c r="L209" s="137"/>
      <c r="M209" s="138">
        <f>+M207+M201+M193+M188+M184+M176+M162</f>
        <v>0</v>
      </c>
      <c r="N209" s="138">
        <f>+N207+N201+N193+N188+N184+N176+N162</f>
        <v>2742322.8790000002</v>
      </c>
      <c r="O209" s="137"/>
      <c r="P209" s="138">
        <f>+P207+P201+P193+P188+P184+P176+P162</f>
        <v>2312.4649999999997</v>
      </c>
      <c r="Q209" s="138">
        <f>+Q207+Q201+Q193+Q188+Q184+Q176+Q162</f>
        <v>8266943.0870000012</v>
      </c>
    </row>
    <row r="210" spans="1:17" s="106" customFormat="1" ht="15" thickTop="1">
      <c r="A210" s="104"/>
      <c r="B210" s="104"/>
      <c r="C210" s="137"/>
      <c r="D210" s="104"/>
      <c r="E210" s="104"/>
      <c r="F210" s="104"/>
      <c r="G210" s="104"/>
      <c r="H210" s="104"/>
      <c r="I210" s="104"/>
      <c r="J210" s="104"/>
      <c r="K210" s="104"/>
      <c r="L210" s="104"/>
      <c r="M210" s="104"/>
      <c r="N210" s="104"/>
      <c r="O210" s="104"/>
      <c r="P210" s="105"/>
      <c r="Q210" s="105"/>
    </row>
    <row r="211" spans="1:17" s="106" customFormat="1">
      <c r="A211" s="104"/>
      <c r="B211" s="136" t="s">
        <v>211</v>
      </c>
      <c r="C211" s="137"/>
      <c r="D211" s="104"/>
      <c r="E211" s="104"/>
      <c r="F211" s="104"/>
      <c r="G211" s="104"/>
      <c r="H211" s="104"/>
      <c r="I211" s="104"/>
      <c r="J211" s="104"/>
      <c r="K211" s="104"/>
      <c r="L211" s="104"/>
      <c r="M211" s="104"/>
      <c r="N211" s="104"/>
      <c r="O211" s="104"/>
      <c r="P211" s="105"/>
      <c r="Q211" s="105"/>
    </row>
    <row r="212" spans="1:17" s="106" customFormat="1">
      <c r="A212" s="104"/>
      <c r="B212" s="136" t="s">
        <v>212</v>
      </c>
      <c r="C212" s="137"/>
      <c r="D212" s="104"/>
      <c r="E212" s="104"/>
      <c r="F212" s="104"/>
      <c r="G212" s="104"/>
      <c r="H212" s="104"/>
      <c r="I212" s="104"/>
      <c r="J212" s="104"/>
      <c r="K212" s="104"/>
      <c r="L212" s="104"/>
      <c r="M212" s="104"/>
      <c r="N212" s="104"/>
      <c r="O212" s="104"/>
      <c r="P212" s="105"/>
      <c r="Q212" s="105"/>
    </row>
    <row r="213" spans="1:17" s="106" customFormat="1">
      <c r="A213" s="104"/>
      <c r="B213" s="146" t="s">
        <v>213</v>
      </c>
      <c r="C213" s="137"/>
      <c r="D213" s="104"/>
      <c r="E213" s="104"/>
      <c r="F213" s="104"/>
      <c r="G213" s="104"/>
      <c r="H213" s="104"/>
      <c r="I213" s="104"/>
      <c r="J213" s="104"/>
      <c r="K213" s="104"/>
      <c r="L213" s="104"/>
      <c r="M213" s="104"/>
      <c r="N213" s="104"/>
      <c r="O213" s="104"/>
      <c r="P213" s="105"/>
      <c r="Q213" s="105"/>
    </row>
    <row r="214" spans="1:17" s="106" customFormat="1">
      <c r="A214" s="104"/>
      <c r="B214" s="136" t="s">
        <v>214</v>
      </c>
      <c r="C214" s="136"/>
      <c r="D214" s="104"/>
      <c r="E214" s="104"/>
      <c r="F214" s="104"/>
      <c r="G214" s="104"/>
      <c r="H214" s="104"/>
      <c r="I214" s="104"/>
      <c r="J214" s="104"/>
      <c r="K214" s="104"/>
      <c r="L214" s="104"/>
      <c r="M214" s="104"/>
      <c r="N214" s="104"/>
      <c r="O214" s="104"/>
      <c r="P214" s="105"/>
      <c r="Q214" s="105"/>
    </row>
    <row r="215" spans="1:17" s="106" customFormat="1">
      <c r="A215" s="104"/>
      <c r="B215" s="136" t="s">
        <v>198</v>
      </c>
      <c r="C215" s="137"/>
      <c r="D215" s="104"/>
      <c r="E215" s="104"/>
      <c r="F215" s="104"/>
      <c r="G215" s="104"/>
      <c r="H215" s="104"/>
      <c r="I215" s="104"/>
      <c r="J215" s="104"/>
      <c r="K215" s="104"/>
      <c r="L215" s="104"/>
      <c r="M215" s="104"/>
      <c r="N215" s="104"/>
      <c r="O215" s="104"/>
      <c r="P215" s="105"/>
      <c r="Q215" s="105"/>
    </row>
    <row r="216" spans="1:17" s="106" customFormat="1">
      <c r="A216" s="104"/>
      <c r="B216" s="136" t="s">
        <v>199</v>
      </c>
      <c r="C216" s="136"/>
      <c r="D216" s="104"/>
      <c r="E216" s="104"/>
      <c r="F216" s="104"/>
      <c r="G216" s="104"/>
      <c r="H216" s="104"/>
      <c r="I216" s="104"/>
      <c r="J216" s="104"/>
      <c r="K216" s="104"/>
      <c r="L216" s="104"/>
      <c r="M216" s="104"/>
      <c r="N216" s="104"/>
      <c r="O216" s="104"/>
      <c r="P216" s="105"/>
      <c r="Q216" s="105"/>
    </row>
    <row r="217" spans="1:17" s="106" customFormat="1">
      <c r="A217" s="104"/>
      <c r="B217" s="136"/>
      <c r="C217" s="104"/>
      <c r="D217" s="104"/>
      <c r="E217" s="104"/>
      <c r="F217" s="104"/>
      <c r="G217" s="104"/>
      <c r="H217" s="104"/>
      <c r="I217" s="104"/>
      <c r="J217" s="104"/>
      <c r="K217" s="104"/>
      <c r="L217" s="104"/>
      <c r="M217" s="104"/>
      <c r="N217" s="104"/>
      <c r="O217" s="104"/>
      <c r="P217" s="105"/>
      <c r="Q217" s="105"/>
    </row>
    <row r="218" spans="1:17" s="106" customFormat="1" ht="18">
      <c r="A218" s="103" t="s">
        <v>215</v>
      </c>
      <c r="B218" s="104"/>
      <c r="C218" s="104"/>
      <c r="D218" s="104"/>
      <c r="E218" s="104"/>
      <c r="F218" s="104"/>
      <c r="G218" s="104"/>
      <c r="H218" s="104"/>
      <c r="I218" s="104"/>
      <c r="J218" s="104"/>
      <c r="K218" s="104"/>
      <c r="L218" s="104"/>
      <c r="M218" s="104"/>
      <c r="N218" s="104"/>
      <c r="O218" s="104"/>
      <c r="P218" s="105"/>
      <c r="Q218" s="105"/>
    </row>
    <row r="220" spans="1:17" s="106" customFormat="1" ht="15">
      <c r="A220" s="107"/>
      <c r="B220" s="107"/>
      <c r="C220" s="107"/>
      <c r="D220" s="615">
        <v>2012</v>
      </c>
      <c r="E220" s="615"/>
      <c r="F220" s="108"/>
      <c r="G220" s="616"/>
      <c r="H220" s="616"/>
      <c r="I220" s="109"/>
      <c r="J220" s="616">
        <v>2013</v>
      </c>
      <c r="K220" s="616"/>
      <c r="L220" s="109"/>
      <c r="M220" s="616">
        <v>2014</v>
      </c>
      <c r="N220" s="616"/>
      <c r="O220" s="107"/>
      <c r="P220" s="105"/>
      <c r="Q220" s="105"/>
    </row>
    <row r="221" spans="1:17" s="106" customFormat="1" ht="18">
      <c r="A221" s="110"/>
      <c r="B221" s="111"/>
      <c r="C221" s="111"/>
      <c r="D221" s="617" t="s">
        <v>145</v>
      </c>
      <c r="E221" s="617"/>
      <c r="F221" s="112"/>
      <c r="G221" s="616" t="s">
        <v>209</v>
      </c>
      <c r="H221" s="616"/>
      <c r="I221" s="616"/>
      <c r="J221" s="616"/>
      <c r="K221" s="616"/>
      <c r="L221" s="616"/>
      <c r="M221" s="616"/>
      <c r="N221" s="616"/>
      <c r="O221" s="111"/>
      <c r="P221" s="105"/>
      <c r="Q221" s="105"/>
    </row>
    <row r="222" spans="1:17" s="106" customFormat="1" ht="15">
      <c r="A222" s="104"/>
      <c r="B222" s="104"/>
      <c r="C222" s="104"/>
      <c r="D222" s="104"/>
      <c r="E222" s="104"/>
      <c r="F222" s="104"/>
      <c r="G222" s="104"/>
      <c r="H222" s="104"/>
      <c r="I222" s="104"/>
      <c r="J222" s="104"/>
      <c r="K222" s="104"/>
      <c r="L222" s="104"/>
      <c r="M222" s="104"/>
      <c r="N222" s="104"/>
      <c r="O222" s="104"/>
      <c r="P222" s="614" t="s">
        <v>5</v>
      </c>
      <c r="Q222" s="614"/>
    </row>
    <row r="223" spans="1:17" s="106" customFormat="1" ht="51">
      <c r="A223" s="104"/>
      <c r="B223" s="114" t="s">
        <v>216</v>
      </c>
      <c r="C223" s="114"/>
      <c r="D223" s="115" t="str">
        <f>+$D$6</f>
        <v>Peak Demand Savings (kW)</v>
      </c>
      <c r="E223" s="115" t="str">
        <f>+$E$6</f>
        <v>Energy Savings (kWh)</v>
      </c>
      <c r="G223" s="115" t="str">
        <f>+$G$6</f>
        <v>Peak Demand Savings (kW)</v>
      </c>
      <c r="H223" s="115" t="str">
        <f>+$H$6</f>
        <v>Energy Savings (kWh)</v>
      </c>
      <c r="J223" s="115" t="str">
        <f>+$J$6</f>
        <v>Peak Demand Savings (kW)</v>
      </c>
      <c r="K223" s="115" t="str">
        <f>+$K$6</f>
        <v>Energy Savings (kWh)</v>
      </c>
      <c r="M223" s="115" t="str">
        <f>+$M$6</f>
        <v>Peak Demand Savings (kW)</v>
      </c>
      <c r="N223" s="115" t="str">
        <f>+$N$6</f>
        <v>Energy Savings (kWh)</v>
      </c>
      <c r="O223" s="104"/>
      <c r="P223" s="116" t="str">
        <f>+$P$6</f>
        <v>Peak Demand Savings (kW)</v>
      </c>
      <c r="Q223" s="116" t="str">
        <f>+$Q$6</f>
        <v>Energy Savings (kWh)</v>
      </c>
    </row>
    <row r="224" spans="1:17" s="106" customFormat="1" ht="15" thickBot="1">
      <c r="A224" s="104"/>
      <c r="B224" s="117"/>
      <c r="C224" s="117"/>
      <c r="D224" s="117"/>
      <c r="E224" s="117"/>
      <c r="F224" s="117"/>
      <c r="G224" s="117"/>
      <c r="H224" s="117"/>
      <c r="I224" s="117"/>
      <c r="J224" s="117"/>
      <c r="K224" s="117"/>
      <c r="L224" s="117"/>
      <c r="M224" s="117"/>
      <c r="N224" s="117"/>
      <c r="O224" s="104"/>
      <c r="P224" s="105"/>
      <c r="Q224" s="105"/>
    </row>
    <row r="225" spans="1:17" s="106" customFormat="1" ht="15" thickBot="1">
      <c r="A225" s="104"/>
      <c r="B225" s="118" t="s">
        <v>150</v>
      </c>
      <c r="C225" s="119"/>
      <c r="D225" s="120"/>
      <c r="E225" s="120"/>
      <c r="F225" s="120"/>
      <c r="G225" s="120"/>
      <c r="H225" s="120"/>
      <c r="I225" s="120"/>
      <c r="J225" s="120"/>
      <c r="K225" s="120"/>
      <c r="L225" s="120"/>
      <c r="M225" s="120"/>
      <c r="N225" s="120"/>
      <c r="O225" s="104"/>
      <c r="P225" s="105"/>
      <c r="Q225" s="105"/>
    </row>
    <row r="226" spans="1:17" s="106" customFormat="1">
      <c r="A226" s="104"/>
      <c r="B226" s="122" t="s">
        <v>151</v>
      </c>
      <c r="C226" s="122" t="s">
        <v>152</v>
      </c>
      <c r="D226" s="123"/>
      <c r="E226" s="123"/>
      <c r="F226" s="124"/>
      <c r="G226" s="123"/>
      <c r="H226" s="123"/>
      <c r="I226" s="124"/>
      <c r="J226" s="123"/>
      <c r="K226" s="123"/>
      <c r="L226" s="124"/>
      <c r="M226" s="123"/>
      <c r="N226" s="123"/>
      <c r="O226" s="104"/>
      <c r="P226" s="105"/>
      <c r="Q226" s="105"/>
    </row>
    <row r="227" spans="1:17" s="106" customFormat="1">
      <c r="A227" s="104"/>
      <c r="B227" s="122" t="s">
        <v>153</v>
      </c>
      <c r="C227" s="122" t="s">
        <v>152</v>
      </c>
      <c r="D227" s="125"/>
      <c r="E227" s="125"/>
      <c r="F227" s="124"/>
      <c r="G227" s="125"/>
      <c r="H227" s="123"/>
      <c r="I227" s="124"/>
      <c r="J227" s="123"/>
      <c r="K227" s="123"/>
      <c r="L227" s="124"/>
      <c r="M227" s="123"/>
      <c r="N227" s="123"/>
      <c r="O227" s="104"/>
      <c r="P227" s="105"/>
      <c r="Q227" s="105"/>
    </row>
    <row r="228" spans="1:17" s="106" customFormat="1">
      <c r="A228" s="104"/>
      <c r="B228" s="122" t="s">
        <v>154</v>
      </c>
      <c r="C228" s="122" t="s">
        <v>152</v>
      </c>
      <c r="D228" s="147">
        <v>3.415</v>
      </c>
      <c r="E228" s="147">
        <v>7366.0910000000003</v>
      </c>
      <c r="F228" s="124"/>
      <c r="G228" s="125"/>
      <c r="H228" s="123"/>
      <c r="I228" s="124"/>
      <c r="J228" s="123"/>
      <c r="K228" s="123">
        <f>+E228</f>
        <v>7366.0910000000003</v>
      </c>
      <c r="L228" s="124"/>
      <c r="M228" s="149"/>
      <c r="N228" s="123">
        <f>+K228</f>
        <v>7366.0910000000003</v>
      </c>
      <c r="O228" s="104"/>
      <c r="P228" s="105"/>
      <c r="Q228" s="105"/>
    </row>
    <row r="229" spans="1:17" s="106" customFormat="1">
      <c r="A229" s="104"/>
      <c r="B229" s="122" t="s">
        <v>155</v>
      </c>
      <c r="C229" s="122" t="s">
        <v>152</v>
      </c>
      <c r="D229" s="150"/>
      <c r="E229" s="125"/>
      <c r="F229" s="124"/>
      <c r="G229" s="125"/>
      <c r="H229" s="123"/>
      <c r="I229" s="124"/>
      <c r="J229" s="123"/>
      <c r="K229" s="123"/>
      <c r="L229" s="124"/>
      <c r="M229" s="123"/>
      <c r="N229" s="123"/>
      <c r="O229" s="104"/>
      <c r="P229" s="105"/>
      <c r="Q229" s="105"/>
    </row>
    <row r="230" spans="1:17" s="106" customFormat="1">
      <c r="A230" s="104"/>
      <c r="B230" s="122" t="s">
        <v>156</v>
      </c>
      <c r="C230" s="122" t="s">
        <v>152</v>
      </c>
      <c r="D230" s="150"/>
      <c r="E230" s="125"/>
      <c r="F230" s="124"/>
      <c r="G230" s="125"/>
      <c r="H230" s="123"/>
      <c r="I230" s="124"/>
      <c r="J230" s="123"/>
      <c r="K230" s="123"/>
      <c r="L230" s="124"/>
      <c r="M230" s="123"/>
      <c r="N230" s="123"/>
      <c r="O230" s="104"/>
      <c r="P230" s="105"/>
      <c r="Q230" s="105"/>
    </row>
    <row r="231" spans="1:17" s="106" customFormat="1">
      <c r="A231" s="104"/>
      <c r="B231" s="122" t="s">
        <v>157</v>
      </c>
      <c r="C231" s="122" t="s">
        <v>152</v>
      </c>
      <c r="D231" s="123"/>
      <c r="E231" s="125"/>
      <c r="F231" s="124"/>
      <c r="G231" s="125"/>
      <c r="H231" s="123"/>
      <c r="I231" s="124"/>
      <c r="J231" s="123"/>
      <c r="K231" s="123"/>
      <c r="L231" s="124"/>
      <c r="M231" s="123"/>
      <c r="N231" s="123"/>
      <c r="O231" s="104"/>
      <c r="P231" s="105"/>
      <c r="Q231" s="105"/>
    </row>
    <row r="232" spans="1:17" s="106" customFormat="1">
      <c r="A232" s="104"/>
      <c r="B232" s="122" t="s">
        <v>158</v>
      </c>
      <c r="C232" s="122" t="s">
        <v>152</v>
      </c>
      <c r="D232" s="123"/>
      <c r="E232" s="125"/>
      <c r="F232" s="124"/>
      <c r="G232" s="125"/>
      <c r="H232" s="123"/>
      <c r="I232" s="124"/>
      <c r="J232" s="123"/>
      <c r="K232" s="123"/>
      <c r="L232" s="124"/>
      <c r="M232" s="123"/>
      <c r="N232" s="123"/>
      <c r="O232" s="104"/>
      <c r="P232" s="105"/>
      <c r="Q232" s="105"/>
    </row>
    <row r="233" spans="1:17" s="106" customFormat="1">
      <c r="A233" s="104"/>
      <c r="B233" s="122" t="s">
        <v>159</v>
      </c>
      <c r="C233" s="122" t="s">
        <v>152</v>
      </c>
      <c r="D233" s="123"/>
      <c r="E233" s="125"/>
      <c r="F233" s="124"/>
      <c r="G233" s="125"/>
      <c r="H233" s="123"/>
      <c r="I233" s="124"/>
      <c r="J233" s="123"/>
      <c r="K233" s="123"/>
      <c r="L233" s="124"/>
      <c r="M233" s="123"/>
      <c r="N233" s="123"/>
      <c r="O233" s="104"/>
      <c r="P233" s="105"/>
      <c r="Q233" s="105"/>
    </row>
    <row r="234" spans="1:17" s="106" customFormat="1">
      <c r="A234" s="104"/>
      <c r="B234" s="122" t="s">
        <v>160</v>
      </c>
      <c r="C234" s="127" t="s">
        <v>152</v>
      </c>
      <c r="D234" s="123"/>
      <c r="E234" s="125"/>
      <c r="F234" s="124"/>
      <c r="G234" s="125"/>
      <c r="H234" s="123"/>
      <c r="I234" s="124"/>
      <c r="J234" s="123"/>
      <c r="K234" s="123"/>
      <c r="L234" s="124"/>
      <c r="M234" s="123"/>
      <c r="N234" s="123"/>
      <c r="O234" s="104"/>
      <c r="P234" s="105"/>
      <c r="Q234" s="105"/>
    </row>
    <row r="235" spans="1:17" s="106" customFormat="1">
      <c r="A235" s="104"/>
      <c r="B235" s="128" t="s">
        <v>161</v>
      </c>
      <c r="C235" s="129"/>
      <c r="D235" s="130">
        <f>SUM(D226:D234)</f>
        <v>3.415</v>
      </c>
      <c r="E235" s="131">
        <f>SUM(E226:E234)</f>
        <v>7366.0910000000003</v>
      </c>
      <c r="F235" s="132"/>
      <c r="G235" s="131">
        <f>SUM(G226:G234)</f>
        <v>0</v>
      </c>
      <c r="H235" s="131">
        <f>SUM(H226:H234)</f>
        <v>0</v>
      </c>
      <c r="I235" s="132"/>
      <c r="J235" s="131">
        <f>SUM(J226:J234)</f>
        <v>0</v>
      </c>
      <c r="K235" s="131">
        <f>SUM(K226:K234)</f>
        <v>7366.0910000000003</v>
      </c>
      <c r="L235" s="132"/>
      <c r="M235" s="131">
        <f>SUM(M226:M234)</f>
        <v>0</v>
      </c>
      <c r="N235" s="131">
        <f>SUM(N226:N234)</f>
        <v>7366.0910000000003</v>
      </c>
      <c r="O235" s="104"/>
      <c r="P235" s="134">
        <f>+D235+G235+J235+M235</f>
        <v>3.415</v>
      </c>
      <c r="Q235" s="134">
        <f>+E235+H235+K235+N235</f>
        <v>22098.273000000001</v>
      </c>
    </row>
    <row r="236" spans="1:17" s="106" customFormat="1" ht="15" thickBot="1">
      <c r="A236" s="104"/>
      <c r="B236" s="104"/>
      <c r="C236" s="117"/>
      <c r="D236" s="117"/>
      <c r="E236" s="117"/>
      <c r="F236" s="117"/>
      <c r="G236" s="117"/>
      <c r="H236" s="117"/>
      <c r="I236" s="117"/>
      <c r="J236" s="117"/>
      <c r="K236" s="117"/>
      <c r="L236" s="117"/>
      <c r="M236" s="117"/>
      <c r="N236" s="117"/>
      <c r="O236" s="104"/>
      <c r="P236" s="105"/>
      <c r="Q236" s="105"/>
    </row>
    <row r="237" spans="1:17" s="106" customFormat="1" ht="15" thickBot="1">
      <c r="A237" s="104"/>
      <c r="B237" s="118" t="s">
        <v>162</v>
      </c>
      <c r="C237" s="119"/>
      <c r="D237" s="120"/>
      <c r="E237" s="120"/>
      <c r="F237" s="120"/>
      <c r="G237" s="120"/>
      <c r="H237" s="120"/>
      <c r="I237" s="120"/>
      <c r="J237" s="120"/>
      <c r="K237" s="120"/>
      <c r="L237" s="120"/>
      <c r="M237" s="120"/>
      <c r="N237" s="120"/>
      <c r="O237" s="104"/>
      <c r="P237" s="105"/>
      <c r="Q237" s="105"/>
    </row>
    <row r="238" spans="1:17" s="106" customFormat="1" ht="15" thickBot="1">
      <c r="A238" s="104"/>
      <c r="B238" s="122" t="s">
        <v>163</v>
      </c>
      <c r="C238" s="122" t="s">
        <v>164</v>
      </c>
      <c r="D238" s="123">
        <f>+[16]Summary!$Z$22</f>
        <v>1.6386270049557226</v>
      </c>
      <c r="E238" s="142">
        <f>+[16]Summary!$AA$22</f>
        <v>7999.5143027136219</v>
      </c>
      <c r="F238" s="104"/>
      <c r="G238" s="125"/>
      <c r="H238" s="123"/>
      <c r="I238" s="124"/>
      <c r="J238" s="123"/>
      <c r="K238" s="123">
        <f>+E238</f>
        <v>7999.5143027136219</v>
      </c>
      <c r="L238" s="124"/>
      <c r="M238" s="149"/>
      <c r="N238" s="123">
        <f>+K238</f>
        <v>7999.5143027136219</v>
      </c>
      <c r="O238" s="104"/>
      <c r="P238" s="105"/>
      <c r="Q238" s="105"/>
    </row>
    <row r="239" spans="1:17" s="106" customFormat="1" ht="15.75" thickTop="1" thickBot="1">
      <c r="A239" s="104"/>
      <c r="B239" s="122" t="s">
        <v>163</v>
      </c>
      <c r="C239" s="122" t="s">
        <v>165</v>
      </c>
      <c r="D239" s="123">
        <f>+[16]Summary!$Z$21</f>
        <v>3.3613729950442632</v>
      </c>
      <c r="E239" s="142">
        <f>+[16]Summary!$AA$21</f>
        <v>16442.48569728632</v>
      </c>
      <c r="F239" s="104"/>
      <c r="G239" s="125"/>
      <c r="H239" s="123"/>
      <c r="I239" s="124"/>
      <c r="J239" s="123"/>
      <c r="K239" s="123">
        <f>+E239</f>
        <v>16442.48569728632</v>
      </c>
      <c r="L239" s="124"/>
      <c r="M239" s="149"/>
      <c r="N239" s="123">
        <f>+K239</f>
        <v>16442.48569728632</v>
      </c>
      <c r="O239" s="104"/>
      <c r="P239" s="105"/>
      <c r="Q239" s="105"/>
    </row>
    <row r="240" spans="1:17" s="106" customFormat="1" ht="15" thickTop="1">
      <c r="A240" s="104"/>
      <c r="B240" s="122" t="s">
        <v>163</v>
      </c>
      <c r="C240" s="122" t="s">
        <v>111</v>
      </c>
      <c r="D240" s="149"/>
      <c r="E240" s="123"/>
      <c r="F240" s="104"/>
      <c r="G240" s="125"/>
      <c r="H240" s="123"/>
      <c r="I240" s="124"/>
      <c r="J240" s="123"/>
      <c r="K240" s="123"/>
      <c r="L240" s="124"/>
      <c r="M240" s="149"/>
      <c r="N240" s="123"/>
      <c r="O240" s="104"/>
      <c r="P240" s="105"/>
      <c r="Q240" s="105"/>
    </row>
    <row r="241" spans="1:17" s="106" customFormat="1">
      <c r="A241" s="104"/>
      <c r="B241" s="122" t="s">
        <v>163</v>
      </c>
      <c r="C241" s="122" t="s">
        <v>166</v>
      </c>
      <c r="D241" s="123"/>
      <c r="E241" s="123"/>
      <c r="F241" s="104"/>
      <c r="G241" s="125"/>
      <c r="H241" s="123"/>
      <c r="I241" s="124"/>
      <c r="J241" s="123"/>
      <c r="K241" s="123"/>
      <c r="L241" s="124"/>
      <c r="M241" s="123"/>
      <c r="N241" s="123"/>
      <c r="O241" s="104"/>
      <c r="P241" s="105"/>
      <c r="Q241" s="105"/>
    </row>
    <row r="242" spans="1:17" s="106" customFormat="1">
      <c r="A242" s="104"/>
      <c r="B242" s="122" t="s">
        <v>167</v>
      </c>
      <c r="C242" s="122" t="s">
        <v>164</v>
      </c>
      <c r="D242" s="123"/>
      <c r="E242" s="123"/>
      <c r="F242" s="104"/>
      <c r="G242" s="125"/>
      <c r="H242" s="123"/>
      <c r="I242" s="124"/>
      <c r="J242" s="123"/>
      <c r="K242" s="123"/>
      <c r="L242" s="124"/>
      <c r="M242" s="123"/>
      <c r="N242" s="123">
        <f>-3824-3474</f>
        <v>-7298</v>
      </c>
      <c r="O242" s="104"/>
      <c r="P242" s="105"/>
      <c r="Q242" s="105"/>
    </row>
    <row r="243" spans="1:17" s="106" customFormat="1">
      <c r="A243" s="104"/>
      <c r="B243" s="122" t="s">
        <v>168</v>
      </c>
      <c r="C243" s="122"/>
      <c r="D243" s="123"/>
      <c r="E243" s="123"/>
      <c r="F243" s="104"/>
      <c r="G243" s="125"/>
      <c r="H243" s="123"/>
      <c r="I243" s="124"/>
      <c r="J243" s="123"/>
      <c r="K243" s="123"/>
      <c r="L243" s="124"/>
      <c r="M243" s="123"/>
      <c r="N243" s="123"/>
      <c r="O243" s="104"/>
      <c r="P243" s="105"/>
      <c r="Q243" s="105"/>
    </row>
    <row r="244" spans="1:17" s="106" customFormat="1">
      <c r="A244" s="104"/>
      <c r="B244" s="122" t="s">
        <v>169</v>
      </c>
      <c r="C244" s="122" t="s">
        <v>165</v>
      </c>
      <c r="D244" s="123"/>
      <c r="E244" s="123"/>
      <c r="F244" s="104"/>
      <c r="G244" s="125"/>
      <c r="H244" s="123"/>
      <c r="I244" s="124"/>
      <c r="J244" s="123"/>
      <c r="K244" s="123"/>
      <c r="L244" s="124"/>
      <c r="M244" s="123"/>
      <c r="N244" s="123"/>
      <c r="O244" s="104"/>
      <c r="P244" s="105"/>
      <c r="Q244" s="105"/>
    </row>
    <row r="245" spans="1:17" s="106" customFormat="1">
      <c r="A245" s="104"/>
      <c r="B245" s="122" t="s">
        <v>170</v>
      </c>
      <c r="C245" s="122" t="s">
        <v>165</v>
      </c>
      <c r="D245" s="147">
        <v>0.69</v>
      </c>
      <c r="E245" s="147">
        <v>3416.239</v>
      </c>
      <c r="F245" s="104"/>
      <c r="G245" s="125"/>
      <c r="H245" s="123"/>
      <c r="I245" s="124"/>
      <c r="J245" s="123"/>
      <c r="K245" s="123">
        <f>+E245</f>
        <v>3416.239</v>
      </c>
      <c r="L245" s="124"/>
      <c r="M245" s="149"/>
      <c r="N245" s="123">
        <f>+K245</f>
        <v>3416.239</v>
      </c>
      <c r="O245" s="104"/>
      <c r="P245" s="105"/>
      <c r="Q245" s="105"/>
    </row>
    <row r="246" spans="1:17" s="106" customFormat="1">
      <c r="A246" s="104"/>
      <c r="B246" s="122" t="s">
        <v>171</v>
      </c>
      <c r="C246" s="122" t="s">
        <v>165</v>
      </c>
      <c r="D246" s="123"/>
      <c r="E246" s="123"/>
      <c r="F246" s="104"/>
      <c r="G246" s="125"/>
      <c r="H246" s="123"/>
      <c r="I246" s="124"/>
      <c r="J246" s="123"/>
      <c r="K246" s="123"/>
      <c r="L246" s="124"/>
      <c r="M246" s="123"/>
      <c r="N246" s="123"/>
      <c r="O246" s="104"/>
      <c r="P246" s="105"/>
      <c r="Q246" s="105"/>
    </row>
    <row r="247" spans="1:17" s="106" customFormat="1">
      <c r="A247" s="104"/>
      <c r="B247" s="122" t="s">
        <v>172</v>
      </c>
      <c r="C247" s="122"/>
      <c r="D247" s="123"/>
      <c r="E247" s="123"/>
      <c r="F247" s="104"/>
      <c r="G247" s="125"/>
      <c r="H247" s="123"/>
      <c r="I247" s="124"/>
      <c r="J247" s="123"/>
      <c r="K247" s="123"/>
      <c r="L247" s="124"/>
      <c r="M247" s="123"/>
      <c r="N247" s="123"/>
      <c r="O247" s="104"/>
      <c r="P247" s="105"/>
      <c r="Q247" s="105"/>
    </row>
    <row r="248" spans="1:17" s="106" customFormat="1">
      <c r="A248" s="104"/>
      <c r="B248" s="122" t="s">
        <v>105</v>
      </c>
      <c r="C248" s="127"/>
      <c r="D248" s="123"/>
      <c r="E248" s="123"/>
      <c r="F248" s="104"/>
      <c r="G248" s="125"/>
      <c r="H248" s="123"/>
      <c r="I248" s="124"/>
      <c r="J248" s="123"/>
      <c r="K248" s="123"/>
      <c r="L248" s="124"/>
      <c r="M248" s="123"/>
      <c r="N248" s="123"/>
      <c r="O248" s="104"/>
      <c r="P248" s="105"/>
      <c r="Q248" s="105"/>
    </row>
    <row r="249" spans="1:17" s="106" customFormat="1">
      <c r="A249" s="104"/>
      <c r="B249" s="128" t="s">
        <v>173</v>
      </c>
      <c r="C249" s="129"/>
      <c r="D249" s="130">
        <f>SUM(D238:D248)</f>
        <v>5.6899999999999853</v>
      </c>
      <c r="E249" s="131">
        <f>SUM(E238:E248)</f>
        <v>27858.238999999943</v>
      </c>
      <c r="F249" s="132"/>
      <c r="G249" s="130">
        <f>SUM(G238:G248)</f>
        <v>0</v>
      </c>
      <c r="H249" s="131">
        <f>SUM(H238:H248)</f>
        <v>0</v>
      </c>
      <c r="I249" s="132"/>
      <c r="J249" s="130">
        <f>SUM(J238:J248)</f>
        <v>0</v>
      </c>
      <c r="K249" s="131">
        <f>SUM(K238:K248)</f>
        <v>27858.238999999943</v>
      </c>
      <c r="L249" s="132"/>
      <c r="M249" s="130">
        <f>SUM(M238:M248)</f>
        <v>0</v>
      </c>
      <c r="N249" s="131">
        <f>SUM(N238:N248)</f>
        <v>20560.238999999943</v>
      </c>
      <c r="O249" s="104"/>
      <c r="P249" s="134">
        <f>+D249+G249+J249+M249</f>
        <v>5.6899999999999853</v>
      </c>
      <c r="Q249" s="134">
        <f>+E249+H249+K249+N249</f>
        <v>76276.71699999983</v>
      </c>
    </row>
    <row r="250" spans="1:17" s="106" customFormat="1" ht="15" thickBot="1">
      <c r="A250" s="104"/>
      <c r="B250" s="104"/>
      <c r="C250" s="117"/>
      <c r="D250" s="117"/>
      <c r="E250" s="117"/>
      <c r="F250" s="117"/>
      <c r="G250" s="117"/>
      <c r="H250" s="117"/>
      <c r="I250" s="117"/>
      <c r="J250" s="117"/>
      <c r="K250" s="117"/>
      <c r="L250" s="117"/>
      <c r="M250" s="117"/>
      <c r="N250" s="117"/>
      <c r="O250" s="104"/>
      <c r="P250" s="105"/>
      <c r="Q250" s="105"/>
    </row>
    <row r="251" spans="1:17" s="106" customFormat="1" ht="15" thickBot="1">
      <c r="A251" s="104"/>
      <c r="B251" s="118" t="s">
        <v>174</v>
      </c>
      <c r="C251" s="119"/>
      <c r="D251" s="120"/>
      <c r="E251" s="120"/>
      <c r="F251" s="120"/>
      <c r="G251" s="120"/>
      <c r="H251" s="120"/>
      <c r="I251" s="120"/>
      <c r="J251" s="120"/>
      <c r="K251" s="120"/>
      <c r="L251" s="120"/>
      <c r="M251" s="120"/>
      <c r="N251" s="120"/>
      <c r="O251" s="104"/>
      <c r="P251" s="105"/>
      <c r="Q251" s="105"/>
    </row>
    <row r="252" spans="1:17" s="106" customFormat="1">
      <c r="A252" s="104"/>
      <c r="B252" s="122" t="s">
        <v>175</v>
      </c>
      <c r="C252" s="122"/>
      <c r="D252" s="123"/>
      <c r="E252" s="123"/>
      <c r="F252" s="104"/>
      <c r="G252" s="125"/>
      <c r="H252" s="123"/>
      <c r="I252" s="124"/>
      <c r="J252" s="123"/>
      <c r="K252" s="123"/>
      <c r="L252" s="124"/>
      <c r="M252" s="123"/>
      <c r="N252" s="123"/>
      <c r="O252" s="104"/>
      <c r="P252" s="105"/>
      <c r="Q252" s="105"/>
    </row>
    <row r="253" spans="1:17" s="106" customFormat="1">
      <c r="A253" s="104"/>
      <c r="B253" s="122" t="s">
        <v>176</v>
      </c>
      <c r="C253" s="122"/>
      <c r="D253" s="123"/>
      <c r="E253" s="123"/>
      <c r="F253" s="104"/>
      <c r="G253" s="125"/>
      <c r="H253" s="123"/>
      <c r="I253" s="124"/>
      <c r="J253" s="123"/>
      <c r="K253" s="123"/>
      <c r="L253" s="124"/>
      <c r="M253" s="123"/>
      <c r="N253" s="123"/>
      <c r="O253" s="104"/>
      <c r="P253" s="105"/>
      <c r="Q253" s="105"/>
    </row>
    <row r="254" spans="1:17" s="106" customFormat="1">
      <c r="A254" s="104"/>
      <c r="B254" s="122" t="s">
        <v>177</v>
      </c>
      <c r="C254" s="122" t="s">
        <v>111</v>
      </c>
      <c r="D254" s="123"/>
      <c r="E254" s="123"/>
      <c r="F254" s="104"/>
      <c r="G254" s="125"/>
      <c r="H254" s="123"/>
      <c r="I254" s="124"/>
      <c r="J254" s="123"/>
      <c r="K254" s="123"/>
      <c r="L254" s="124"/>
      <c r="M254" s="123"/>
      <c r="N254" s="123"/>
      <c r="O254" s="104"/>
      <c r="P254" s="105"/>
      <c r="Q254" s="105"/>
    </row>
    <row r="255" spans="1:17" s="106" customFormat="1">
      <c r="A255" s="104"/>
      <c r="B255" s="122" t="s">
        <v>163</v>
      </c>
      <c r="C255" s="122" t="s">
        <v>111</v>
      </c>
      <c r="D255" s="123"/>
      <c r="E255" s="123"/>
      <c r="F255" s="104"/>
      <c r="G255" s="125"/>
      <c r="H255" s="123"/>
      <c r="I255" s="124"/>
      <c r="J255" s="123"/>
      <c r="K255" s="123"/>
      <c r="L255" s="124"/>
      <c r="M255" s="123"/>
      <c r="N255" s="123"/>
      <c r="O255" s="104"/>
      <c r="P255" s="105"/>
      <c r="Q255" s="105"/>
    </row>
    <row r="256" spans="1:17" s="106" customFormat="1">
      <c r="A256" s="104"/>
      <c r="B256" s="122" t="s">
        <v>105</v>
      </c>
      <c r="C256" s="122" t="s">
        <v>111</v>
      </c>
      <c r="D256" s="123"/>
      <c r="E256" s="123"/>
      <c r="F256" s="104"/>
      <c r="G256" s="125"/>
      <c r="H256" s="123"/>
      <c r="I256" s="124"/>
      <c r="J256" s="123"/>
      <c r="K256" s="123"/>
      <c r="L256" s="124"/>
      <c r="M256" s="123"/>
      <c r="N256" s="123"/>
      <c r="O256" s="104"/>
      <c r="P256" s="105"/>
      <c r="Q256" s="105"/>
    </row>
    <row r="257" spans="1:17" s="106" customFormat="1">
      <c r="A257" s="104"/>
      <c r="B257" s="128" t="s">
        <v>178</v>
      </c>
      <c r="C257" s="129"/>
      <c r="D257" s="130">
        <f>SUM(D252:D256)</f>
        <v>0</v>
      </c>
      <c r="E257" s="130">
        <f>SUM(E252:E256)</f>
        <v>0</v>
      </c>
      <c r="F257" s="132"/>
      <c r="G257" s="130">
        <f>SUM(G252:G256)</f>
        <v>0</v>
      </c>
      <c r="H257" s="130">
        <f>SUM(H252:H256)</f>
        <v>0</v>
      </c>
      <c r="I257" s="132"/>
      <c r="J257" s="130">
        <f>SUM(J252:J256)</f>
        <v>0</v>
      </c>
      <c r="K257" s="130">
        <f>SUM(K252:K256)</f>
        <v>0</v>
      </c>
      <c r="L257" s="132"/>
      <c r="M257" s="130">
        <f>SUM(M252:M256)</f>
        <v>0</v>
      </c>
      <c r="N257" s="130">
        <f>SUM(N252:N256)</f>
        <v>0</v>
      </c>
      <c r="O257" s="104"/>
      <c r="P257" s="134">
        <f>+D257+G257+J257+M257</f>
        <v>0</v>
      </c>
      <c r="Q257" s="134">
        <f>+E257+H257+K257+N257</f>
        <v>0</v>
      </c>
    </row>
    <row r="258" spans="1:17" s="106" customFormat="1" ht="15" thickBot="1">
      <c r="A258" s="104"/>
      <c r="B258" s="104"/>
      <c r="C258" s="117"/>
      <c r="D258" s="117"/>
      <c r="E258" s="117"/>
      <c r="F258" s="117"/>
      <c r="G258" s="117"/>
      <c r="H258" s="117"/>
      <c r="I258" s="117"/>
      <c r="J258" s="117"/>
      <c r="K258" s="117"/>
      <c r="L258" s="117"/>
      <c r="M258" s="117"/>
      <c r="N258" s="117"/>
      <c r="O258" s="104"/>
      <c r="P258" s="105"/>
      <c r="Q258" s="105"/>
    </row>
    <row r="259" spans="1:17" s="106" customFormat="1" ht="15" thickBot="1">
      <c r="A259" s="104"/>
      <c r="B259" s="118" t="s">
        <v>179</v>
      </c>
      <c r="C259" s="119"/>
      <c r="D259" s="120"/>
      <c r="E259" s="120"/>
      <c r="F259" s="120"/>
      <c r="G259" s="120"/>
      <c r="H259" s="120"/>
      <c r="I259" s="120"/>
      <c r="J259" s="120"/>
      <c r="K259" s="120"/>
      <c r="L259" s="120"/>
      <c r="M259" s="120"/>
      <c r="N259" s="120"/>
      <c r="O259" s="104"/>
      <c r="P259" s="105"/>
      <c r="Q259" s="105"/>
    </row>
    <row r="260" spans="1:17" s="106" customFormat="1">
      <c r="A260" s="104"/>
      <c r="B260" s="122" t="s">
        <v>179</v>
      </c>
      <c r="C260" s="122" t="s">
        <v>152</v>
      </c>
      <c r="D260" s="123"/>
      <c r="E260" s="123"/>
      <c r="F260" s="104"/>
      <c r="G260" s="125"/>
      <c r="H260" s="123"/>
      <c r="I260" s="124"/>
      <c r="J260" s="123"/>
      <c r="K260" s="123"/>
      <c r="L260" s="124"/>
      <c r="M260" s="123"/>
      <c r="N260" s="123"/>
      <c r="O260" s="104"/>
      <c r="P260" s="105"/>
      <c r="Q260" s="105"/>
    </row>
    <row r="261" spans="1:17" s="106" customFormat="1">
      <c r="A261" s="104"/>
      <c r="B261" s="128" t="s">
        <v>180</v>
      </c>
      <c r="C261" s="129"/>
      <c r="D261" s="130">
        <f>SUM(D260)</f>
        <v>0</v>
      </c>
      <c r="E261" s="130">
        <f>SUM(E260)</f>
        <v>0</v>
      </c>
      <c r="F261" s="132"/>
      <c r="G261" s="130">
        <f>SUM(G260)</f>
        <v>0</v>
      </c>
      <c r="H261" s="130">
        <f>SUM(H260)</f>
        <v>0</v>
      </c>
      <c r="I261" s="132"/>
      <c r="J261" s="130">
        <f>SUM(J260)</f>
        <v>0</v>
      </c>
      <c r="K261" s="130">
        <f>SUM(K260)</f>
        <v>0</v>
      </c>
      <c r="L261" s="132"/>
      <c r="M261" s="130">
        <f>SUM(M260)</f>
        <v>0</v>
      </c>
      <c r="N261" s="130">
        <f>SUM(N260)</f>
        <v>0</v>
      </c>
      <c r="O261" s="104"/>
      <c r="P261" s="134">
        <f>+D261+G261+J261+M261</f>
        <v>0</v>
      </c>
      <c r="Q261" s="134">
        <f>+E261+H261+K261+N261</f>
        <v>0</v>
      </c>
    </row>
    <row r="262" spans="1:17" s="106" customFormat="1" ht="15" thickBot="1">
      <c r="A262" s="104"/>
      <c r="B262" s="104"/>
      <c r="C262" s="117"/>
      <c r="D262" s="117"/>
      <c r="E262" s="117"/>
      <c r="F262" s="117"/>
      <c r="G262" s="117"/>
      <c r="H262" s="117"/>
      <c r="I262" s="117"/>
      <c r="J262" s="117"/>
      <c r="K262" s="117"/>
      <c r="L262" s="117"/>
      <c r="M262" s="117"/>
      <c r="N262" s="117"/>
      <c r="O262" s="104"/>
      <c r="P262" s="105"/>
      <c r="Q262" s="105"/>
    </row>
    <row r="263" spans="1:17" s="106" customFormat="1" ht="15" thickBot="1">
      <c r="A263" s="104"/>
      <c r="B263" s="118" t="s">
        <v>181</v>
      </c>
      <c r="C263" s="119"/>
      <c r="D263" s="120"/>
      <c r="E263" s="120"/>
      <c r="F263" s="120"/>
      <c r="G263" s="120"/>
      <c r="H263" s="120"/>
      <c r="I263" s="120"/>
      <c r="J263" s="120"/>
      <c r="K263" s="120"/>
      <c r="L263" s="120"/>
      <c r="M263" s="120"/>
      <c r="N263" s="120"/>
      <c r="O263" s="104"/>
      <c r="P263" s="105"/>
      <c r="Q263" s="105"/>
    </row>
    <row r="264" spans="1:17" s="106" customFormat="1">
      <c r="A264" s="104"/>
      <c r="B264" s="122" t="s">
        <v>179</v>
      </c>
      <c r="C264" s="122"/>
      <c r="D264" s="123"/>
      <c r="E264" s="123"/>
      <c r="F264" s="104"/>
      <c r="G264" s="125"/>
      <c r="H264" s="123"/>
      <c r="I264" s="124"/>
      <c r="J264" s="123"/>
      <c r="K264" s="123"/>
      <c r="L264" s="124"/>
      <c r="M264" s="123"/>
      <c r="N264" s="123"/>
      <c r="O264" s="104"/>
      <c r="P264" s="105"/>
      <c r="Q264" s="105"/>
    </row>
    <row r="265" spans="1:17" s="106" customFormat="1">
      <c r="A265" s="104"/>
      <c r="B265" s="122" t="s">
        <v>167</v>
      </c>
      <c r="C265" s="122"/>
      <c r="D265" s="123"/>
      <c r="E265" s="123"/>
      <c r="F265" s="104"/>
      <c r="G265" s="125"/>
      <c r="H265" s="123"/>
      <c r="I265" s="124"/>
      <c r="J265" s="123"/>
      <c r="K265" s="123"/>
      <c r="L265" s="124"/>
      <c r="M265" s="123"/>
      <c r="N265" s="123"/>
      <c r="O265" s="104"/>
      <c r="P265" s="105"/>
      <c r="Q265" s="105"/>
    </row>
    <row r="266" spans="1:17" s="106" customFormat="1">
      <c r="A266" s="104"/>
      <c r="B266" s="128" t="s">
        <v>182</v>
      </c>
      <c r="C266" s="129"/>
      <c r="D266" s="130">
        <f>SUM(D264:D265)</f>
        <v>0</v>
      </c>
      <c r="E266" s="130">
        <f>SUM(E264:E265)</f>
        <v>0</v>
      </c>
      <c r="F266" s="132"/>
      <c r="G266" s="130">
        <f>SUM(G264:G265)</f>
        <v>0</v>
      </c>
      <c r="H266" s="130">
        <f>SUM(H264:H265)</f>
        <v>0</v>
      </c>
      <c r="I266" s="132"/>
      <c r="J266" s="130">
        <f>SUM(J264:J265)</f>
        <v>0</v>
      </c>
      <c r="K266" s="130">
        <f>SUM(K264:K265)</f>
        <v>0</v>
      </c>
      <c r="L266" s="132"/>
      <c r="M266" s="130">
        <f>SUM(M264:M265)</f>
        <v>0</v>
      </c>
      <c r="N266" s="130">
        <f>SUM(N264:N265)</f>
        <v>0</v>
      </c>
      <c r="O266" s="104"/>
      <c r="P266" s="134">
        <f>+D266+G266+J266+M266</f>
        <v>0</v>
      </c>
      <c r="Q266" s="134">
        <f>+E266+H266+K266+N266</f>
        <v>0</v>
      </c>
    </row>
    <row r="267" spans="1:17" s="106" customFormat="1" ht="15" thickBot="1">
      <c r="A267" s="104"/>
      <c r="B267" s="104"/>
      <c r="C267" s="117"/>
      <c r="D267" s="117"/>
      <c r="E267" s="117"/>
      <c r="F267" s="117"/>
      <c r="G267" s="117"/>
      <c r="H267" s="117"/>
      <c r="I267" s="117"/>
      <c r="J267" s="117"/>
      <c r="K267" s="117"/>
      <c r="L267" s="117"/>
      <c r="M267" s="117"/>
      <c r="N267" s="117"/>
      <c r="O267" s="104"/>
      <c r="P267" s="105"/>
      <c r="Q267" s="105"/>
    </row>
    <row r="268" spans="1:17" s="106" customFormat="1" ht="15" thickBot="1">
      <c r="A268" s="104"/>
      <c r="B268" s="118" t="s">
        <v>183</v>
      </c>
      <c r="C268" s="119"/>
      <c r="D268" s="120"/>
      <c r="E268" s="120"/>
      <c r="F268" s="120"/>
      <c r="G268" s="120"/>
      <c r="H268" s="120"/>
      <c r="I268" s="120"/>
      <c r="J268" s="120"/>
      <c r="K268" s="120"/>
      <c r="L268" s="120"/>
      <c r="M268" s="120"/>
      <c r="N268" s="120"/>
      <c r="O268" s="104"/>
      <c r="P268" s="105"/>
      <c r="Q268" s="105"/>
    </row>
    <row r="269" spans="1:17" s="106" customFormat="1">
      <c r="A269" s="104"/>
      <c r="B269" s="122" t="s">
        <v>184</v>
      </c>
      <c r="C269" s="122" t="s">
        <v>165</v>
      </c>
      <c r="D269" s="123"/>
      <c r="E269" s="123"/>
      <c r="F269" s="104"/>
      <c r="G269" s="125"/>
      <c r="H269" s="123"/>
      <c r="I269" s="124"/>
      <c r="J269" s="123"/>
      <c r="K269" s="123"/>
      <c r="L269" s="124"/>
      <c r="M269" s="123"/>
      <c r="N269" s="123"/>
      <c r="O269" s="104"/>
      <c r="P269" s="105"/>
      <c r="Q269" s="105"/>
    </row>
    <row r="270" spans="1:17" s="106" customFormat="1">
      <c r="A270" s="104"/>
      <c r="B270" s="122" t="s">
        <v>103</v>
      </c>
      <c r="C270" s="122" t="s">
        <v>165</v>
      </c>
      <c r="D270" s="147">
        <v>29.65</v>
      </c>
      <c r="E270" s="123"/>
      <c r="F270" s="104"/>
      <c r="G270" s="125"/>
      <c r="H270" s="123"/>
      <c r="I270" s="124"/>
      <c r="J270" s="123"/>
      <c r="K270" s="123"/>
      <c r="L270" s="124"/>
      <c r="M270" s="123"/>
      <c r="N270" s="123"/>
      <c r="O270" s="104"/>
      <c r="P270" s="105"/>
      <c r="Q270" s="105"/>
    </row>
    <row r="271" spans="1:17" s="106" customFormat="1">
      <c r="A271" s="104"/>
      <c r="B271" s="122" t="s">
        <v>185</v>
      </c>
      <c r="C271" s="122"/>
      <c r="D271" s="123"/>
      <c r="E271" s="123"/>
      <c r="F271" s="104"/>
      <c r="G271" s="125"/>
      <c r="H271" s="123"/>
      <c r="I271" s="124"/>
      <c r="J271" s="123"/>
      <c r="K271" s="123"/>
      <c r="L271" s="124"/>
      <c r="M271" s="123"/>
      <c r="N271" s="123"/>
      <c r="O271" s="104"/>
      <c r="P271" s="105"/>
      <c r="Q271" s="105"/>
    </row>
    <row r="272" spans="1:17" s="106" customFormat="1">
      <c r="A272" s="104"/>
      <c r="B272" s="122" t="s">
        <v>186</v>
      </c>
      <c r="C272" s="122"/>
      <c r="D272" s="123"/>
      <c r="E272" s="123"/>
      <c r="F272" s="104"/>
      <c r="G272" s="125"/>
      <c r="H272" s="123"/>
      <c r="I272" s="124"/>
      <c r="J272" s="123"/>
      <c r="K272" s="123"/>
      <c r="L272" s="124"/>
      <c r="M272" s="123"/>
      <c r="N272" s="123"/>
      <c r="O272" s="104"/>
      <c r="P272" s="105"/>
      <c r="Q272" s="105"/>
    </row>
    <row r="273" spans="1:17" s="106" customFormat="1">
      <c r="A273" s="104"/>
      <c r="B273" s="122" t="s">
        <v>187</v>
      </c>
      <c r="C273" s="122"/>
      <c r="D273" s="123"/>
      <c r="E273" s="123"/>
      <c r="F273" s="104"/>
      <c r="G273" s="125"/>
      <c r="H273" s="123"/>
      <c r="I273" s="124"/>
      <c r="J273" s="123"/>
      <c r="K273" s="123"/>
      <c r="L273" s="124"/>
      <c r="M273" s="123"/>
      <c r="N273" s="123"/>
      <c r="O273" s="104"/>
      <c r="P273" s="105"/>
      <c r="Q273" s="105"/>
    </row>
    <row r="274" spans="1:17" s="106" customFormat="1">
      <c r="A274" s="104"/>
      <c r="B274" s="128" t="s">
        <v>188</v>
      </c>
      <c r="C274" s="129"/>
      <c r="D274" s="130">
        <f>SUM(D269:D273)</f>
        <v>29.65</v>
      </c>
      <c r="E274" s="130">
        <f>SUM(E269:E273)</f>
        <v>0</v>
      </c>
      <c r="F274" s="132"/>
      <c r="G274" s="130">
        <f>SUM(G269:G273)</f>
        <v>0</v>
      </c>
      <c r="H274" s="130">
        <f>SUM(H269:H273)</f>
        <v>0</v>
      </c>
      <c r="I274" s="132"/>
      <c r="J274" s="130">
        <f>SUM(J269:J273)</f>
        <v>0</v>
      </c>
      <c r="K274" s="130">
        <f>SUM(K269:K273)</f>
        <v>0</v>
      </c>
      <c r="L274" s="132"/>
      <c r="M274" s="130">
        <f>SUM(M269:M273)</f>
        <v>0</v>
      </c>
      <c r="N274" s="130">
        <f>SUM(N269:N273)</f>
        <v>0</v>
      </c>
      <c r="O274" s="104"/>
      <c r="P274" s="134">
        <f>+D274+G274+J274+M274</f>
        <v>29.65</v>
      </c>
      <c r="Q274" s="134">
        <f>+E274+H274+K274+N274</f>
        <v>0</v>
      </c>
    </row>
    <row r="275" spans="1:17" s="106" customFormat="1" ht="15" thickBot="1">
      <c r="A275" s="104"/>
      <c r="B275" s="104"/>
      <c r="C275" s="117"/>
      <c r="D275" s="117"/>
      <c r="E275" s="117"/>
      <c r="F275" s="117"/>
      <c r="G275" s="117"/>
      <c r="H275" s="117"/>
      <c r="I275" s="117"/>
      <c r="J275" s="117"/>
      <c r="K275" s="117"/>
      <c r="L275" s="117"/>
      <c r="M275" s="117"/>
      <c r="N275" s="117"/>
      <c r="O275" s="104"/>
      <c r="P275" s="105"/>
      <c r="Q275" s="105"/>
    </row>
    <row r="276" spans="1:17" s="106" customFormat="1" ht="15" thickBot="1">
      <c r="A276" s="104"/>
      <c r="B276" s="118" t="s">
        <v>189</v>
      </c>
      <c r="C276" s="119"/>
      <c r="D276" s="120"/>
      <c r="E276" s="120"/>
      <c r="F276" s="120"/>
      <c r="G276" s="120"/>
      <c r="H276" s="120"/>
      <c r="I276" s="120"/>
      <c r="J276" s="120"/>
      <c r="K276" s="120"/>
      <c r="L276" s="120"/>
      <c r="M276" s="120"/>
      <c r="N276" s="120"/>
      <c r="O276" s="104"/>
      <c r="P276" s="105"/>
      <c r="Q276" s="105"/>
    </row>
    <row r="277" spans="1:17" s="106" customFormat="1">
      <c r="A277" s="104"/>
      <c r="B277" s="122" t="s">
        <v>190</v>
      </c>
      <c r="C277" s="122" t="s">
        <v>165</v>
      </c>
      <c r="D277" s="151">
        <v>54.521999999999998</v>
      </c>
      <c r="E277" s="151">
        <v>47644.84</v>
      </c>
      <c r="F277" s="104"/>
      <c r="G277" s="125"/>
      <c r="H277" s="123"/>
      <c r="I277" s="124"/>
      <c r="J277" s="123"/>
      <c r="K277" s="123">
        <f>+E277</f>
        <v>47644.84</v>
      </c>
      <c r="L277" s="124"/>
      <c r="M277" s="135"/>
      <c r="N277" s="123">
        <f>+K277</f>
        <v>47644.84</v>
      </c>
      <c r="O277" s="104"/>
      <c r="P277" s="105"/>
      <c r="Q277" s="105"/>
    </row>
    <row r="278" spans="1:17" s="106" customFormat="1">
      <c r="A278" s="104"/>
      <c r="B278" s="122" t="s">
        <v>191</v>
      </c>
      <c r="C278" s="122" t="s">
        <v>192</v>
      </c>
      <c r="D278" s="123"/>
      <c r="E278" s="123"/>
      <c r="F278" s="104"/>
      <c r="G278" s="125"/>
      <c r="H278" s="123"/>
      <c r="I278" s="124"/>
      <c r="J278" s="123"/>
      <c r="K278" s="123"/>
      <c r="L278" s="124"/>
      <c r="M278" s="123"/>
      <c r="N278" s="123"/>
      <c r="O278" s="104"/>
      <c r="P278" s="105"/>
      <c r="Q278" s="105"/>
    </row>
    <row r="279" spans="1:17" s="106" customFormat="1">
      <c r="A279" s="104"/>
      <c r="B279" s="122" t="s">
        <v>193</v>
      </c>
      <c r="C279" s="122"/>
      <c r="D279" s="123"/>
      <c r="E279" s="123"/>
      <c r="F279" s="104"/>
      <c r="G279" s="125"/>
      <c r="H279" s="123"/>
      <c r="I279" s="124"/>
      <c r="J279" s="123"/>
      <c r="K279" s="123"/>
      <c r="L279" s="124"/>
      <c r="M279" s="123"/>
      <c r="N279" s="123"/>
      <c r="O279" s="104"/>
      <c r="P279" s="105"/>
      <c r="Q279" s="105"/>
    </row>
    <row r="280" spans="1:17" s="106" customFormat="1">
      <c r="A280" s="104"/>
      <c r="B280" s="128" t="s">
        <v>194</v>
      </c>
      <c r="C280" s="129"/>
      <c r="D280" s="130">
        <f>SUM(D277:D279)</f>
        <v>54.521999999999998</v>
      </c>
      <c r="E280" s="130">
        <f>SUM(E277:E279)</f>
        <v>47644.84</v>
      </c>
      <c r="F280" s="132"/>
      <c r="G280" s="130">
        <f>SUM(G277:G279)</f>
        <v>0</v>
      </c>
      <c r="H280" s="130">
        <f>SUM(H277:H279)</f>
        <v>0</v>
      </c>
      <c r="I280" s="132"/>
      <c r="J280" s="130">
        <f>SUM(J277:J279)</f>
        <v>0</v>
      </c>
      <c r="K280" s="130">
        <f>SUM(K277:K279)</f>
        <v>47644.84</v>
      </c>
      <c r="L280" s="132"/>
      <c r="M280" s="130">
        <f>SUM(M277:M279)</f>
        <v>0</v>
      </c>
      <c r="N280" s="130">
        <f>SUM(N277:N279)</f>
        <v>47644.84</v>
      </c>
      <c r="O280" s="104"/>
      <c r="P280" s="134">
        <f>+D280+G280+J280+M280</f>
        <v>54.521999999999998</v>
      </c>
      <c r="Q280" s="134">
        <f>+E280+H280+K280+N280</f>
        <v>142934.51999999999</v>
      </c>
    </row>
    <row r="282" spans="1:17" s="106" customFormat="1" ht="15.75" thickBot="1">
      <c r="A282" s="104"/>
      <c r="B282" s="104"/>
      <c r="C282" s="137"/>
      <c r="D282" s="138">
        <f>+D280+D274+D266+D261+D257+D249+D235</f>
        <v>93.276999999999987</v>
      </c>
      <c r="E282" s="138">
        <f>+E280+E274+E266+E261+E257+E249+E235</f>
        <v>82869.16999999994</v>
      </c>
      <c r="F282" s="137"/>
      <c r="G282" s="138">
        <f>+G280+G274+G266+G261+G257+G249+G235</f>
        <v>0</v>
      </c>
      <c r="H282" s="138">
        <f>+H280+H274+H266+H261+H257+H249+H235</f>
        <v>0</v>
      </c>
      <c r="I282" s="137"/>
      <c r="J282" s="138">
        <f>+J280+J274+J266+J261+J257+J249+J235</f>
        <v>0</v>
      </c>
      <c r="K282" s="138">
        <f>+K280+K274+K266+K261+K257+K249+K235</f>
        <v>82869.16999999994</v>
      </c>
      <c r="L282" s="137"/>
      <c r="M282" s="138">
        <f>+M280+M274+M266+M261+M257+M249+M235</f>
        <v>0</v>
      </c>
      <c r="N282" s="138">
        <f>+N280+N274+N266+N261+N257+N249+N235</f>
        <v>75571.16999999994</v>
      </c>
      <c r="O282" s="137"/>
      <c r="P282" s="138">
        <f>+P280+P274+P266+P261+P257+P249+P235</f>
        <v>93.276999999999987</v>
      </c>
      <c r="Q282" s="138">
        <f>+Q280+Q274+Q266+Q261+Q257+Q249+Q235</f>
        <v>241309.50999999983</v>
      </c>
    </row>
    <row r="283" spans="1:17" s="106" customFormat="1" ht="15" thickTop="1">
      <c r="A283" s="104"/>
      <c r="B283" s="104"/>
      <c r="C283" s="137"/>
      <c r="D283" s="104"/>
      <c r="E283" s="104"/>
      <c r="F283" s="104"/>
      <c r="G283" s="104"/>
      <c r="H283" s="104"/>
      <c r="I283" s="104"/>
      <c r="J283" s="104"/>
      <c r="K283" s="104"/>
      <c r="L283" s="104"/>
      <c r="M283" s="104"/>
      <c r="N283" s="104"/>
      <c r="O283" s="104"/>
      <c r="P283" s="105"/>
      <c r="Q283" s="105"/>
    </row>
    <row r="284" spans="1:17" s="106" customFormat="1">
      <c r="A284" s="104"/>
      <c r="B284" s="104"/>
      <c r="C284" s="137"/>
      <c r="D284" s="104"/>
      <c r="E284" s="104"/>
      <c r="F284" s="104"/>
      <c r="G284" s="104"/>
      <c r="H284" s="104"/>
      <c r="I284" s="104"/>
      <c r="J284" s="104"/>
      <c r="K284" s="104"/>
      <c r="L284" s="104"/>
      <c r="M284" s="104"/>
      <c r="N284" s="104"/>
      <c r="O284" s="104"/>
      <c r="P284" s="105"/>
      <c r="Q284" s="105"/>
    </row>
    <row r="285" spans="1:17" s="106" customFormat="1">
      <c r="A285" s="104"/>
      <c r="B285" s="136" t="s">
        <v>202</v>
      </c>
      <c r="C285" s="137"/>
      <c r="D285" s="104"/>
      <c r="E285" s="104"/>
      <c r="F285" s="104"/>
      <c r="G285" s="104"/>
      <c r="H285" s="104"/>
      <c r="I285" s="104"/>
      <c r="J285" s="104"/>
      <c r="K285" s="104"/>
      <c r="L285" s="104"/>
      <c r="M285" s="104"/>
      <c r="N285" s="104"/>
      <c r="O285" s="104"/>
      <c r="P285" s="105"/>
      <c r="Q285" s="105"/>
    </row>
    <row r="286" spans="1:17" s="106" customFormat="1">
      <c r="A286" s="104"/>
      <c r="B286" s="136" t="s">
        <v>217</v>
      </c>
      <c r="C286" s="137"/>
      <c r="D286" s="104"/>
      <c r="E286" s="104"/>
      <c r="F286" s="104"/>
      <c r="G286" s="104"/>
      <c r="H286" s="104"/>
      <c r="I286" s="104"/>
      <c r="J286" s="104"/>
      <c r="K286" s="104"/>
      <c r="L286" s="104"/>
      <c r="M286" s="104"/>
      <c r="N286" s="104"/>
      <c r="O286" s="104"/>
      <c r="P286" s="105"/>
      <c r="Q286" s="105"/>
    </row>
    <row r="287" spans="1:17" s="106" customFormat="1">
      <c r="A287" s="104"/>
      <c r="B287" s="146" t="s">
        <v>218</v>
      </c>
      <c r="C287" s="136"/>
      <c r="D287" s="104"/>
      <c r="E287" s="104"/>
      <c r="F287" s="104"/>
      <c r="G287" s="104"/>
      <c r="H287" s="104"/>
      <c r="I287" s="104"/>
      <c r="J287" s="104"/>
      <c r="K287" s="104"/>
      <c r="L287" s="104"/>
      <c r="M287" s="104"/>
      <c r="N287" s="104"/>
      <c r="O287" s="104"/>
      <c r="P287" s="105"/>
      <c r="Q287" s="105"/>
    </row>
    <row r="288" spans="1:17" s="106" customFormat="1">
      <c r="A288" s="104"/>
      <c r="B288" s="136" t="s">
        <v>205</v>
      </c>
      <c r="C288" s="104"/>
      <c r="D288" s="104"/>
      <c r="E288" s="104"/>
      <c r="F288" s="104"/>
      <c r="G288" s="104"/>
      <c r="H288" s="104"/>
      <c r="I288" s="104"/>
      <c r="J288" s="104"/>
      <c r="K288" s="104"/>
      <c r="L288" s="104"/>
      <c r="M288" s="104"/>
      <c r="N288" s="104"/>
      <c r="O288" s="104"/>
      <c r="P288" s="105"/>
      <c r="Q288" s="105"/>
    </row>
    <row r="289" spans="1:17" s="106" customFormat="1">
      <c r="A289" s="104"/>
      <c r="B289" s="146" t="s">
        <v>219</v>
      </c>
      <c r="C289" s="104"/>
      <c r="D289" s="104"/>
      <c r="E289" s="104"/>
      <c r="F289" s="104"/>
      <c r="G289" s="104"/>
      <c r="H289" s="104"/>
      <c r="I289" s="104"/>
      <c r="J289" s="104"/>
      <c r="K289" s="104"/>
      <c r="L289" s="104"/>
      <c r="M289" s="104"/>
      <c r="N289" s="104"/>
      <c r="O289" s="104"/>
      <c r="P289" s="105"/>
      <c r="Q289" s="105"/>
    </row>
    <row r="295" spans="1:17" s="106" customFormat="1" ht="18">
      <c r="A295" s="103" t="s">
        <v>220</v>
      </c>
      <c r="B295" s="104"/>
      <c r="C295" s="104"/>
      <c r="D295" s="104"/>
      <c r="E295" s="104"/>
      <c r="F295" s="104"/>
      <c r="G295" s="104"/>
      <c r="H295" s="104"/>
      <c r="I295" s="104"/>
      <c r="J295" s="104"/>
      <c r="K295" s="104"/>
      <c r="L295" s="104"/>
      <c r="M295" s="104"/>
      <c r="N295" s="104"/>
      <c r="O295" s="104"/>
      <c r="P295" s="105"/>
      <c r="Q295" s="105"/>
    </row>
    <row r="297" spans="1:17" s="106" customFormat="1" ht="15">
      <c r="A297" s="107"/>
      <c r="B297" s="107"/>
      <c r="C297" s="107"/>
      <c r="D297" s="615">
        <v>2013</v>
      </c>
      <c r="E297" s="615"/>
      <c r="F297" s="108"/>
      <c r="G297" s="616"/>
      <c r="H297" s="616"/>
      <c r="I297" s="109"/>
      <c r="J297" s="616">
        <v>2013</v>
      </c>
      <c r="K297" s="616"/>
      <c r="L297" s="109"/>
      <c r="M297" s="616">
        <v>2014</v>
      </c>
      <c r="N297" s="616"/>
      <c r="O297" s="107"/>
      <c r="P297" s="105"/>
      <c r="Q297" s="105"/>
    </row>
    <row r="298" spans="1:17" s="106" customFormat="1" ht="18">
      <c r="A298" s="110"/>
      <c r="B298" s="111"/>
      <c r="C298" s="111"/>
      <c r="D298" s="617" t="s">
        <v>145</v>
      </c>
      <c r="E298" s="617"/>
      <c r="F298" s="112"/>
      <c r="G298" s="616" t="s">
        <v>221</v>
      </c>
      <c r="H298" s="616"/>
      <c r="I298" s="616"/>
      <c r="J298" s="616"/>
      <c r="K298" s="616"/>
      <c r="L298" s="616"/>
      <c r="M298" s="616"/>
      <c r="N298" s="616"/>
      <c r="O298" s="111"/>
      <c r="P298" s="105"/>
      <c r="Q298" s="105"/>
    </row>
    <row r="299" spans="1:17" s="106" customFormat="1" ht="15">
      <c r="A299" s="113"/>
      <c r="B299" s="111"/>
      <c r="C299" s="111"/>
      <c r="D299" s="111"/>
      <c r="E299" s="111"/>
      <c r="F299" s="111"/>
      <c r="G299" s="111"/>
      <c r="H299" s="111"/>
      <c r="I299" s="111"/>
      <c r="J299" s="111"/>
      <c r="K299" s="111"/>
      <c r="L299" s="111"/>
      <c r="M299" s="111"/>
      <c r="N299" s="111"/>
      <c r="O299" s="111"/>
      <c r="P299" s="614" t="s">
        <v>5</v>
      </c>
      <c r="Q299" s="614"/>
    </row>
    <row r="300" spans="1:17" s="106" customFormat="1" ht="51">
      <c r="A300" s="113"/>
      <c r="B300" s="114" t="s">
        <v>222</v>
      </c>
      <c r="C300" s="114"/>
      <c r="D300" s="115" t="str">
        <f>+$D$6</f>
        <v>Peak Demand Savings (kW)</v>
      </c>
      <c r="E300" s="115" t="str">
        <f>+$E$6</f>
        <v>Energy Savings (kWh)</v>
      </c>
      <c r="G300" s="115" t="str">
        <f>+$G$6</f>
        <v>Peak Demand Savings (kW)</v>
      </c>
      <c r="H300" s="115" t="str">
        <f>+$H$6</f>
        <v>Energy Savings (kWh)</v>
      </c>
      <c r="J300" s="115" t="str">
        <f>+$J$6</f>
        <v>Peak Demand Savings (kW)</v>
      </c>
      <c r="K300" s="115" t="str">
        <f>+$K$6</f>
        <v>Energy Savings (kWh)</v>
      </c>
      <c r="M300" s="115" t="str">
        <f>+$M$6</f>
        <v>Peak Demand Savings (kW)</v>
      </c>
      <c r="N300" s="115" t="str">
        <f>+$N$6</f>
        <v>Energy Savings (kWh)</v>
      </c>
      <c r="O300" s="104"/>
      <c r="P300" s="116" t="str">
        <f>+$P$6</f>
        <v>Peak Demand Savings (kW)</v>
      </c>
      <c r="Q300" s="116" t="str">
        <f>+$Q$6</f>
        <v>Energy Savings (kWh)</v>
      </c>
    </row>
    <row r="301" spans="1:17" s="106" customFormat="1" ht="15" thickBot="1">
      <c r="A301" s="113"/>
      <c r="B301" s="117"/>
      <c r="C301" s="117"/>
      <c r="D301" s="117"/>
      <c r="E301" s="117"/>
      <c r="F301" s="117"/>
      <c r="G301" s="117"/>
      <c r="H301" s="117"/>
      <c r="I301" s="117"/>
      <c r="J301" s="117"/>
      <c r="K301" s="117"/>
      <c r="L301" s="117"/>
      <c r="M301" s="117"/>
      <c r="N301" s="117"/>
      <c r="O301" s="111"/>
      <c r="P301" s="105"/>
      <c r="Q301" s="105"/>
    </row>
    <row r="302" spans="1:17" s="106" customFormat="1" ht="15" thickBot="1">
      <c r="A302" s="113"/>
      <c r="B302" s="118" t="s">
        <v>150</v>
      </c>
      <c r="C302" s="119"/>
      <c r="D302" s="120"/>
      <c r="E302" s="120"/>
      <c r="F302" s="120"/>
      <c r="G302" s="120"/>
      <c r="H302" s="120"/>
      <c r="I302" s="120"/>
      <c r="J302" s="120"/>
      <c r="K302" s="120"/>
      <c r="L302" s="120"/>
      <c r="M302" s="120"/>
      <c r="N302" s="120"/>
      <c r="O302" s="111"/>
      <c r="P302" s="105"/>
      <c r="Q302" s="105"/>
    </row>
    <row r="303" spans="1:17" s="106" customFormat="1" ht="18" customHeight="1">
      <c r="A303" s="121"/>
      <c r="B303" s="122" t="s">
        <v>151</v>
      </c>
      <c r="C303" s="122" t="s">
        <v>152</v>
      </c>
      <c r="D303" s="147">
        <v>17.181999999999999</v>
      </c>
      <c r="E303" s="147">
        <v>115058.878</v>
      </c>
      <c r="F303" s="124"/>
      <c r="G303" s="123"/>
      <c r="H303" s="123"/>
      <c r="I303" s="124"/>
      <c r="J303" s="123"/>
      <c r="K303" s="123"/>
      <c r="L303" s="124"/>
      <c r="M303" s="123"/>
      <c r="N303" s="123">
        <f t="shared" ref="N303:N311" si="5">+E303</f>
        <v>115058.878</v>
      </c>
      <c r="O303" s="111"/>
      <c r="P303" s="105"/>
      <c r="Q303" s="105"/>
    </row>
    <row r="304" spans="1:17" s="106" customFormat="1" ht="18" customHeight="1">
      <c r="A304" s="121"/>
      <c r="B304" s="122" t="s">
        <v>153</v>
      </c>
      <c r="C304" s="122" t="s">
        <v>152</v>
      </c>
      <c r="D304" s="147">
        <v>20.512</v>
      </c>
      <c r="E304" s="147">
        <v>36574.548000000003</v>
      </c>
      <c r="F304" s="124"/>
      <c r="G304" s="125"/>
      <c r="H304" s="123"/>
      <c r="I304" s="124"/>
      <c r="J304" s="123"/>
      <c r="K304" s="123"/>
      <c r="L304" s="124"/>
      <c r="M304" s="123"/>
      <c r="N304" s="123">
        <f t="shared" si="5"/>
        <v>36574.548000000003</v>
      </c>
      <c r="O304" s="111"/>
      <c r="P304" s="105"/>
      <c r="Q304" s="105"/>
    </row>
    <row r="305" spans="1:17" s="106" customFormat="1" ht="18" customHeight="1">
      <c r="A305" s="121"/>
      <c r="B305" s="122" t="s">
        <v>154</v>
      </c>
      <c r="C305" s="122" t="s">
        <v>152</v>
      </c>
      <c r="D305" s="147">
        <v>78.116</v>
      </c>
      <c r="E305" s="147">
        <v>144494.291</v>
      </c>
      <c r="F305" s="124"/>
      <c r="G305" s="125"/>
      <c r="H305" s="123"/>
      <c r="I305" s="124"/>
      <c r="J305" s="123"/>
      <c r="K305" s="123"/>
      <c r="L305" s="124"/>
      <c r="M305" s="123"/>
      <c r="N305" s="123">
        <f t="shared" si="5"/>
        <v>144494.291</v>
      </c>
      <c r="O305" s="111"/>
      <c r="P305" s="105"/>
      <c r="Q305" s="105"/>
    </row>
    <row r="306" spans="1:17" s="106" customFormat="1" ht="18" customHeight="1">
      <c r="A306" s="121"/>
      <c r="B306" s="122" t="s">
        <v>155</v>
      </c>
      <c r="C306" s="122" t="s">
        <v>152</v>
      </c>
      <c r="D306" s="147">
        <v>4.5140000000000002</v>
      </c>
      <c r="E306" s="147">
        <v>67349.565000000002</v>
      </c>
      <c r="F306" s="124"/>
      <c r="G306" s="125"/>
      <c r="H306" s="123"/>
      <c r="I306" s="124"/>
      <c r="J306" s="123"/>
      <c r="K306" s="123"/>
      <c r="L306" s="124"/>
      <c r="M306" s="123"/>
      <c r="N306" s="123">
        <f t="shared" si="5"/>
        <v>67349.565000000002</v>
      </c>
      <c r="O306" s="111"/>
      <c r="P306" s="105"/>
      <c r="Q306" s="105"/>
    </row>
    <row r="307" spans="1:17" s="106" customFormat="1" ht="18" customHeight="1">
      <c r="A307" s="121"/>
      <c r="B307" s="122" t="s">
        <v>156</v>
      </c>
      <c r="C307" s="122" t="s">
        <v>152</v>
      </c>
      <c r="D307" s="147">
        <v>10.343</v>
      </c>
      <c r="E307" s="147">
        <v>150119.217</v>
      </c>
      <c r="F307" s="124"/>
      <c r="G307" s="125"/>
      <c r="H307" s="123"/>
      <c r="I307" s="124"/>
      <c r="J307" s="123"/>
      <c r="K307" s="123"/>
      <c r="L307" s="124"/>
      <c r="M307" s="123"/>
      <c r="N307" s="123">
        <f t="shared" si="5"/>
        <v>150119.217</v>
      </c>
      <c r="O307" s="111"/>
      <c r="P307" s="105"/>
      <c r="Q307" s="105"/>
    </row>
    <row r="308" spans="1:17" s="106" customFormat="1" ht="18" customHeight="1">
      <c r="A308" s="121"/>
      <c r="B308" s="122" t="s">
        <v>157</v>
      </c>
      <c r="C308" s="122" t="s">
        <v>152</v>
      </c>
      <c r="D308" s="147">
        <v>0</v>
      </c>
      <c r="E308" s="147">
        <v>0</v>
      </c>
      <c r="F308" s="124"/>
      <c r="G308" s="125"/>
      <c r="H308" s="123"/>
      <c r="I308" s="124"/>
      <c r="J308" s="123"/>
      <c r="K308" s="123"/>
      <c r="L308" s="124"/>
      <c r="M308" s="123"/>
      <c r="N308" s="123">
        <f t="shared" si="5"/>
        <v>0</v>
      </c>
      <c r="O308" s="111"/>
      <c r="P308" s="105"/>
      <c r="Q308" s="105"/>
    </row>
    <row r="309" spans="1:17" s="106" customFormat="1" ht="18" customHeight="1">
      <c r="A309" s="121"/>
      <c r="B309" s="122" t="s">
        <v>158</v>
      </c>
      <c r="C309" s="122" t="s">
        <v>152</v>
      </c>
      <c r="D309" s="147">
        <v>68.701999999999998</v>
      </c>
      <c r="E309" s="147">
        <v>4.673</v>
      </c>
      <c r="F309" s="124"/>
      <c r="G309" s="125"/>
      <c r="H309" s="123"/>
      <c r="I309" s="124"/>
      <c r="J309" s="123"/>
      <c r="K309" s="123"/>
      <c r="L309" s="124"/>
      <c r="M309" s="123"/>
      <c r="N309" s="123">
        <f t="shared" si="5"/>
        <v>4.673</v>
      </c>
      <c r="O309" s="111"/>
      <c r="P309" s="105"/>
      <c r="Q309" s="105"/>
    </row>
    <row r="310" spans="1:17" s="106" customFormat="1" ht="18" customHeight="1">
      <c r="A310" s="121"/>
      <c r="B310" s="122" t="s">
        <v>159</v>
      </c>
      <c r="C310" s="122" t="s">
        <v>152</v>
      </c>
      <c r="D310" s="148">
        <v>0</v>
      </c>
      <c r="E310" s="125">
        <v>0</v>
      </c>
      <c r="F310" s="124"/>
      <c r="G310" s="125"/>
      <c r="H310" s="123"/>
      <c r="I310" s="124"/>
      <c r="J310" s="123"/>
      <c r="K310" s="123"/>
      <c r="L310" s="124"/>
      <c r="M310" s="123"/>
      <c r="N310" s="123">
        <f t="shared" si="5"/>
        <v>0</v>
      </c>
      <c r="O310" s="111"/>
      <c r="P310" s="105"/>
      <c r="Q310" s="105"/>
    </row>
    <row r="311" spans="1:17" s="106" customFormat="1" ht="18" customHeight="1">
      <c r="A311" s="121"/>
      <c r="B311" s="122" t="s">
        <v>160</v>
      </c>
      <c r="C311" s="127" t="s">
        <v>152</v>
      </c>
      <c r="D311" s="147">
        <v>0</v>
      </c>
      <c r="E311" s="125">
        <v>0</v>
      </c>
      <c r="F311" s="124"/>
      <c r="G311" s="125"/>
      <c r="H311" s="123"/>
      <c r="I311" s="124"/>
      <c r="J311" s="123"/>
      <c r="K311" s="123"/>
      <c r="L311" s="124"/>
      <c r="M311" s="123"/>
      <c r="N311" s="123">
        <f t="shared" si="5"/>
        <v>0</v>
      </c>
      <c r="O311" s="111"/>
      <c r="P311" s="105"/>
      <c r="Q311" s="105"/>
    </row>
    <row r="312" spans="1:17" s="106" customFormat="1" ht="18" customHeight="1">
      <c r="A312" s="121"/>
      <c r="B312" s="128" t="s">
        <v>161</v>
      </c>
      <c r="C312" s="129"/>
      <c r="D312" s="130">
        <f>SUM(D303:D311)</f>
        <v>199.369</v>
      </c>
      <c r="E312" s="131">
        <f>SUM(E303:E311)</f>
        <v>513601.17200000002</v>
      </c>
      <c r="F312" s="132"/>
      <c r="G312" s="131">
        <f>SUM(G303:G311)</f>
        <v>0</v>
      </c>
      <c r="H312" s="131">
        <f>SUM(H303:H311)</f>
        <v>0</v>
      </c>
      <c r="I312" s="132"/>
      <c r="J312" s="131">
        <f>SUM(J303:J311)</f>
        <v>0</v>
      </c>
      <c r="K312" s="131">
        <f>SUM(K303:K311)</f>
        <v>0</v>
      </c>
      <c r="L312" s="132"/>
      <c r="M312" s="131">
        <f>SUM(M303:M311)</f>
        <v>0</v>
      </c>
      <c r="N312" s="131">
        <f>SUM(N303:N311)</f>
        <v>513601.17200000002</v>
      </c>
      <c r="O312" s="111"/>
      <c r="P312" s="134">
        <f>+D312+G312+J312+M312</f>
        <v>199.369</v>
      </c>
      <c r="Q312" s="134">
        <f>+E312+H312+K312+N312</f>
        <v>1027202.344</v>
      </c>
    </row>
    <row r="313" spans="1:17" s="106" customFormat="1" ht="15" thickBot="1">
      <c r="A313" s="104"/>
      <c r="B313" s="104"/>
      <c r="C313" s="117"/>
      <c r="D313" s="117"/>
      <c r="E313" s="117"/>
      <c r="F313" s="117"/>
      <c r="G313" s="117"/>
      <c r="H313" s="117"/>
      <c r="I313" s="117"/>
      <c r="J313" s="117"/>
      <c r="K313" s="117"/>
      <c r="L313" s="117"/>
      <c r="M313" s="117"/>
      <c r="N313" s="117"/>
      <c r="O313" s="104"/>
      <c r="P313" s="105"/>
      <c r="Q313" s="105"/>
    </row>
    <row r="314" spans="1:17" s="106" customFormat="1" ht="15" thickBot="1">
      <c r="A314" s="113"/>
      <c r="B314" s="118" t="s">
        <v>162</v>
      </c>
      <c r="C314" s="119"/>
      <c r="D314" s="120"/>
      <c r="E314" s="120"/>
      <c r="F314" s="120"/>
      <c r="G314" s="120"/>
      <c r="H314" s="120"/>
      <c r="I314" s="120"/>
      <c r="J314" s="120"/>
      <c r="K314" s="120"/>
      <c r="L314" s="120"/>
      <c r="M314" s="120"/>
      <c r="N314" s="120"/>
      <c r="O314" s="111"/>
      <c r="P314" s="105"/>
      <c r="Q314" s="105"/>
    </row>
    <row r="315" spans="1:17" s="106" customFormat="1" ht="15" thickBot="1">
      <c r="A315" s="104"/>
      <c r="B315" s="122" t="s">
        <v>163</v>
      </c>
      <c r="C315" s="122" t="s">
        <v>164</v>
      </c>
      <c r="D315" s="135">
        <f>+[16]Summary!$Q$35-D388</f>
        <v>148.07</v>
      </c>
      <c r="E315" s="142">
        <f>+[16]Summary!$R$35-E388</f>
        <v>567881</v>
      </c>
      <c r="F315" s="104"/>
      <c r="G315" s="125"/>
      <c r="H315" s="123"/>
      <c r="I315" s="124"/>
      <c r="J315" s="123"/>
      <c r="K315" s="123"/>
      <c r="L315" s="124"/>
      <c r="M315" s="123"/>
      <c r="N315" s="123">
        <f>+E315</f>
        <v>567881</v>
      </c>
      <c r="O315" s="111"/>
      <c r="P315" s="105"/>
      <c r="Q315" s="105"/>
    </row>
    <row r="316" spans="1:17" s="106" customFormat="1" ht="15.75" thickTop="1" thickBot="1">
      <c r="A316" s="104"/>
      <c r="B316" s="122" t="s">
        <v>163</v>
      </c>
      <c r="C316" s="122" t="s">
        <v>165</v>
      </c>
      <c r="D316" s="135">
        <f>+[16]Summary!$Q$34-D389</f>
        <v>218.98</v>
      </c>
      <c r="E316" s="142">
        <f>+[16]Summary!$R$34-E389</f>
        <v>948888</v>
      </c>
      <c r="F316" s="104"/>
      <c r="G316" s="125"/>
      <c r="H316" s="123"/>
      <c r="I316" s="124"/>
      <c r="J316" s="123"/>
      <c r="K316" s="123"/>
      <c r="L316" s="124"/>
      <c r="M316" s="123"/>
      <c r="N316" s="123">
        <f>+E316</f>
        <v>948888</v>
      </c>
      <c r="O316" s="111"/>
      <c r="P316" s="105"/>
      <c r="Q316" s="105"/>
    </row>
    <row r="317" spans="1:17" s="106" customFormat="1" ht="15.75" thickTop="1" thickBot="1">
      <c r="A317" s="104"/>
      <c r="B317" s="122" t="s">
        <v>163</v>
      </c>
      <c r="C317" s="122" t="s">
        <v>111</v>
      </c>
      <c r="D317" s="135">
        <f>+[16]Summary!$Q$33-D390</f>
        <v>257.95</v>
      </c>
      <c r="E317" s="142">
        <f>+[16]Summary!$R$33-E390</f>
        <v>4469125</v>
      </c>
      <c r="F317" s="104"/>
      <c r="G317" s="125"/>
      <c r="H317" s="123"/>
      <c r="I317" s="124"/>
      <c r="J317" s="123"/>
      <c r="K317" s="123"/>
      <c r="L317" s="124"/>
      <c r="M317" s="123"/>
      <c r="N317" s="123">
        <f>+E317</f>
        <v>4469125</v>
      </c>
      <c r="O317" s="111"/>
      <c r="P317" s="105"/>
      <c r="Q317" s="105"/>
    </row>
    <row r="318" spans="1:17" s="106" customFormat="1" ht="15" thickTop="1">
      <c r="A318" s="104"/>
      <c r="B318" s="122" t="s">
        <v>163</v>
      </c>
      <c r="C318" s="122" t="s">
        <v>166</v>
      </c>
      <c r="D318" s="123"/>
      <c r="E318" s="123"/>
      <c r="F318" s="104"/>
      <c r="G318" s="125"/>
      <c r="H318" s="123"/>
      <c r="I318" s="124"/>
      <c r="J318" s="123"/>
      <c r="K318" s="123"/>
      <c r="L318" s="124"/>
      <c r="M318" s="123"/>
      <c r="N318" s="123"/>
      <c r="O318" s="111"/>
      <c r="P318" s="105"/>
      <c r="Q318" s="105"/>
    </row>
    <row r="319" spans="1:17" s="106" customFormat="1">
      <c r="A319" s="104"/>
      <c r="B319" s="122" t="s">
        <v>167</v>
      </c>
      <c r="C319" s="122" t="s">
        <v>164</v>
      </c>
      <c r="D319" s="147">
        <v>255.73099999999999</v>
      </c>
      <c r="E319" s="147">
        <v>884903.74699999997</v>
      </c>
      <c r="F319" s="104"/>
      <c r="G319" s="125"/>
      <c r="H319" s="123"/>
      <c r="I319" s="124"/>
      <c r="J319" s="123"/>
      <c r="K319" s="123"/>
      <c r="L319" s="124"/>
      <c r="M319" s="123"/>
      <c r="N319" s="123">
        <f>+E319</f>
        <v>884903.74699999997</v>
      </c>
      <c r="O319" s="111"/>
      <c r="P319" s="105"/>
      <c r="Q319" s="105"/>
    </row>
    <row r="320" spans="1:17" s="106" customFormat="1">
      <c r="A320" s="104"/>
      <c r="B320" s="122" t="s">
        <v>168</v>
      </c>
      <c r="C320" s="122"/>
      <c r="D320" s="123"/>
      <c r="E320" s="123"/>
      <c r="F320" s="104"/>
      <c r="G320" s="125"/>
      <c r="H320" s="123"/>
      <c r="I320" s="124"/>
      <c r="J320" s="123"/>
      <c r="K320" s="123"/>
      <c r="L320" s="124"/>
      <c r="M320" s="123"/>
      <c r="N320" s="123"/>
      <c r="O320" s="111"/>
      <c r="P320" s="105"/>
      <c r="Q320" s="105"/>
    </row>
    <row r="321" spans="1:17" s="106" customFormat="1">
      <c r="A321" s="104"/>
      <c r="B321" s="122" t="s">
        <v>169</v>
      </c>
      <c r="C321" s="122" t="s">
        <v>165</v>
      </c>
      <c r="D321" s="147"/>
      <c r="E321" s="147"/>
      <c r="F321" s="104"/>
      <c r="G321" s="125"/>
      <c r="H321" s="123"/>
      <c r="I321" s="124"/>
      <c r="J321" s="123"/>
      <c r="K321" s="123"/>
      <c r="L321" s="124"/>
      <c r="M321" s="123"/>
      <c r="N321" s="123"/>
      <c r="O321" s="111"/>
      <c r="P321" s="105"/>
      <c r="Q321" s="105"/>
    </row>
    <row r="322" spans="1:17" s="106" customFormat="1">
      <c r="A322" s="104"/>
      <c r="B322" s="122" t="s">
        <v>170</v>
      </c>
      <c r="C322" s="122" t="s">
        <v>165</v>
      </c>
      <c r="D322" s="147"/>
      <c r="E322" s="147"/>
      <c r="F322" s="104"/>
      <c r="G322" s="125"/>
      <c r="H322" s="123"/>
      <c r="I322" s="124"/>
      <c r="J322" s="123"/>
      <c r="K322" s="123"/>
      <c r="L322" s="124"/>
      <c r="M322" s="123"/>
      <c r="N322" s="123"/>
      <c r="O322" s="111"/>
      <c r="P322" s="105"/>
      <c r="Q322" s="105"/>
    </row>
    <row r="323" spans="1:17" s="106" customFormat="1">
      <c r="A323" s="104"/>
      <c r="B323" s="122" t="s">
        <v>171</v>
      </c>
      <c r="C323" s="122" t="s">
        <v>165</v>
      </c>
      <c r="D323" s="147">
        <v>0.64</v>
      </c>
      <c r="E323" s="147"/>
      <c r="F323" s="104"/>
      <c r="G323" s="125"/>
      <c r="H323" s="123"/>
      <c r="I323" s="124"/>
      <c r="J323" s="123"/>
      <c r="K323" s="123"/>
      <c r="L323" s="124"/>
      <c r="M323" s="123">
        <v>1.4</v>
      </c>
      <c r="N323" s="123"/>
      <c r="O323" s="111"/>
      <c r="P323" s="105"/>
      <c r="Q323" s="105"/>
    </row>
    <row r="324" spans="1:17" s="106" customFormat="1">
      <c r="A324" s="104"/>
      <c r="B324" s="122" t="s">
        <v>172</v>
      </c>
      <c r="C324" s="122"/>
      <c r="D324" s="123"/>
      <c r="E324" s="123"/>
      <c r="F324" s="104"/>
      <c r="G324" s="125"/>
      <c r="H324" s="123"/>
      <c r="I324" s="124"/>
      <c r="J324" s="123"/>
      <c r="K324" s="123"/>
      <c r="L324" s="124"/>
      <c r="M324" s="123"/>
      <c r="N324" s="123"/>
      <c r="O324" s="111"/>
      <c r="P324" s="105"/>
      <c r="Q324" s="105"/>
    </row>
    <row r="325" spans="1:17" s="106" customFormat="1">
      <c r="A325" s="104"/>
      <c r="B325" s="122" t="s">
        <v>105</v>
      </c>
      <c r="C325" s="127"/>
      <c r="D325" s="123"/>
      <c r="E325" s="123"/>
      <c r="F325" s="104"/>
      <c r="G325" s="125"/>
      <c r="H325" s="123"/>
      <c r="I325" s="124"/>
      <c r="J325" s="123"/>
      <c r="K325" s="123"/>
      <c r="L325" s="124"/>
      <c r="M325" s="123"/>
      <c r="N325" s="123"/>
      <c r="O325" s="111"/>
      <c r="P325" s="105"/>
      <c r="Q325" s="105"/>
    </row>
    <row r="326" spans="1:17" s="106" customFormat="1" ht="18" customHeight="1">
      <c r="A326" s="121"/>
      <c r="B326" s="128" t="s">
        <v>173</v>
      </c>
      <c r="C326" s="129"/>
      <c r="D326" s="130">
        <f>SUM(D315:D325)</f>
        <v>881.37099999999998</v>
      </c>
      <c r="E326" s="131">
        <f>SUM(E315:E325)</f>
        <v>6870797.7469999995</v>
      </c>
      <c r="F326" s="132"/>
      <c r="G326" s="130">
        <f>SUM(G315:G325)</f>
        <v>0</v>
      </c>
      <c r="H326" s="131">
        <f>SUM(H315:H325)</f>
        <v>0</v>
      </c>
      <c r="I326" s="132"/>
      <c r="J326" s="130">
        <f>SUM(J315:J325)</f>
        <v>0</v>
      </c>
      <c r="K326" s="131">
        <f>SUM(K315:K325)</f>
        <v>0</v>
      </c>
      <c r="L326" s="132"/>
      <c r="M326" s="130">
        <f>SUM(M315:M325)</f>
        <v>1.4</v>
      </c>
      <c r="N326" s="131">
        <f>SUM(N315:N325)</f>
        <v>6870797.7469999995</v>
      </c>
      <c r="O326" s="111"/>
      <c r="P326" s="134">
        <f>+D326+G326+J326+M326</f>
        <v>882.77099999999996</v>
      </c>
      <c r="Q326" s="134">
        <f>+E326+H326+K326+N326</f>
        <v>13741595.493999999</v>
      </c>
    </row>
    <row r="327" spans="1:17" s="106" customFormat="1" ht="15" thickBot="1">
      <c r="A327" s="104"/>
      <c r="B327" s="104"/>
      <c r="C327" s="117"/>
      <c r="D327" s="117"/>
      <c r="E327" s="117"/>
      <c r="F327" s="117"/>
      <c r="G327" s="117"/>
      <c r="H327" s="117"/>
      <c r="I327" s="117"/>
      <c r="J327" s="117"/>
      <c r="K327" s="117"/>
      <c r="L327" s="117"/>
      <c r="M327" s="117"/>
      <c r="N327" s="117"/>
      <c r="O327" s="104"/>
      <c r="P327" s="105"/>
      <c r="Q327" s="105"/>
    </row>
    <row r="328" spans="1:17" s="106" customFormat="1" ht="15" thickBot="1">
      <c r="A328" s="113"/>
      <c r="B328" s="118" t="s">
        <v>174</v>
      </c>
      <c r="C328" s="119"/>
      <c r="D328" s="120"/>
      <c r="E328" s="120"/>
      <c r="F328" s="120"/>
      <c r="G328" s="120"/>
      <c r="H328" s="120"/>
      <c r="I328" s="120"/>
      <c r="J328" s="120"/>
      <c r="K328" s="120"/>
      <c r="L328" s="120"/>
      <c r="M328" s="120"/>
      <c r="N328" s="120"/>
      <c r="O328" s="111"/>
      <c r="P328" s="105"/>
      <c r="Q328" s="105"/>
    </row>
    <row r="329" spans="1:17" s="106" customFormat="1">
      <c r="A329" s="104"/>
      <c r="B329" s="122" t="s">
        <v>175</v>
      </c>
      <c r="C329" s="122"/>
      <c r="D329" s="123"/>
      <c r="E329" s="123"/>
      <c r="F329" s="104"/>
      <c r="G329" s="125"/>
      <c r="H329" s="123"/>
      <c r="I329" s="124"/>
      <c r="J329" s="123"/>
      <c r="K329" s="123"/>
      <c r="L329" s="124"/>
      <c r="M329" s="123"/>
      <c r="N329" s="123"/>
      <c r="O329" s="111"/>
      <c r="P329" s="105"/>
      <c r="Q329" s="105"/>
    </row>
    <row r="330" spans="1:17" s="106" customFormat="1">
      <c r="A330" s="104"/>
      <c r="B330" s="122" t="s">
        <v>176</v>
      </c>
      <c r="C330" s="122"/>
      <c r="D330" s="123"/>
      <c r="E330" s="123"/>
      <c r="F330" s="104"/>
      <c r="G330" s="125"/>
      <c r="H330" s="123"/>
      <c r="I330" s="124"/>
      <c r="J330" s="123"/>
      <c r="K330" s="123"/>
      <c r="L330" s="124"/>
      <c r="M330" s="123"/>
      <c r="N330" s="123"/>
      <c r="O330" s="111"/>
      <c r="P330" s="105"/>
      <c r="Q330" s="105"/>
    </row>
    <row r="331" spans="1:17" s="106" customFormat="1">
      <c r="A331" s="104"/>
      <c r="B331" s="122" t="s">
        <v>177</v>
      </c>
      <c r="C331" s="122" t="s">
        <v>111</v>
      </c>
      <c r="D331" s="123"/>
      <c r="E331" s="123"/>
      <c r="F331" s="104"/>
      <c r="G331" s="125"/>
      <c r="H331" s="123"/>
      <c r="I331" s="124"/>
      <c r="J331" s="123"/>
      <c r="K331" s="123"/>
      <c r="L331" s="124"/>
      <c r="M331" s="123"/>
      <c r="N331" s="123"/>
      <c r="O331" s="111"/>
      <c r="P331" s="105"/>
      <c r="Q331" s="105"/>
    </row>
    <row r="332" spans="1:17" s="106" customFormat="1">
      <c r="A332" s="104"/>
      <c r="B332" s="122" t="s">
        <v>163</v>
      </c>
      <c r="C332" s="122" t="s">
        <v>111</v>
      </c>
      <c r="D332" s="147"/>
      <c r="E332" s="147"/>
      <c r="F332" s="104"/>
      <c r="G332" s="125"/>
      <c r="H332" s="123"/>
      <c r="I332" s="124"/>
      <c r="J332" s="123"/>
      <c r="K332" s="123"/>
      <c r="L332" s="124"/>
      <c r="M332" s="123"/>
      <c r="N332" s="123"/>
      <c r="O332" s="111"/>
      <c r="P332" s="105"/>
      <c r="Q332" s="105"/>
    </row>
    <row r="333" spans="1:17" s="106" customFormat="1">
      <c r="A333" s="104"/>
      <c r="B333" s="122" t="s">
        <v>105</v>
      </c>
      <c r="C333" s="122" t="s">
        <v>111</v>
      </c>
      <c r="D333" s="147">
        <v>1546.1479999999999</v>
      </c>
      <c r="E333" s="147">
        <v>35206.74</v>
      </c>
      <c r="F333" s="104"/>
      <c r="G333" s="125"/>
      <c r="H333" s="123"/>
      <c r="I333" s="124"/>
      <c r="J333" s="123"/>
      <c r="K333" s="123"/>
      <c r="L333" s="124"/>
      <c r="M333" s="123"/>
      <c r="N333" s="123"/>
      <c r="O333" s="111"/>
      <c r="P333" s="105"/>
      <c r="Q333" s="105"/>
    </row>
    <row r="334" spans="1:17" s="106" customFormat="1" ht="18" customHeight="1">
      <c r="A334" s="121"/>
      <c r="B334" s="128" t="s">
        <v>178</v>
      </c>
      <c r="C334" s="129"/>
      <c r="D334" s="130">
        <f>SUM(D329:D333)</f>
        <v>1546.1479999999999</v>
      </c>
      <c r="E334" s="130">
        <f>SUM(E329:E333)</f>
        <v>35206.74</v>
      </c>
      <c r="F334" s="132"/>
      <c r="G334" s="130">
        <f>SUM(G329:G333)</f>
        <v>0</v>
      </c>
      <c r="H334" s="130">
        <f>SUM(H329:H333)</f>
        <v>0</v>
      </c>
      <c r="I334" s="132"/>
      <c r="J334" s="130">
        <f>SUM(J329:J333)</f>
        <v>0</v>
      </c>
      <c r="K334" s="130">
        <f>SUM(K329:K333)</f>
        <v>0</v>
      </c>
      <c r="L334" s="132"/>
      <c r="M334" s="130">
        <f>SUM(M329:M333)</f>
        <v>0</v>
      </c>
      <c r="N334" s="130">
        <f>SUM(N329:N333)</f>
        <v>0</v>
      </c>
      <c r="O334" s="111"/>
      <c r="P334" s="134">
        <f>+D334+G334+J334+M334</f>
        <v>1546.1479999999999</v>
      </c>
      <c r="Q334" s="134">
        <f>+E334+H334+K334+N334</f>
        <v>35206.74</v>
      </c>
    </row>
    <row r="335" spans="1:17" s="106" customFormat="1" ht="15" thickBot="1">
      <c r="A335" s="104"/>
      <c r="B335" s="104"/>
      <c r="C335" s="117"/>
      <c r="D335" s="117"/>
      <c r="E335" s="117"/>
      <c r="F335" s="117"/>
      <c r="G335" s="117"/>
      <c r="H335" s="117"/>
      <c r="I335" s="117"/>
      <c r="J335" s="117"/>
      <c r="K335" s="117"/>
      <c r="L335" s="117"/>
      <c r="M335" s="117"/>
      <c r="N335" s="117"/>
      <c r="O335" s="104"/>
      <c r="P335" s="105"/>
      <c r="Q335" s="105"/>
    </row>
    <row r="336" spans="1:17" s="106" customFormat="1" ht="15" thickBot="1">
      <c r="A336" s="113"/>
      <c r="B336" s="118" t="s">
        <v>179</v>
      </c>
      <c r="C336" s="119"/>
      <c r="D336" s="120"/>
      <c r="E336" s="120"/>
      <c r="F336" s="120"/>
      <c r="G336" s="120"/>
      <c r="H336" s="120"/>
      <c r="I336" s="120"/>
      <c r="J336" s="120"/>
      <c r="K336" s="120"/>
      <c r="L336" s="120"/>
      <c r="M336" s="120"/>
      <c r="N336" s="120"/>
      <c r="O336" s="111"/>
      <c r="P336" s="105"/>
      <c r="Q336" s="105"/>
    </row>
    <row r="337" spans="1:17" s="106" customFormat="1">
      <c r="A337" s="104"/>
      <c r="B337" s="122" t="s">
        <v>179</v>
      </c>
      <c r="C337" s="122" t="s">
        <v>152</v>
      </c>
      <c r="D337" s="147">
        <v>6.4610000000000003</v>
      </c>
      <c r="E337" s="147">
        <v>92773.918999999994</v>
      </c>
      <c r="F337" s="104"/>
      <c r="G337" s="125"/>
      <c r="H337" s="123"/>
      <c r="I337" s="124"/>
      <c r="J337" s="123"/>
      <c r="K337" s="123"/>
      <c r="L337" s="124"/>
      <c r="M337" s="123"/>
      <c r="N337" s="123">
        <f>+E337</f>
        <v>92773.918999999994</v>
      </c>
      <c r="O337" s="111"/>
      <c r="P337" s="105"/>
      <c r="Q337" s="105"/>
    </row>
    <row r="338" spans="1:17" s="106" customFormat="1" ht="18" customHeight="1">
      <c r="A338" s="121"/>
      <c r="B338" s="128" t="s">
        <v>180</v>
      </c>
      <c r="C338" s="129"/>
      <c r="D338" s="130">
        <f>SUM(D337)</f>
        <v>6.4610000000000003</v>
      </c>
      <c r="E338" s="130">
        <f>SUM(E337)</f>
        <v>92773.918999999994</v>
      </c>
      <c r="F338" s="132"/>
      <c r="G338" s="130">
        <f>SUM(G337)</f>
        <v>0</v>
      </c>
      <c r="H338" s="130">
        <f>SUM(H337)</f>
        <v>0</v>
      </c>
      <c r="I338" s="132"/>
      <c r="J338" s="130">
        <f>SUM(J337)</f>
        <v>0</v>
      </c>
      <c r="K338" s="130">
        <f>SUM(K337)</f>
        <v>0</v>
      </c>
      <c r="L338" s="132"/>
      <c r="M338" s="130">
        <f>SUM(M337)</f>
        <v>0</v>
      </c>
      <c r="N338" s="130">
        <f>SUM(N337)</f>
        <v>92773.918999999994</v>
      </c>
      <c r="O338" s="111"/>
      <c r="P338" s="134">
        <f>+D338+G338+J338+M338</f>
        <v>6.4610000000000003</v>
      </c>
      <c r="Q338" s="134">
        <f>+E338+H338+K338+N338</f>
        <v>185547.83799999999</v>
      </c>
    </row>
    <row r="339" spans="1:17" s="106" customFormat="1" ht="15" thickBot="1">
      <c r="A339" s="104"/>
      <c r="B339" s="104"/>
      <c r="C339" s="117"/>
      <c r="D339" s="117"/>
      <c r="E339" s="117"/>
      <c r="F339" s="117"/>
      <c r="G339" s="117"/>
      <c r="H339" s="117"/>
      <c r="I339" s="117"/>
      <c r="J339" s="117"/>
      <c r="K339" s="117"/>
      <c r="L339" s="117"/>
      <c r="M339" s="117"/>
      <c r="N339" s="117"/>
      <c r="O339" s="104"/>
      <c r="P339" s="105"/>
      <c r="Q339" s="105"/>
    </row>
    <row r="340" spans="1:17" s="106" customFormat="1" ht="15" thickBot="1">
      <c r="A340" s="113"/>
      <c r="B340" s="118" t="s">
        <v>181</v>
      </c>
      <c r="C340" s="119"/>
      <c r="D340" s="120"/>
      <c r="E340" s="120"/>
      <c r="F340" s="120"/>
      <c r="G340" s="120"/>
      <c r="H340" s="120"/>
      <c r="I340" s="120"/>
      <c r="J340" s="120"/>
      <c r="K340" s="120"/>
      <c r="L340" s="120"/>
      <c r="M340" s="120"/>
      <c r="N340" s="120"/>
      <c r="O340" s="111"/>
      <c r="P340" s="105"/>
      <c r="Q340" s="105"/>
    </row>
    <row r="341" spans="1:17" s="106" customFormat="1">
      <c r="A341" s="104"/>
      <c r="B341" s="122" t="s">
        <v>179</v>
      </c>
      <c r="C341" s="122"/>
      <c r="D341" s="123"/>
      <c r="E341" s="123"/>
      <c r="F341" s="104"/>
      <c r="G341" s="125"/>
      <c r="H341" s="123"/>
      <c r="I341" s="124"/>
      <c r="J341" s="123"/>
      <c r="K341" s="123"/>
      <c r="L341" s="124"/>
      <c r="M341" s="123"/>
      <c r="N341" s="123"/>
      <c r="O341" s="111"/>
      <c r="P341" s="105"/>
      <c r="Q341" s="105"/>
    </row>
    <row r="342" spans="1:17" s="106" customFormat="1">
      <c r="A342" s="104"/>
      <c r="B342" s="122" t="s">
        <v>167</v>
      </c>
      <c r="C342" s="122"/>
      <c r="D342" s="123"/>
      <c r="E342" s="123"/>
      <c r="F342" s="104"/>
      <c r="G342" s="125"/>
      <c r="H342" s="123"/>
      <c r="I342" s="124"/>
      <c r="J342" s="123"/>
      <c r="K342" s="123"/>
      <c r="L342" s="124"/>
      <c r="M342" s="123"/>
      <c r="N342" s="123"/>
      <c r="O342" s="111"/>
      <c r="P342" s="105"/>
      <c r="Q342" s="105"/>
    </row>
    <row r="343" spans="1:17" s="106" customFormat="1" ht="18" customHeight="1">
      <c r="A343" s="121"/>
      <c r="B343" s="128" t="s">
        <v>182</v>
      </c>
      <c r="C343" s="129"/>
      <c r="D343" s="130">
        <f>SUM(D341:D342)</f>
        <v>0</v>
      </c>
      <c r="E343" s="130">
        <f>SUM(E341:E342)</f>
        <v>0</v>
      </c>
      <c r="F343" s="132"/>
      <c r="G343" s="130">
        <f>SUM(G341:G342)</f>
        <v>0</v>
      </c>
      <c r="H343" s="130">
        <f>SUM(H341:H342)</f>
        <v>0</v>
      </c>
      <c r="I343" s="132"/>
      <c r="J343" s="130">
        <f>SUM(J341:J342)</f>
        <v>0</v>
      </c>
      <c r="K343" s="130">
        <f>SUM(K341:K342)</f>
        <v>0</v>
      </c>
      <c r="L343" s="132"/>
      <c r="M343" s="130">
        <f>SUM(M341:M342)</f>
        <v>0</v>
      </c>
      <c r="N343" s="130">
        <f>SUM(N341:N342)</f>
        <v>0</v>
      </c>
      <c r="O343" s="111"/>
      <c r="P343" s="134">
        <f>+D343+G343+J343+M343</f>
        <v>0</v>
      </c>
      <c r="Q343" s="134">
        <f>+E343+H343+K343+N343</f>
        <v>0</v>
      </c>
    </row>
    <row r="344" spans="1:17" s="106" customFormat="1" ht="15" thickBot="1">
      <c r="A344" s="104"/>
      <c r="B344" s="104"/>
      <c r="C344" s="117"/>
      <c r="D344" s="117"/>
      <c r="E344" s="117"/>
      <c r="F344" s="117"/>
      <c r="G344" s="117"/>
      <c r="H344" s="117"/>
      <c r="I344" s="117"/>
      <c r="J344" s="117"/>
      <c r="K344" s="117"/>
      <c r="L344" s="117"/>
      <c r="M344" s="117"/>
      <c r="N344" s="117"/>
      <c r="O344" s="104"/>
      <c r="P344" s="105"/>
      <c r="Q344" s="105"/>
    </row>
    <row r="345" spans="1:17" s="106" customFormat="1" ht="15" thickBot="1">
      <c r="A345" s="113"/>
      <c r="B345" s="118" t="s">
        <v>183</v>
      </c>
      <c r="C345" s="119"/>
      <c r="D345" s="120"/>
      <c r="E345" s="120"/>
      <c r="F345" s="120"/>
      <c r="G345" s="120"/>
      <c r="H345" s="120"/>
      <c r="I345" s="120"/>
      <c r="J345" s="120"/>
      <c r="K345" s="120"/>
      <c r="L345" s="120"/>
      <c r="M345" s="120"/>
      <c r="N345" s="120"/>
      <c r="O345" s="111"/>
      <c r="P345" s="105"/>
      <c r="Q345" s="105"/>
    </row>
    <row r="346" spans="1:17" s="106" customFormat="1">
      <c r="A346" s="104"/>
      <c r="B346" s="122" t="s">
        <v>184</v>
      </c>
      <c r="C346" s="122" t="s">
        <v>165</v>
      </c>
      <c r="D346" s="123"/>
      <c r="E346" s="123"/>
      <c r="F346" s="104"/>
      <c r="G346" s="125"/>
      <c r="H346" s="123"/>
      <c r="I346" s="124"/>
      <c r="J346" s="123"/>
      <c r="K346" s="123"/>
      <c r="L346" s="124"/>
      <c r="M346" s="123"/>
      <c r="N346" s="123"/>
      <c r="O346" s="111"/>
      <c r="P346" s="105"/>
      <c r="Q346" s="105"/>
    </row>
    <row r="347" spans="1:17" s="106" customFormat="1">
      <c r="A347" s="104"/>
      <c r="B347" s="122" t="s">
        <v>103</v>
      </c>
      <c r="C347" s="122" t="s">
        <v>165</v>
      </c>
      <c r="D347" s="147"/>
      <c r="E347" s="147"/>
      <c r="F347" s="104"/>
      <c r="G347" s="125"/>
      <c r="H347" s="123"/>
      <c r="I347" s="124"/>
      <c r="J347" s="123"/>
      <c r="K347" s="123"/>
      <c r="L347" s="124"/>
      <c r="M347" s="123"/>
      <c r="N347" s="123"/>
      <c r="O347" s="111"/>
      <c r="P347" s="105"/>
      <c r="Q347" s="105"/>
    </row>
    <row r="348" spans="1:17" s="106" customFormat="1">
      <c r="A348" s="104"/>
      <c r="B348" s="122" t="s">
        <v>185</v>
      </c>
      <c r="C348" s="122"/>
      <c r="D348" s="123"/>
      <c r="E348" s="123"/>
      <c r="F348" s="104"/>
      <c r="G348" s="125"/>
      <c r="H348" s="123"/>
      <c r="I348" s="124"/>
      <c r="J348" s="123"/>
      <c r="K348" s="123"/>
      <c r="L348" s="124"/>
      <c r="M348" s="123"/>
      <c r="N348" s="123"/>
      <c r="O348" s="111"/>
      <c r="P348" s="105"/>
      <c r="Q348" s="105"/>
    </row>
    <row r="349" spans="1:17" s="106" customFormat="1">
      <c r="A349" s="104"/>
      <c r="B349" s="122" t="s">
        <v>186</v>
      </c>
      <c r="C349" s="122"/>
      <c r="D349" s="123"/>
      <c r="E349" s="123"/>
      <c r="F349" s="104"/>
      <c r="G349" s="125"/>
      <c r="H349" s="123"/>
      <c r="I349" s="124"/>
      <c r="J349" s="123"/>
      <c r="K349" s="123"/>
      <c r="L349" s="124"/>
      <c r="M349" s="123"/>
      <c r="N349" s="123"/>
      <c r="O349" s="111"/>
      <c r="P349" s="105"/>
      <c r="Q349" s="105"/>
    </row>
    <row r="350" spans="1:17" s="106" customFormat="1">
      <c r="A350" s="104"/>
      <c r="B350" s="122" t="s">
        <v>187</v>
      </c>
      <c r="C350" s="122"/>
      <c r="D350" s="123"/>
      <c r="E350" s="123"/>
      <c r="F350" s="104"/>
      <c r="G350" s="125"/>
      <c r="H350" s="123"/>
      <c r="I350" s="124"/>
      <c r="J350" s="123"/>
      <c r="K350" s="123"/>
      <c r="L350" s="124"/>
      <c r="M350" s="123"/>
      <c r="N350" s="123"/>
      <c r="O350" s="111"/>
      <c r="P350" s="105"/>
      <c r="Q350" s="105"/>
    </row>
    <row r="351" spans="1:17" s="106" customFormat="1" ht="18" customHeight="1">
      <c r="A351" s="121"/>
      <c r="B351" s="128" t="s">
        <v>188</v>
      </c>
      <c r="C351" s="129"/>
      <c r="D351" s="130">
        <f>SUM(D346:D350)</f>
        <v>0</v>
      </c>
      <c r="E351" s="130">
        <f>SUM(E346:E350)</f>
        <v>0</v>
      </c>
      <c r="F351" s="132"/>
      <c r="G351" s="130">
        <f>SUM(G346:G350)</f>
        <v>0</v>
      </c>
      <c r="H351" s="130">
        <f>SUM(H346:H350)</f>
        <v>0</v>
      </c>
      <c r="I351" s="132"/>
      <c r="J351" s="130">
        <f>SUM(J346:J350)</f>
        <v>0</v>
      </c>
      <c r="K351" s="130">
        <f>SUM(K346:K350)</f>
        <v>0</v>
      </c>
      <c r="L351" s="132"/>
      <c r="M351" s="130">
        <f>SUM(M346:M350)</f>
        <v>0</v>
      </c>
      <c r="N351" s="130">
        <f>SUM(N346:N350)</f>
        <v>0</v>
      </c>
      <c r="O351" s="111"/>
      <c r="P351" s="134">
        <f>+D351+G351+J351+M351</f>
        <v>0</v>
      </c>
      <c r="Q351" s="134">
        <f>+E351+H351+K351+N351</f>
        <v>0</v>
      </c>
    </row>
    <row r="352" spans="1:17" s="106" customFormat="1" ht="15" thickBot="1">
      <c r="A352" s="104"/>
      <c r="B352" s="104"/>
      <c r="C352" s="117"/>
      <c r="D352" s="117"/>
      <c r="E352" s="117"/>
      <c r="F352" s="117"/>
      <c r="G352" s="117"/>
      <c r="H352" s="117"/>
      <c r="I352" s="117"/>
      <c r="J352" s="117"/>
      <c r="K352" s="117"/>
      <c r="L352" s="117"/>
      <c r="M352" s="117"/>
      <c r="N352" s="117"/>
      <c r="O352" s="104"/>
      <c r="P352" s="105"/>
      <c r="Q352" s="105"/>
    </row>
    <row r="353" spans="1:17" s="106" customFormat="1" ht="15" thickBot="1">
      <c r="A353" s="113"/>
      <c r="B353" s="118" t="s">
        <v>189</v>
      </c>
      <c r="C353" s="119"/>
      <c r="D353" s="120"/>
      <c r="E353" s="120"/>
      <c r="F353" s="120"/>
      <c r="G353" s="120"/>
      <c r="H353" s="120"/>
      <c r="I353" s="120"/>
      <c r="J353" s="120"/>
      <c r="K353" s="120"/>
      <c r="L353" s="120"/>
      <c r="M353" s="120"/>
      <c r="N353" s="120"/>
      <c r="O353" s="111"/>
      <c r="P353" s="105"/>
      <c r="Q353" s="105"/>
    </row>
    <row r="354" spans="1:17" s="106" customFormat="1">
      <c r="A354" s="104"/>
      <c r="B354" s="122" t="s">
        <v>190</v>
      </c>
      <c r="C354" s="122" t="s">
        <v>165</v>
      </c>
      <c r="D354" s="123"/>
      <c r="E354" s="123"/>
      <c r="F354" s="104"/>
      <c r="G354" s="125"/>
      <c r="H354" s="123"/>
      <c r="I354" s="124"/>
      <c r="J354" s="123"/>
      <c r="K354" s="123"/>
      <c r="L354" s="124"/>
      <c r="M354" s="123"/>
      <c r="N354" s="123"/>
      <c r="O354" s="104"/>
      <c r="P354" s="105"/>
      <c r="Q354" s="105"/>
    </row>
    <row r="355" spans="1:17" s="106" customFormat="1">
      <c r="A355" s="104"/>
      <c r="B355" s="122" t="s">
        <v>191</v>
      </c>
      <c r="C355" s="122" t="s">
        <v>192</v>
      </c>
      <c r="D355" s="123"/>
      <c r="E355" s="123"/>
      <c r="F355" s="104"/>
      <c r="G355" s="125"/>
      <c r="H355" s="123"/>
      <c r="I355" s="124"/>
      <c r="J355" s="123"/>
      <c r="K355" s="123"/>
      <c r="L355" s="124"/>
      <c r="M355" s="123"/>
      <c r="N355" s="123"/>
      <c r="O355" s="104"/>
      <c r="P355" s="105"/>
      <c r="Q355" s="105"/>
    </row>
    <row r="356" spans="1:17" s="106" customFormat="1">
      <c r="A356" s="104"/>
      <c r="B356" s="122" t="s">
        <v>193</v>
      </c>
      <c r="C356" s="122"/>
      <c r="D356" s="123"/>
      <c r="E356" s="123"/>
      <c r="F356" s="104"/>
      <c r="G356" s="125"/>
      <c r="H356" s="123"/>
      <c r="I356" s="124"/>
      <c r="J356" s="123"/>
      <c r="K356" s="123"/>
      <c r="L356" s="124"/>
      <c r="M356" s="123"/>
      <c r="N356" s="123"/>
      <c r="O356" s="104"/>
      <c r="P356" s="105"/>
      <c r="Q356" s="105"/>
    </row>
    <row r="357" spans="1:17" s="106" customFormat="1" ht="18" customHeight="1">
      <c r="A357" s="121"/>
      <c r="B357" s="128" t="s">
        <v>194</v>
      </c>
      <c r="C357" s="129"/>
      <c r="D357" s="130">
        <f>SUM(D354:D356)</f>
        <v>0</v>
      </c>
      <c r="E357" s="130">
        <f>SUM(E354:E356)</f>
        <v>0</v>
      </c>
      <c r="F357" s="132"/>
      <c r="G357" s="130">
        <f>SUM(G354:G356)</f>
        <v>0</v>
      </c>
      <c r="H357" s="130">
        <f>SUM(H354:H356)</f>
        <v>0</v>
      </c>
      <c r="I357" s="132"/>
      <c r="J357" s="130">
        <f>SUM(J354:J356)</f>
        <v>0</v>
      </c>
      <c r="K357" s="130">
        <f>SUM(K354:K356)</f>
        <v>0</v>
      </c>
      <c r="L357" s="132"/>
      <c r="M357" s="130">
        <f>SUM(M354:M356)</f>
        <v>0</v>
      </c>
      <c r="N357" s="130">
        <f>SUM(N354:N356)</f>
        <v>0</v>
      </c>
      <c r="O357" s="111"/>
      <c r="P357" s="134">
        <f>+D357+G357+J357+M357</f>
        <v>0</v>
      </c>
      <c r="Q357" s="134">
        <f>+E357+H357+K357+N357</f>
        <v>0</v>
      </c>
    </row>
    <row r="358" spans="1:17" s="106" customFormat="1" ht="7.5" customHeight="1">
      <c r="A358" s="104"/>
      <c r="B358" s="136"/>
      <c r="C358" s="104"/>
      <c r="D358" s="104"/>
      <c r="E358" s="104"/>
      <c r="F358" s="104"/>
      <c r="G358" s="104"/>
      <c r="H358" s="104"/>
      <c r="I358" s="104"/>
      <c r="J358" s="104"/>
      <c r="K358" s="104"/>
      <c r="L358" s="104"/>
      <c r="M358" s="104"/>
      <c r="N358" s="104"/>
      <c r="O358" s="104"/>
      <c r="P358" s="105"/>
      <c r="Q358" s="105"/>
    </row>
    <row r="359" spans="1:17" s="106" customFormat="1" ht="15.75" thickBot="1">
      <c r="A359" s="104"/>
      <c r="B359" s="104"/>
      <c r="C359" s="137"/>
      <c r="D359" s="138">
        <f>+D357+D351+D343+D338+D334+D326+D312</f>
        <v>2633.3490000000002</v>
      </c>
      <c r="E359" s="138">
        <f>+E357+E351+E343+E338+E334+E326+E312</f>
        <v>7512379.5779999997</v>
      </c>
      <c r="F359" s="137"/>
      <c r="G359" s="138">
        <f>+G357+G351+G343+G338+G334+G326+G312</f>
        <v>0</v>
      </c>
      <c r="H359" s="138">
        <f>+H357+H351+H343+H338+H334+H326+H312</f>
        <v>0</v>
      </c>
      <c r="I359" s="137"/>
      <c r="J359" s="138">
        <f>+J357+J351+J343+J338+J334+J326+J312</f>
        <v>0</v>
      </c>
      <c r="K359" s="138">
        <f>+K357+K351+K343+K338+K334+K326+K312</f>
        <v>0</v>
      </c>
      <c r="L359" s="137"/>
      <c r="M359" s="138">
        <f>+M357+M351+M343+M338+M334+M326+M312</f>
        <v>1.4</v>
      </c>
      <c r="N359" s="138">
        <f>+N357+N351+N343+N338+N334+N326+N312</f>
        <v>7477172.8379999995</v>
      </c>
      <c r="O359" s="137"/>
      <c r="P359" s="138">
        <f>+P357+P351+P343+P338+P334+P326+P312</f>
        <v>2634.7490000000003</v>
      </c>
      <c r="Q359" s="138">
        <f>+Q357+Q351+Q343+Q338+Q334+Q326+Q312</f>
        <v>14989552.415999999</v>
      </c>
    </row>
    <row r="360" spans="1:17" s="106" customFormat="1" ht="15" thickTop="1">
      <c r="A360" s="104"/>
      <c r="B360" s="104"/>
      <c r="C360" s="137"/>
      <c r="D360" s="104"/>
      <c r="E360" s="104"/>
      <c r="F360" s="104"/>
      <c r="G360" s="104"/>
      <c r="H360" s="104"/>
      <c r="I360" s="104"/>
      <c r="J360" s="104"/>
      <c r="K360" s="104"/>
      <c r="L360" s="104"/>
      <c r="M360" s="104"/>
      <c r="N360" s="104"/>
      <c r="O360" s="104"/>
      <c r="P360" s="105"/>
      <c r="Q360" s="105"/>
    </row>
    <row r="361" spans="1:17" s="106" customFormat="1">
      <c r="A361" s="104"/>
      <c r="B361" s="136" t="s">
        <v>223</v>
      </c>
      <c r="C361" s="137"/>
      <c r="D361" s="104"/>
      <c r="E361" s="104"/>
      <c r="F361" s="104"/>
      <c r="G361" s="104"/>
      <c r="H361" s="104"/>
      <c r="I361" s="104"/>
      <c r="J361" s="104"/>
      <c r="K361" s="104"/>
      <c r="L361" s="104"/>
      <c r="M361" s="104"/>
      <c r="N361" s="104"/>
      <c r="O361" s="104"/>
      <c r="P361" s="105"/>
      <c r="Q361" s="105"/>
    </row>
    <row r="362" spans="1:17" s="106" customFormat="1">
      <c r="A362" s="104"/>
      <c r="B362" s="136" t="s">
        <v>224</v>
      </c>
      <c r="C362" s="137"/>
      <c r="D362" s="104"/>
      <c r="E362" s="104"/>
      <c r="F362" s="104"/>
      <c r="G362" s="104"/>
      <c r="H362" s="104"/>
      <c r="I362" s="104"/>
      <c r="J362" s="104"/>
      <c r="K362" s="104"/>
      <c r="L362" s="104"/>
      <c r="M362" s="104"/>
      <c r="N362" s="104"/>
      <c r="O362" s="104"/>
      <c r="P362" s="105"/>
      <c r="Q362" s="105"/>
    </row>
    <row r="363" spans="1:17" s="106" customFormat="1">
      <c r="A363" s="104"/>
      <c r="B363" s="146" t="s">
        <v>225</v>
      </c>
      <c r="C363" s="137"/>
      <c r="D363" s="104"/>
      <c r="E363" s="104"/>
      <c r="F363" s="104"/>
      <c r="G363" s="104"/>
      <c r="H363" s="104"/>
      <c r="I363" s="104"/>
      <c r="J363" s="104"/>
      <c r="K363" s="104"/>
      <c r="L363" s="104"/>
      <c r="M363" s="104"/>
      <c r="N363" s="104"/>
      <c r="O363" s="104"/>
      <c r="P363" s="105"/>
      <c r="Q363" s="105"/>
    </row>
    <row r="364" spans="1:17" s="106" customFormat="1">
      <c r="A364" s="104"/>
      <c r="B364" s="136" t="s">
        <v>226</v>
      </c>
      <c r="C364" s="136"/>
      <c r="D364" s="104"/>
      <c r="E364" s="104"/>
      <c r="F364" s="104"/>
      <c r="G364" s="104"/>
      <c r="H364" s="104"/>
      <c r="I364" s="104"/>
      <c r="J364" s="104"/>
      <c r="K364" s="104"/>
      <c r="L364" s="104"/>
      <c r="M364" s="104"/>
      <c r="N364" s="104"/>
      <c r="O364" s="104"/>
      <c r="P364" s="105"/>
      <c r="Q364" s="105"/>
    </row>
    <row r="365" spans="1:17" s="106" customFormat="1">
      <c r="A365" s="104"/>
      <c r="B365" s="136" t="s">
        <v>198</v>
      </c>
      <c r="C365" s="137"/>
      <c r="D365" s="104"/>
      <c r="E365" s="104"/>
      <c r="F365" s="104"/>
      <c r="G365" s="104"/>
      <c r="H365" s="104"/>
      <c r="I365" s="104"/>
      <c r="J365" s="104"/>
      <c r="K365" s="104"/>
      <c r="L365" s="104"/>
      <c r="M365" s="104"/>
      <c r="N365" s="104"/>
      <c r="O365" s="104"/>
      <c r="P365" s="105"/>
      <c r="Q365" s="105"/>
    </row>
    <row r="366" spans="1:17" s="106" customFormat="1">
      <c r="A366" s="104"/>
      <c r="B366" s="136" t="s">
        <v>227</v>
      </c>
      <c r="C366" s="136"/>
      <c r="D366" s="104"/>
      <c r="E366" s="104"/>
      <c r="F366" s="104"/>
      <c r="G366" s="104"/>
      <c r="H366" s="104"/>
      <c r="I366" s="104"/>
      <c r="J366" s="104"/>
      <c r="K366" s="104"/>
      <c r="L366" s="104"/>
      <c r="M366" s="104"/>
      <c r="N366" s="104"/>
      <c r="O366" s="104"/>
      <c r="P366" s="105"/>
      <c r="Q366" s="105"/>
    </row>
    <row r="367" spans="1:17" s="106" customFormat="1">
      <c r="A367" s="104"/>
      <c r="B367" s="136"/>
      <c r="C367" s="104"/>
      <c r="D367" s="104"/>
      <c r="E367" s="104"/>
      <c r="F367" s="104"/>
      <c r="G367" s="104"/>
      <c r="H367" s="104"/>
      <c r="I367" s="104"/>
      <c r="J367" s="104"/>
      <c r="K367" s="104"/>
      <c r="L367" s="104"/>
      <c r="M367" s="104"/>
      <c r="N367" s="104"/>
      <c r="O367" s="104"/>
      <c r="P367" s="105"/>
      <c r="Q367" s="105"/>
    </row>
    <row r="368" spans="1:17" s="106" customFormat="1" ht="18">
      <c r="A368" s="103" t="s">
        <v>228</v>
      </c>
      <c r="B368" s="104"/>
      <c r="C368" s="104"/>
      <c r="D368" s="104"/>
      <c r="E368" s="104"/>
      <c r="F368" s="104"/>
      <c r="G368" s="104"/>
      <c r="H368" s="104"/>
      <c r="I368" s="104"/>
      <c r="J368" s="104"/>
      <c r="K368" s="104"/>
      <c r="L368" s="104"/>
      <c r="M368" s="104"/>
      <c r="N368" s="104"/>
      <c r="O368" s="104"/>
      <c r="P368" s="105"/>
      <c r="Q368" s="105"/>
    </row>
    <row r="370" spans="1:18" s="106" customFormat="1" ht="15">
      <c r="A370" s="107"/>
      <c r="B370" s="107"/>
      <c r="C370" s="107"/>
      <c r="D370" s="615">
        <v>2013</v>
      </c>
      <c r="E370" s="615"/>
      <c r="F370" s="108"/>
      <c r="G370" s="616"/>
      <c r="H370" s="616"/>
      <c r="I370" s="109"/>
      <c r="J370" s="616">
        <v>2013</v>
      </c>
      <c r="K370" s="616"/>
      <c r="L370" s="109"/>
      <c r="M370" s="616">
        <v>2014</v>
      </c>
      <c r="N370" s="616"/>
      <c r="O370" s="107"/>
      <c r="P370" s="105"/>
      <c r="Q370" s="105"/>
    </row>
    <row r="371" spans="1:18" s="106" customFormat="1" ht="18">
      <c r="A371" s="110"/>
      <c r="B371" s="111"/>
      <c r="C371" s="111"/>
      <c r="D371" s="617" t="s">
        <v>145</v>
      </c>
      <c r="E371" s="617"/>
      <c r="F371" s="112"/>
      <c r="G371" s="616" t="s">
        <v>221</v>
      </c>
      <c r="H371" s="616"/>
      <c r="I371" s="616"/>
      <c r="J371" s="616"/>
      <c r="K371" s="616"/>
      <c r="L371" s="616"/>
      <c r="M371" s="616"/>
      <c r="N371" s="616"/>
      <c r="O371" s="111"/>
      <c r="P371" s="105"/>
      <c r="Q371" s="105"/>
    </row>
    <row r="372" spans="1:18" s="106" customFormat="1" ht="15">
      <c r="A372" s="104"/>
      <c r="B372" s="104"/>
      <c r="C372" s="104"/>
      <c r="D372" s="104"/>
      <c r="E372" s="104"/>
      <c r="F372" s="104"/>
      <c r="G372" s="104"/>
      <c r="H372" s="104"/>
      <c r="I372" s="104"/>
      <c r="J372" s="104"/>
      <c r="K372" s="104"/>
      <c r="L372" s="104"/>
      <c r="M372" s="104"/>
      <c r="N372" s="104"/>
      <c r="O372" s="104"/>
      <c r="P372" s="614" t="s">
        <v>5</v>
      </c>
      <c r="Q372" s="614"/>
    </row>
    <row r="373" spans="1:18" s="106" customFormat="1" ht="51">
      <c r="A373" s="104"/>
      <c r="B373" s="114" t="s">
        <v>229</v>
      </c>
      <c r="C373" s="114"/>
      <c r="D373" s="115" t="str">
        <f>+$D$6</f>
        <v>Peak Demand Savings (kW)</v>
      </c>
      <c r="E373" s="115" t="str">
        <f>+$E$6</f>
        <v>Energy Savings (kWh)</v>
      </c>
      <c r="G373" s="115" t="str">
        <f>+$G$6</f>
        <v>Peak Demand Savings (kW)</v>
      </c>
      <c r="H373" s="115" t="str">
        <f>+$H$6</f>
        <v>Energy Savings (kWh)</v>
      </c>
      <c r="J373" s="115" t="str">
        <f>+$J$6</f>
        <v>Peak Demand Savings (kW)</v>
      </c>
      <c r="K373" s="115" t="str">
        <f>+$K$6</f>
        <v>Energy Savings (kWh)</v>
      </c>
      <c r="M373" s="115" t="str">
        <f>+$M$6</f>
        <v>Peak Demand Savings (kW)</v>
      </c>
      <c r="N373" s="115" t="str">
        <f>+$N$6</f>
        <v>Energy Savings (kWh)</v>
      </c>
      <c r="O373" s="104"/>
      <c r="P373" s="116" t="str">
        <f>+$P$6</f>
        <v>Peak Demand Savings (kW)</v>
      </c>
      <c r="Q373" s="116" t="str">
        <f>+$Q$6</f>
        <v>Energy Savings (kWh)</v>
      </c>
    </row>
    <row r="374" spans="1:18" s="106" customFormat="1" ht="15" thickBot="1">
      <c r="A374" s="104"/>
      <c r="B374" s="117"/>
      <c r="C374" s="117"/>
      <c r="D374" s="117"/>
      <c r="E374" s="117"/>
      <c r="F374" s="117"/>
      <c r="G374" s="117"/>
      <c r="H374" s="117"/>
      <c r="I374" s="117"/>
      <c r="J374" s="117"/>
      <c r="K374" s="117"/>
      <c r="L374" s="117"/>
      <c r="M374" s="117"/>
      <c r="N374" s="117"/>
      <c r="O374" s="104"/>
      <c r="P374" s="105"/>
      <c r="Q374" s="105"/>
    </row>
    <row r="375" spans="1:18" s="106" customFormat="1" ht="15" thickBot="1">
      <c r="A375" s="104"/>
      <c r="B375" s="118" t="s">
        <v>150</v>
      </c>
      <c r="C375" s="119"/>
      <c r="D375" s="120"/>
      <c r="E375" s="120"/>
      <c r="F375" s="120"/>
      <c r="G375" s="120"/>
      <c r="H375" s="120"/>
      <c r="I375" s="120"/>
      <c r="J375" s="120"/>
      <c r="K375" s="120"/>
      <c r="L375" s="120"/>
      <c r="M375" s="120"/>
      <c r="N375" s="120"/>
      <c r="O375" s="104"/>
      <c r="P375" s="105"/>
      <c r="Q375" s="105"/>
    </row>
    <row r="376" spans="1:18" s="106" customFormat="1">
      <c r="A376" s="104"/>
      <c r="B376" s="122" t="s">
        <v>151</v>
      </c>
      <c r="C376" s="122" t="s">
        <v>152</v>
      </c>
      <c r="D376" s="123"/>
      <c r="E376" s="123"/>
      <c r="F376" s="124"/>
      <c r="G376" s="123"/>
      <c r="H376" s="123"/>
      <c r="I376" s="124"/>
      <c r="J376" s="123"/>
      <c r="K376" s="123"/>
      <c r="L376" s="124"/>
      <c r="M376" s="123"/>
      <c r="N376" s="123">
        <f>+N586</f>
        <v>-35855</v>
      </c>
      <c r="O376" s="104"/>
      <c r="P376" s="105"/>
      <c r="Q376" s="105"/>
      <c r="R376" s="123"/>
    </row>
    <row r="377" spans="1:18" s="106" customFormat="1">
      <c r="A377" s="104"/>
      <c r="B377" s="122" t="s">
        <v>153</v>
      </c>
      <c r="C377" s="122" t="s">
        <v>152</v>
      </c>
      <c r="D377" s="125"/>
      <c r="E377" s="125"/>
      <c r="F377" s="124"/>
      <c r="G377" s="125"/>
      <c r="H377" s="123"/>
      <c r="I377" s="124"/>
      <c r="J377" s="123"/>
      <c r="K377" s="123"/>
      <c r="L377" s="124"/>
      <c r="M377" s="123"/>
      <c r="N377" s="123"/>
      <c r="O377" s="104"/>
      <c r="P377" s="105"/>
      <c r="Q377" s="105"/>
    </row>
    <row r="378" spans="1:18" s="106" customFormat="1">
      <c r="A378" s="104"/>
      <c r="B378" s="122" t="s">
        <v>154</v>
      </c>
      <c r="C378" s="122" t="s">
        <v>152</v>
      </c>
      <c r="D378" s="147">
        <v>7.6319999999999997</v>
      </c>
      <c r="E378" s="147">
        <v>13710.5853572</v>
      </c>
      <c r="F378" s="124"/>
      <c r="G378" s="125"/>
      <c r="H378" s="123"/>
      <c r="I378" s="124"/>
      <c r="J378" s="123"/>
      <c r="K378" s="123"/>
      <c r="L378" s="124"/>
      <c r="M378" s="123"/>
      <c r="N378" s="123">
        <f>+E378</f>
        <v>13710.5853572</v>
      </c>
      <c r="O378" s="104"/>
      <c r="P378" s="105"/>
      <c r="Q378" s="105"/>
    </row>
    <row r="379" spans="1:18" s="106" customFormat="1">
      <c r="A379" s="104"/>
      <c r="B379" s="122" t="s">
        <v>155</v>
      </c>
      <c r="C379" s="122" t="s">
        <v>152</v>
      </c>
      <c r="D379" s="147">
        <v>1.4999999999999999E-2</v>
      </c>
      <c r="E379" s="147">
        <v>206</v>
      </c>
      <c r="F379" s="124"/>
      <c r="G379" s="125"/>
      <c r="H379" s="123"/>
      <c r="I379" s="124"/>
      <c r="J379" s="123"/>
      <c r="K379" s="123"/>
      <c r="L379" s="124"/>
      <c r="M379" s="123"/>
      <c r="N379" s="123">
        <f>+E379</f>
        <v>206</v>
      </c>
      <c r="O379" s="104"/>
      <c r="P379" s="105"/>
      <c r="Q379" s="105"/>
    </row>
    <row r="380" spans="1:18" s="106" customFormat="1">
      <c r="A380" s="104"/>
      <c r="B380" s="122" t="s">
        <v>156</v>
      </c>
      <c r="C380" s="122" t="s">
        <v>152</v>
      </c>
      <c r="D380" s="150"/>
      <c r="E380" s="125"/>
      <c r="F380" s="124"/>
      <c r="G380" s="125"/>
      <c r="H380" s="123"/>
      <c r="I380" s="124"/>
      <c r="J380" s="123"/>
      <c r="K380" s="123"/>
      <c r="L380" s="124"/>
      <c r="M380" s="123"/>
      <c r="N380" s="123"/>
      <c r="O380" s="104"/>
      <c r="P380" s="105"/>
      <c r="Q380" s="105"/>
    </row>
    <row r="381" spans="1:18" s="106" customFormat="1">
      <c r="A381" s="104"/>
      <c r="B381" s="122" t="s">
        <v>157</v>
      </c>
      <c r="C381" s="122" t="s">
        <v>152</v>
      </c>
      <c r="D381" s="123"/>
      <c r="E381" s="125"/>
      <c r="F381" s="124"/>
      <c r="G381" s="125"/>
      <c r="H381" s="123"/>
      <c r="I381" s="124"/>
      <c r="J381" s="123"/>
      <c r="K381" s="123"/>
      <c r="L381" s="124"/>
      <c r="M381" s="123"/>
      <c r="N381" s="123"/>
      <c r="O381" s="104"/>
      <c r="P381" s="105"/>
      <c r="Q381" s="105"/>
    </row>
    <row r="382" spans="1:18" s="106" customFormat="1">
      <c r="A382" s="104"/>
      <c r="B382" s="122" t="s">
        <v>158</v>
      </c>
      <c r="C382" s="122" t="s">
        <v>152</v>
      </c>
      <c r="D382" s="123"/>
      <c r="E382" s="125"/>
      <c r="F382" s="124"/>
      <c r="G382" s="125"/>
      <c r="H382" s="123"/>
      <c r="I382" s="124"/>
      <c r="J382" s="123"/>
      <c r="K382" s="123"/>
      <c r="L382" s="124"/>
      <c r="M382" s="123"/>
      <c r="N382" s="123"/>
      <c r="O382" s="104"/>
      <c r="P382" s="105"/>
      <c r="Q382" s="105"/>
    </row>
    <row r="383" spans="1:18" s="106" customFormat="1">
      <c r="A383" s="104"/>
      <c r="B383" s="122" t="s">
        <v>159</v>
      </c>
      <c r="C383" s="122" t="s">
        <v>152</v>
      </c>
      <c r="D383" s="123"/>
      <c r="E383" s="125"/>
      <c r="F383" s="124"/>
      <c r="G383" s="125"/>
      <c r="H383" s="123"/>
      <c r="I383" s="124"/>
      <c r="J383" s="123"/>
      <c r="K383" s="123"/>
      <c r="L383" s="124"/>
      <c r="M383" s="123"/>
      <c r="N383" s="123"/>
      <c r="O383" s="104"/>
      <c r="P383" s="105"/>
      <c r="Q383" s="105"/>
    </row>
    <row r="384" spans="1:18" s="106" customFormat="1">
      <c r="A384" s="104"/>
      <c r="B384" s="122" t="s">
        <v>160</v>
      </c>
      <c r="C384" s="127" t="s">
        <v>152</v>
      </c>
      <c r="D384" s="123"/>
      <c r="E384" s="125"/>
      <c r="F384" s="124"/>
      <c r="G384" s="125"/>
      <c r="H384" s="123"/>
      <c r="I384" s="124"/>
      <c r="J384" s="123"/>
      <c r="K384" s="123"/>
      <c r="L384" s="124"/>
      <c r="M384" s="123"/>
      <c r="N384" s="123"/>
      <c r="O384" s="104"/>
      <c r="P384" s="105"/>
      <c r="Q384" s="105"/>
    </row>
    <row r="385" spans="1:18" s="106" customFormat="1">
      <c r="A385" s="104"/>
      <c r="B385" s="128" t="s">
        <v>161</v>
      </c>
      <c r="C385" s="129"/>
      <c r="D385" s="130">
        <f>SUM(D376:D384)</f>
        <v>7.6469999999999994</v>
      </c>
      <c r="E385" s="131">
        <f>SUM(E376:E384)</f>
        <v>13916.5853572</v>
      </c>
      <c r="F385" s="132"/>
      <c r="G385" s="131">
        <f>SUM(G376:G384)</f>
        <v>0</v>
      </c>
      <c r="H385" s="131">
        <f>SUM(H376:H384)</f>
        <v>0</v>
      </c>
      <c r="I385" s="132"/>
      <c r="J385" s="131">
        <f>SUM(J376:J384)</f>
        <v>0</v>
      </c>
      <c r="K385" s="131">
        <f>SUM(K376:K384)</f>
        <v>0</v>
      </c>
      <c r="L385" s="132"/>
      <c r="M385" s="131">
        <f>SUM(M376:M384)</f>
        <v>0</v>
      </c>
      <c r="N385" s="131">
        <f>SUM(N376:N384)</f>
        <v>-21938.414642800002</v>
      </c>
      <c r="O385" s="104"/>
      <c r="P385" s="134">
        <f>+D385+G385+J385+M385</f>
        <v>7.6469999999999994</v>
      </c>
      <c r="Q385" s="134">
        <f>+E385+H385+K385+N385</f>
        <v>-8021.8292856000025</v>
      </c>
    </row>
    <row r="386" spans="1:18" s="106" customFormat="1" ht="15" thickBot="1">
      <c r="A386" s="104"/>
      <c r="B386" s="104"/>
      <c r="C386" s="117"/>
      <c r="D386" s="117"/>
      <c r="E386" s="117"/>
      <c r="F386" s="117"/>
      <c r="G386" s="117"/>
      <c r="H386" s="117"/>
      <c r="I386" s="117"/>
      <c r="J386" s="117"/>
      <c r="K386" s="117"/>
      <c r="L386" s="117"/>
      <c r="M386" s="117"/>
      <c r="N386" s="117"/>
      <c r="O386" s="104"/>
      <c r="P386" s="105"/>
      <c r="Q386" s="105"/>
    </row>
    <row r="387" spans="1:18" s="106" customFormat="1" ht="15" thickBot="1">
      <c r="A387" s="104"/>
      <c r="B387" s="118" t="s">
        <v>162</v>
      </c>
      <c r="C387" s="119"/>
      <c r="D387" s="120"/>
      <c r="E387" s="120"/>
      <c r="F387" s="120"/>
      <c r="G387" s="120"/>
      <c r="H387" s="120"/>
      <c r="I387" s="120"/>
      <c r="J387" s="120"/>
      <c r="K387" s="120"/>
      <c r="L387" s="120"/>
      <c r="M387" s="120"/>
      <c r="N387" s="120"/>
      <c r="O387" s="104"/>
      <c r="P387" s="105"/>
      <c r="Q387" s="105"/>
    </row>
    <row r="388" spans="1:18" s="106" customFormat="1" ht="15" thickBot="1">
      <c r="A388" s="104"/>
      <c r="B388" s="122" t="s">
        <v>163</v>
      </c>
      <c r="C388" s="122" t="s">
        <v>164</v>
      </c>
      <c r="D388" s="123">
        <f>+[16]Summary!$Z$35</f>
        <v>5.0272633272486473</v>
      </c>
      <c r="E388" s="142">
        <f>+[16]Summary!$AA$35</f>
        <v>25142.65800660511</v>
      </c>
      <c r="F388" s="104"/>
      <c r="G388" s="125"/>
      <c r="H388" s="123"/>
      <c r="I388" s="124"/>
      <c r="J388" s="123"/>
      <c r="K388" s="123"/>
      <c r="L388" s="124"/>
      <c r="M388" s="123"/>
      <c r="N388" s="123">
        <f>+E388</f>
        <v>25142.65800660511</v>
      </c>
      <c r="O388" s="104"/>
      <c r="P388" s="105"/>
      <c r="Q388" s="105"/>
    </row>
    <row r="389" spans="1:18" s="106" customFormat="1" ht="15.75" thickTop="1" thickBot="1">
      <c r="A389" s="104"/>
      <c r="B389" s="122" t="s">
        <v>163</v>
      </c>
      <c r="C389" s="122" t="s">
        <v>165</v>
      </c>
      <c r="D389" s="123">
        <f>+[16]Summary!$Z$34</f>
        <v>8.4055438457037042</v>
      </c>
      <c r="E389" s="142">
        <f>+[16]Summary!$AA$34</f>
        <v>42012.69221955142</v>
      </c>
      <c r="F389" s="104"/>
      <c r="G389" s="125"/>
      <c r="H389" s="123"/>
      <c r="I389" s="124"/>
      <c r="J389" s="123"/>
      <c r="K389" s="123"/>
      <c r="L389" s="124"/>
      <c r="M389" s="123"/>
      <c r="N389" s="123">
        <f>+E389</f>
        <v>42012.69221955142</v>
      </c>
      <c r="O389" s="104"/>
      <c r="P389" s="105"/>
      <c r="Q389" s="105"/>
    </row>
    <row r="390" spans="1:18" s="106" customFormat="1" ht="15.75" thickTop="1" thickBot="1">
      <c r="A390" s="104"/>
      <c r="B390" s="122" t="s">
        <v>163</v>
      </c>
      <c r="C390" s="122" t="s">
        <v>111</v>
      </c>
      <c r="D390" s="123">
        <f>+[16]Summary!$Z$33</f>
        <v>39.567192827047677</v>
      </c>
      <c r="E390" s="142">
        <f>+[16]Summary!$AA$33</f>
        <v>197872.64977384359</v>
      </c>
      <c r="F390" s="104"/>
      <c r="G390" s="125"/>
      <c r="H390" s="123"/>
      <c r="I390" s="124"/>
      <c r="J390" s="123"/>
      <c r="K390" s="123"/>
      <c r="L390" s="124"/>
      <c r="M390" s="123"/>
      <c r="N390" s="123">
        <f>+E390</f>
        <v>197872.64977384359</v>
      </c>
      <c r="O390" s="104"/>
      <c r="P390" s="105"/>
      <c r="Q390" s="105"/>
    </row>
    <row r="391" spans="1:18" s="106" customFormat="1" ht="15" thickTop="1">
      <c r="A391" s="104"/>
      <c r="B391" s="122" t="s">
        <v>163</v>
      </c>
      <c r="C391" s="122" t="s">
        <v>166</v>
      </c>
      <c r="D391" s="123"/>
      <c r="E391" s="123"/>
      <c r="F391" s="104"/>
      <c r="G391" s="125"/>
      <c r="H391" s="123"/>
      <c r="I391" s="124"/>
      <c r="J391" s="123"/>
      <c r="K391" s="123"/>
      <c r="L391" s="124"/>
      <c r="M391" s="143"/>
      <c r="N391" s="143"/>
      <c r="O391" s="104"/>
      <c r="P391" s="105"/>
      <c r="Q391" s="105"/>
    </row>
    <row r="392" spans="1:18" s="106" customFormat="1">
      <c r="A392" s="104"/>
      <c r="B392" s="122" t="s">
        <v>167</v>
      </c>
      <c r="C392" s="122" t="s">
        <v>164</v>
      </c>
      <c r="D392" s="123"/>
      <c r="E392" s="123"/>
      <c r="F392" s="104"/>
      <c r="G392" s="125"/>
      <c r="H392" s="123"/>
      <c r="I392" s="124"/>
      <c r="J392" s="123"/>
      <c r="K392" s="123"/>
      <c r="L392" s="124"/>
      <c r="M392" s="143"/>
      <c r="N392" s="123">
        <f>+N586</f>
        <v>-35855</v>
      </c>
      <c r="O392" s="104"/>
      <c r="P392" s="105"/>
      <c r="Q392" s="105"/>
      <c r="R392" s="123"/>
    </row>
    <row r="393" spans="1:18" s="106" customFormat="1">
      <c r="A393" s="104"/>
      <c r="B393" s="122" t="s">
        <v>168</v>
      </c>
      <c r="C393" s="122"/>
      <c r="D393" s="123"/>
      <c r="E393" s="123"/>
      <c r="F393" s="104"/>
      <c r="G393" s="125"/>
      <c r="H393" s="123"/>
      <c r="I393" s="124"/>
      <c r="J393" s="123"/>
      <c r="K393" s="123"/>
      <c r="L393" s="124"/>
      <c r="M393" s="143"/>
      <c r="N393" s="143"/>
      <c r="O393" s="104"/>
      <c r="P393" s="105"/>
      <c r="Q393" s="105"/>
    </row>
    <row r="394" spans="1:18" s="106" customFormat="1">
      <c r="A394" s="104"/>
      <c r="B394" s="122" t="s">
        <v>169</v>
      </c>
      <c r="C394" s="122" t="s">
        <v>165</v>
      </c>
      <c r="D394" s="123"/>
      <c r="E394" s="123"/>
      <c r="F394" s="104"/>
      <c r="G394" s="125"/>
      <c r="H394" s="123"/>
      <c r="I394" s="124"/>
      <c r="J394" s="123"/>
      <c r="K394" s="123"/>
      <c r="L394" s="124"/>
      <c r="M394" s="143"/>
      <c r="N394" s="143"/>
      <c r="O394" s="104"/>
      <c r="P394" s="105"/>
      <c r="Q394" s="105"/>
    </row>
    <row r="395" spans="1:18" s="106" customFormat="1">
      <c r="A395" s="104"/>
      <c r="B395" s="122" t="s">
        <v>170</v>
      </c>
      <c r="C395" s="122" t="s">
        <v>165</v>
      </c>
      <c r="D395" s="147"/>
      <c r="E395" s="147"/>
      <c r="F395" s="104"/>
      <c r="G395" s="125"/>
      <c r="H395" s="123"/>
      <c r="I395" s="124"/>
      <c r="J395" s="123"/>
      <c r="K395" s="123"/>
      <c r="L395" s="124"/>
      <c r="M395" s="143"/>
      <c r="N395" s="143"/>
      <c r="O395" s="104"/>
      <c r="P395" s="105"/>
      <c r="Q395" s="105"/>
    </row>
    <row r="396" spans="1:18" s="106" customFormat="1">
      <c r="A396" s="104"/>
      <c r="B396" s="122" t="s">
        <v>171</v>
      </c>
      <c r="C396" s="122" t="s">
        <v>165</v>
      </c>
      <c r="D396" s="123"/>
      <c r="E396" s="123"/>
      <c r="F396" s="104"/>
      <c r="G396" s="125"/>
      <c r="H396" s="123"/>
      <c r="I396" s="124"/>
      <c r="J396" s="123"/>
      <c r="K396" s="123"/>
      <c r="L396" s="124"/>
      <c r="M396" s="143"/>
      <c r="N396" s="143"/>
      <c r="O396" s="104"/>
      <c r="P396" s="105"/>
      <c r="Q396" s="105"/>
    </row>
    <row r="397" spans="1:18" s="106" customFormat="1">
      <c r="A397" s="104"/>
      <c r="B397" s="122" t="s">
        <v>172</v>
      </c>
      <c r="C397" s="122"/>
      <c r="D397" s="123"/>
      <c r="E397" s="123"/>
      <c r="F397" s="104"/>
      <c r="G397" s="125"/>
      <c r="H397" s="123"/>
      <c r="I397" s="124"/>
      <c r="J397" s="123"/>
      <c r="K397" s="123"/>
      <c r="L397" s="124"/>
      <c r="M397" s="143"/>
      <c r="N397" s="143"/>
      <c r="O397" s="104"/>
      <c r="P397" s="105"/>
      <c r="Q397" s="105"/>
    </row>
    <row r="398" spans="1:18" s="106" customFormat="1">
      <c r="A398" s="104"/>
      <c r="B398" s="122" t="s">
        <v>105</v>
      </c>
      <c r="C398" s="127"/>
      <c r="D398" s="123"/>
      <c r="E398" s="123"/>
      <c r="F398" s="104"/>
      <c r="G398" s="125"/>
      <c r="H398" s="123"/>
      <c r="I398" s="124"/>
      <c r="J398" s="123"/>
      <c r="K398" s="123"/>
      <c r="L398" s="124"/>
      <c r="M398" s="143"/>
      <c r="N398" s="143"/>
      <c r="O398" s="104"/>
      <c r="P398" s="105"/>
      <c r="Q398" s="105"/>
    </row>
    <row r="399" spans="1:18" s="106" customFormat="1">
      <c r="A399" s="104"/>
      <c r="B399" s="128" t="s">
        <v>173</v>
      </c>
      <c r="C399" s="129"/>
      <c r="D399" s="130">
        <f>SUM(D388:D398)</f>
        <v>53.000000000000028</v>
      </c>
      <c r="E399" s="131">
        <f>SUM(E388:E398)</f>
        <v>265028.00000000012</v>
      </c>
      <c r="F399" s="132"/>
      <c r="G399" s="130">
        <f>SUM(G388:G398)</f>
        <v>0</v>
      </c>
      <c r="H399" s="131">
        <f>SUM(H388:H398)</f>
        <v>0</v>
      </c>
      <c r="I399" s="132"/>
      <c r="J399" s="130">
        <f>SUM(J388:J398)</f>
        <v>0</v>
      </c>
      <c r="K399" s="131">
        <f>SUM(K388:K398)</f>
        <v>0</v>
      </c>
      <c r="L399" s="132"/>
      <c r="M399" s="130">
        <f>SUM(M388:M398)</f>
        <v>0</v>
      </c>
      <c r="N399" s="131">
        <f>SUM(N388:N398)</f>
        <v>229173.00000000012</v>
      </c>
      <c r="O399" s="104"/>
      <c r="P399" s="134">
        <f>+D399+G399+J399+M399</f>
        <v>53.000000000000028</v>
      </c>
      <c r="Q399" s="134">
        <f>+E399+H399+K399+N399</f>
        <v>494201.00000000023</v>
      </c>
    </row>
    <row r="400" spans="1:18" s="106" customFormat="1" ht="15" thickBot="1">
      <c r="A400" s="104"/>
      <c r="B400" s="104"/>
      <c r="C400" s="117"/>
      <c r="D400" s="117"/>
      <c r="E400" s="117"/>
      <c r="F400" s="117"/>
      <c r="G400" s="117"/>
      <c r="H400" s="117"/>
      <c r="I400" s="117"/>
      <c r="J400" s="117"/>
      <c r="K400" s="117"/>
      <c r="L400" s="117"/>
      <c r="M400" s="117"/>
      <c r="N400" s="117"/>
      <c r="O400" s="104"/>
      <c r="P400" s="105"/>
      <c r="Q400" s="105"/>
    </row>
    <row r="401" spans="1:18" s="106" customFormat="1" ht="15" thickBot="1">
      <c r="A401" s="104"/>
      <c r="B401" s="118" t="s">
        <v>174</v>
      </c>
      <c r="C401" s="119"/>
      <c r="D401" s="120"/>
      <c r="E401" s="120"/>
      <c r="F401" s="120"/>
      <c r="G401" s="120"/>
      <c r="H401" s="120"/>
      <c r="I401" s="120"/>
      <c r="J401" s="120"/>
      <c r="K401" s="120"/>
      <c r="L401" s="120"/>
      <c r="M401" s="120"/>
      <c r="N401" s="120"/>
      <c r="O401" s="104"/>
      <c r="P401" s="105"/>
      <c r="Q401" s="105"/>
    </row>
    <row r="402" spans="1:18" s="106" customFormat="1">
      <c r="A402" s="104"/>
      <c r="B402" s="122" t="s">
        <v>175</v>
      </c>
      <c r="C402" s="122"/>
      <c r="D402" s="123"/>
      <c r="E402" s="123"/>
      <c r="F402" s="104"/>
      <c r="G402" s="125"/>
      <c r="H402" s="123"/>
      <c r="I402" s="124"/>
      <c r="J402" s="123"/>
      <c r="K402" s="123"/>
      <c r="L402" s="124"/>
      <c r="M402" s="123"/>
      <c r="N402" s="123"/>
      <c r="O402" s="104"/>
      <c r="P402" s="105"/>
      <c r="Q402" s="105"/>
    </row>
    <row r="403" spans="1:18" s="106" customFormat="1">
      <c r="A403" s="104"/>
      <c r="B403" s="122" t="s">
        <v>176</v>
      </c>
      <c r="C403" s="122"/>
      <c r="D403" s="123"/>
      <c r="E403" s="123"/>
      <c r="F403" s="104"/>
      <c r="G403" s="125"/>
      <c r="H403" s="123"/>
      <c r="I403" s="124"/>
      <c r="J403" s="123"/>
      <c r="K403" s="123"/>
      <c r="L403" s="124"/>
      <c r="M403" s="123"/>
      <c r="N403" s="123"/>
      <c r="O403" s="104"/>
      <c r="P403" s="105"/>
      <c r="Q403" s="105"/>
    </row>
    <row r="404" spans="1:18" s="106" customFormat="1">
      <c r="A404" s="104"/>
      <c r="B404" s="122" t="s">
        <v>177</v>
      </c>
      <c r="C404" s="122" t="s">
        <v>111</v>
      </c>
      <c r="D404" s="123"/>
      <c r="E404" s="123"/>
      <c r="F404" s="104"/>
      <c r="G404" s="125"/>
      <c r="H404" s="123"/>
      <c r="I404" s="124"/>
      <c r="J404" s="123"/>
      <c r="K404" s="123"/>
      <c r="L404" s="124"/>
      <c r="M404" s="123"/>
      <c r="N404" s="123"/>
      <c r="O404" s="104"/>
      <c r="P404" s="105"/>
      <c r="Q404" s="105"/>
    </row>
    <row r="405" spans="1:18" s="106" customFormat="1">
      <c r="A405" s="104"/>
      <c r="B405" s="122" t="s">
        <v>163</v>
      </c>
      <c r="C405" s="122" t="s">
        <v>111</v>
      </c>
      <c r="D405" s="123"/>
      <c r="E405" s="123"/>
      <c r="F405" s="104"/>
      <c r="G405" s="125"/>
      <c r="H405" s="123"/>
      <c r="I405" s="124"/>
      <c r="J405" s="123"/>
      <c r="K405" s="123"/>
      <c r="L405" s="124"/>
      <c r="M405" s="123"/>
      <c r="N405" s="123"/>
      <c r="O405" s="104"/>
      <c r="P405" s="105"/>
      <c r="Q405" s="105"/>
    </row>
    <row r="406" spans="1:18" s="106" customFormat="1">
      <c r="A406" s="104"/>
      <c r="B406" s="122" t="s">
        <v>105</v>
      </c>
      <c r="C406" s="122" t="s">
        <v>111</v>
      </c>
      <c r="D406" s="123"/>
      <c r="E406" s="123"/>
      <c r="F406" s="104"/>
      <c r="G406" s="125"/>
      <c r="H406" s="123"/>
      <c r="I406" s="124"/>
      <c r="J406" s="123"/>
      <c r="K406" s="123"/>
      <c r="L406" s="124"/>
      <c r="M406" s="123"/>
      <c r="N406" s="123"/>
      <c r="O406" s="104"/>
      <c r="P406" s="105"/>
      <c r="Q406" s="105"/>
    </row>
    <row r="407" spans="1:18" s="106" customFormat="1">
      <c r="A407" s="104"/>
      <c r="B407" s="128" t="s">
        <v>178</v>
      </c>
      <c r="C407" s="129"/>
      <c r="D407" s="130">
        <f>SUM(D402:D406)</f>
        <v>0</v>
      </c>
      <c r="E407" s="130">
        <f>SUM(E402:E406)</f>
        <v>0</v>
      </c>
      <c r="F407" s="132"/>
      <c r="G407" s="130">
        <f>SUM(G402:G406)</f>
        <v>0</v>
      </c>
      <c r="H407" s="130">
        <f>SUM(H402:H406)</f>
        <v>0</v>
      </c>
      <c r="I407" s="132"/>
      <c r="J407" s="130">
        <f>SUM(J402:J406)</f>
        <v>0</v>
      </c>
      <c r="K407" s="130">
        <f>SUM(K402:K406)</f>
        <v>0</v>
      </c>
      <c r="L407" s="132"/>
      <c r="M407" s="130">
        <f>SUM(M402:M406)</f>
        <v>0</v>
      </c>
      <c r="N407" s="130">
        <f>SUM(N402:N406)</f>
        <v>0</v>
      </c>
      <c r="O407" s="104"/>
      <c r="P407" s="134">
        <f>+D407+G407+J407+M407</f>
        <v>0</v>
      </c>
      <c r="Q407" s="134">
        <f>+E407+H407+K407+N407</f>
        <v>0</v>
      </c>
    </row>
    <row r="408" spans="1:18" s="106" customFormat="1" ht="15" thickBot="1">
      <c r="A408" s="104"/>
      <c r="B408" s="104"/>
      <c r="C408" s="117"/>
      <c r="D408" s="117"/>
      <c r="E408" s="117"/>
      <c r="F408" s="117"/>
      <c r="G408" s="117"/>
      <c r="H408" s="117"/>
      <c r="I408" s="117"/>
      <c r="J408" s="117"/>
      <c r="K408" s="117"/>
      <c r="L408" s="117"/>
      <c r="M408" s="117"/>
      <c r="N408" s="117"/>
      <c r="O408" s="104"/>
      <c r="P408" s="105"/>
      <c r="Q408" s="105"/>
    </row>
    <row r="409" spans="1:18" s="106" customFormat="1" ht="15" thickBot="1">
      <c r="A409" s="104"/>
      <c r="B409" s="118" t="s">
        <v>179</v>
      </c>
      <c r="C409" s="119"/>
      <c r="D409" s="120"/>
      <c r="E409" s="120"/>
      <c r="F409" s="120"/>
      <c r="G409" s="120"/>
      <c r="H409" s="120"/>
      <c r="I409" s="120"/>
      <c r="J409" s="120"/>
      <c r="K409" s="120"/>
      <c r="L409" s="120"/>
      <c r="M409" s="120"/>
      <c r="N409" s="120"/>
      <c r="O409" s="104"/>
      <c r="P409" s="105"/>
      <c r="Q409" s="105"/>
    </row>
    <row r="410" spans="1:18" s="106" customFormat="1">
      <c r="A410" s="104"/>
      <c r="B410" s="122" t="s">
        <v>179</v>
      </c>
      <c r="C410" s="122" t="s">
        <v>152</v>
      </c>
      <c r="D410" s="152">
        <v>2.2360000000000002</v>
      </c>
      <c r="E410" s="152">
        <v>26400.886900000001</v>
      </c>
      <c r="F410" s="104"/>
      <c r="G410" s="125"/>
      <c r="H410" s="123"/>
      <c r="I410" s="124"/>
      <c r="J410" s="123"/>
      <c r="K410" s="123"/>
      <c r="L410" s="124"/>
      <c r="M410" s="123"/>
      <c r="N410" s="123">
        <f>+E410-606</f>
        <v>25794.886900000001</v>
      </c>
      <c r="O410" s="104"/>
      <c r="P410" s="105"/>
      <c r="Q410" s="105"/>
      <c r="R410" s="123"/>
    </row>
    <row r="411" spans="1:18" s="106" customFormat="1">
      <c r="A411" s="104"/>
      <c r="B411" s="128" t="s">
        <v>180</v>
      </c>
      <c r="C411" s="129"/>
      <c r="D411" s="130">
        <f>SUM(D410)</f>
        <v>2.2360000000000002</v>
      </c>
      <c r="E411" s="130">
        <f>SUM(E410)</f>
        <v>26400.886900000001</v>
      </c>
      <c r="F411" s="132"/>
      <c r="G411" s="130">
        <f>SUM(G410)</f>
        <v>0</v>
      </c>
      <c r="H411" s="130">
        <f>SUM(H410)</f>
        <v>0</v>
      </c>
      <c r="I411" s="132"/>
      <c r="J411" s="130">
        <f>SUM(J410)</f>
        <v>0</v>
      </c>
      <c r="K411" s="130">
        <f>SUM(K410)</f>
        <v>0</v>
      </c>
      <c r="L411" s="132"/>
      <c r="M411" s="130">
        <f>SUM(M410)</f>
        <v>0</v>
      </c>
      <c r="N411" s="130">
        <f>SUM(N410)</f>
        <v>25794.886900000001</v>
      </c>
      <c r="O411" s="104"/>
      <c r="P411" s="134">
        <f>+D411+G411+J411+M411</f>
        <v>2.2360000000000002</v>
      </c>
      <c r="Q411" s="134">
        <f>+E411+H411+K411+N411</f>
        <v>52195.773800000003</v>
      </c>
    </row>
    <row r="412" spans="1:18" s="106" customFormat="1" ht="15" thickBot="1">
      <c r="A412" s="104"/>
      <c r="B412" s="104"/>
      <c r="C412" s="117"/>
      <c r="D412" s="117"/>
      <c r="E412" s="117"/>
      <c r="F412" s="117"/>
      <c r="G412" s="117"/>
      <c r="H412" s="117"/>
      <c r="I412" s="117"/>
      <c r="J412" s="117"/>
      <c r="K412" s="117"/>
      <c r="L412" s="117"/>
      <c r="M412" s="117"/>
      <c r="N412" s="117"/>
      <c r="O412" s="104"/>
      <c r="P412" s="105"/>
      <c r="Q412" s="105"/>
    </row>
    <row r="413" spans="1:18" s="106" customFormat="1" ht="15" thickBot="1">
      <c r="A413" s="104"/>
      <c r="B413" s="118" t="s">
        <v>181</v>
      </c>
      <c r="C413" s="119"/>
      <c r="D413" s="120"/>
      <c r="E413" s="120"/>
      <c r="F413" s="120"/>
      <c r="G413" s="120"/>
      <c r="H413" s="120"/>
      <c r="I413" s="120"/>
      <c r="J413" s="120"/>
      <c r="K413" s="120"/>
      <c r="L413" s="120"/>
      <c r="M413" s="120"/>
      <c r="N413" s="120"/>
      <c r="O413" s="104"/>
      <c r="P413" s="105"/>
      <c r="Q413" s="105"/>
    </row>
    <row r="414" spans="1:18" s="106" customFormat="1">
      <c r="A414" s="104"/>
      <c r="B414" s="122" t="s">
        <v>179</v>
      </c>
      <c r="C414" s="122"/>
      <c r="D414" s="123"/>
      <c r="E414" s="123"/>
      <c r="F414" s="104"/>
      <c r="G414" s="125"/>
      <c r="H414" s="123"/>
      <c r="I414" s="124"/>
      <c r="J414" s="123"/>
      <c r="K414" s="123"/>
      <c r="L414" s="124"/>
      <c r="M414" s="123"/>
      <c r="N414" s="123"/>
      <c r="O414" s="104"/>
      <c r="P414" s="105"/>
      <c r="Q414" s="105"/>
    </row>
    <row r="415" spans="1:18" s="106" customFormat="1">
      <c r="A415" s="104"/>
      <c r="B415" s="122" t="s">
        <v>167</v>
      </c>
      <c r="C415" s="122"/>
      <c r="D415" s="123"/>
      <c r="E415" s="123"/>
      <c r="F415" s="104"/>
      <c r="G415" s="125"/>
      <c r="H415" s="123"/>
      <c r="I415" s="124"/>
      <c r="J415" s="123"/>
      <c r="K415" s="123"/>
      <c r="L415" s="124"/>
      <c r="M415" s="123"/>
      <c r="N415" s="123"/>
      <c r="O415" s="104"/>
      <c r="P415" s="105"/>
      <c r="Q415" s="105"/>
    </row>
    <row r="416" spans="1:18" s="106" customFormat="1">
      <c r="A416" s="104"/>
      <c r="B416" s="128" t="s">
        <v>182</v>
      </c>
      <c r="C416" s="129"/>
      <c r="D416" s="130">
        <f>SUM(D414:D415)</f>
        <v>0</v>
      </c>
      <c r="E416" s="130">
        <f>SUM(E414:E415)</f>
        <v>0</v>
      </c>
      <c r="F416" s="132"/>
      <c r="G416" s="130">
        <f>SUM(G414:G415)</f>
        <v>0</v>
      </c>
      <c r="H416" s="130">
        <f>SUM(H414:H415)</f>
        <v>0</v>
      </c>
      <c r="I416" s="132"/>
      <c r="J416" s="130">
        <f>SUM(J414:J415)</f>
        <v>0</v>
      </c>
      <c r="K416" s="130">
        <f>SUM(K414:K415)</f>
        <v>0</v>
      </c>
      <c r="L416" s="132"/>
      <c r="M416" s="130">
        <f>SUM(M414:M415)</f>
        <v>0</v>
      </c>
      <c r="N416" s="130">
        <f>SUM(N414:N415)</f>
        <v>0</v>
      </c>
      <c r="O416" s="104"/>
      <c r="P416" s="134">
        <f>+D416+G416+J416+M416</f>
        <v>0</v>
      </c>
      <c r="Q416" s="134">
        <f>+E416+H416+K416+N416</f>
        <v>0</v>
      </c>
    </row>
    <row r="417" spans="1:17" s="106" customFormat="1" ht="15" thickBot="1">
      <c r="A417" s="104"/>
      <c r="B417" s="104"/>
      <c r="C417" s="117"/>
      <c r="D417" s="117"/>
      <c r="E417" s="117"/>
      <c r="F417" s="117"/>
      <c r="G417" s="117"/>
      <c r="H417" s="117"/>
      <c r="I417" s="117"/>
      <c r="J417" s="117"/>
      <c r="K417" s="117"/>
      <c r="L417" s="117"/>
      <c r="M417" s="117"/>
      <c r="N417" s="117"/>
      <c r="O417" s="104"/>
      <c r="P417" s="105"/>
      <c r="Q417" s="105"/>
    </row>
    <row r="418" spans="1:17" s="106" customFormat="1" ht="15" thickBot="1">
      <c r="A418" s="104"/>
      <c r="B418" s="118" t="s">
        <v>183</v>
      </c>
      <c r="C418" s="119"/>
      <c r="D418" s="120"/>
      <c r="E418" s="120"/>
      <c r="F418" s="120"/>
      <c r="G418" s="120"/>
      <c r="H418" s="120"/>
      <c r="I418" s="120"/>
      <c r="J418" s="120"/>
      <c r="K418" s="120"/>
      <c r="L418" s="120"/>
      <c r="M418" s="120"/>
      <c r="N418" s="120"/>
      <c r="O418" s="104"/>
      <c r="P418" s="105"/>
      <c r="Q418" s="105"/>
    </row>
    <row r="419" spans="1:17" s="106" customFormat="1">
      <c r="A419" s="104"/>
      <c r="B419" s="122" t="s">
        <v>184</v>
      </c>
      <c r="C419" s="122" t="s">
        <v>165</v>
      </c>
      <c r="D419" s="123"/>
      <c r="E419" s="123"/>
      <c r="F419" s="104"/>
      <c r="G419" s="125"/>
      <c r="H419" s="123"/>
      <c r="I419" s="124"/>
      <c r="J419" s="123"/>
      <c r="K419" s="123"/>
      <c r="L419" s="124"/>
      <c r="M419" s="123"/>
      <c r="N419" s="123"/>
      <c r="O419" s="104"/>
      <c r="P419" s="105"/>
      <c r="Q419" s="105"/>
    </row>
    <row r="420" spans="1:17" s="106" customFormat="1">
      <c r="A420" s="104"/>
      <c r="B420" s="122" t="s">
        <v>103</v>
      </c>
      <c r="C420" s="122" t="s">
        <v>165</v>
      </c>
      <c r="D420" s="147"/>
      <c r="E420" s="123"/>
      <c r="F420" s="104"/>
      <c r="G420" s="125"/>
      <c r="H420" s="123"/>
      <c r="I420" s="124"/>
      <c r="J420" s="123"/>
      <c r="K420" s="123"/>
      <c r="L420" s="124"/>
      <c r="M420" s="123"/>
      <c r="N420" s="123"/>
      <c r="O420" s="104"/>
      <c r="P420" s="105"/>
      <c r="Q420" s="105"/>
    </row>
    <row r="421" spans="1:17" s="106" customFormat="1">
      <c r="A421" s="104"/>
      <c r="B421" s="122" t="s">
        <v>185</v>
      </c>
      <c r="C421" s="122"/>
      <c r="D421" s="123"/>
      <c r="E421" s="123"/>
      <c r="F421" s="104"/>
      <c r="G421" s="125"/>
      <c r="H421" s="123"/>
      <c r="I421" s="124"/>
      <c r="J421" s="123"/>
      <c r="K421" s="123"/>
      <c r="L421" s="124"/>
      <c r="M421" s="123"/>
      <c r="N421" s="123"/>
      <c r="O421" s="104"/>
      <c r="P421" s="105"/>
      <c r="Q421" s="105"/>
    </row>
    <row r="422" spans="1:17" s="106" customFormat="1">
      <c r="A422" s="104"/>
      <c r="B422" s="122" t="s">
        <v>186</v>
      </c>
      <c r="C422" s="122"/>
      <c r="D422" s="123"/>
      <c r="E422" s="123"/>
      <c r="F422" s="104"/>
      <c r="G422" s="125"/>
      <c r="H422" s="123"/>
      <c r="I422" s="124"/>
      <c r="J422" s="123"/>
      <c r="K422" s="123"/>
      <c r="L422" s="124"/>
      <c r="M422" s="123"/>
      <c r="N422" s="123"/>
      <c r="O422" s="104"/>
      <c r="P422" s="105"/>
      <c r="Q422" s="105"/>
    </row>
    <row r="423" spans="1:17" s="106" customFormat="1">
      <c r="A423" s="104"/>
      <c r="B423" s="122" t="s">
        <v>187</v>
      </c>
      <c r="C423" s="122"/>
      <c r="D423" s="123"/>
      <c r="E423" s="123"/>
      <c r="F423" s="104"/>
      <c r="G423" s="125"/>
      <c r="H423" s="123"/>
      <c r="I423" s="124"/>
      <c r="J423" s="123"/>
      <c r="K423" s="123"/>
      <c r="L423" s="124"/>
      <c r="M423" s="123"/>
      <c r="N423" s="123"/>
      <c r="O423" s="104"/>
      <c r="P423" s="105"/>
      <c r="Q423" s="105"/>
    </row>
    <row r="424" spans="1:17" s="106" customFormat="1">
      <c r="A424" s="104"/>
      <c r="B424" s="128" t="s">
        <v>188</v>
      </c>
      <c r="C424" s="129"/>
      <c r="D424" s="130">
        <f>SUM(D419:D423)</f>
        <v>0</v>
      </c>
      <c r="E424" s="130">
        <f>SUM(E419:E423)</f>
        <v>0</v>
      </c>
      <c r="F424" s="132"/>
      <c r="G424" s="130">
        <f>SUM(G419:G423)</f>
        <v>0</v>
      </c>
      <c r="H424" s="130">
        <f>SUM(H419:H423)</f>
        <v>0</v>
      </c>
      <c r="I424" s="132"/>
      <c r="J424" s="130">
        <f>SUM(J419:J423)</f>
        <v>0</v>
      </c>
      <c r="K424" s="130">
        <f>SUM(K419:K423)</f>
        <v>0</v>
      </c>
      <c r="L424" s="132"/>
      <c r="M424" s="130">
        <f>SUM(M419:M423)</f>
        <v>0</v>
      </c>
      <c r="N424" s="130">
        <f>SUM(N419:N423)</f>
        <v>0</v>
      </c>
      <c r="O424" s="104"/>
      <c r="P424" s="134">
        <f>+D424+G424+J424+M424</f>
        <v>0</v>
      </c>
      <c r="Q424" s="134">
        <f>+E424+H424+K424+N424</f>
        <v>0</v>
      </c>
    </row>
    <row r="425" spans="1:17" s="106" customFormat="1" ht="15" thickBot="1">
      <c r="A425" s="104"/>
      <c r="B425" s="104"/>
      <c r="C425" s="117"/>
      <c r="D425" s="117"/>
      <c r="E425" s="117"/>
      <c r="F425" s="117"/>
      <c r="G425" s="117"/>
      <c r="H425" s="117"/>
      <c r="I425" s="117"/>
      <c r="J425" s="117"/>
      <c r="K425" s="117"/>
      <c r="L425" s="117"/>
      <c r="M425" s="117"/>
      <c r="N425" s="117"/>
      <c r="O425" s="104"/>
      <c r="P425" s="105"/>
      <c r="Q425" s="105"/>
    </row>
    <row r="426" spans="1:17" s="106" customFormat="1" ht="15" thickBot="1">
      <c r="A426" s="104"/>
      <c r="B426" s="118" t="s">
        <v>189</v>
      </c>
      <c r="C426" s="119"/>
      <c r="D426" s="120"/>
      <c r="E426" s="120"/>
      <c r="F426" s="120"/>
      <c r="G426" s="120"/>
      <c r="H426" s="120"/>
      <c r="I426" s="120"/>
      <c r="J426" s="120"/>
      <c r="K426" s="120"/>
      <c r="L426" s="120"/>
      <c r="M426" s="120"/>
      <c r="N426" s="120"/>
      <c r="O426" s="104"/>
      <c r="P426" s="105"/>
      <c r="Q426" s="105"/>
    </row>
    <row r="427" spans="1:17" s="106" customFormat="1">
      <c r="A427" s="104"/>
      <c r="B427" s="122" t="s">
        <v>190</v>
      </c>
      <c r="C427" s="122" t="s">
        <v>165</v>
      </c>
      <c r="D427" s="151">
        <v>152.761</v>
      </c>
      <c r="E427" s="151">
        <v>1320951.92</v>
      </c>
      <c r="F427" s="104"/>
      <c r="G427" s="125"/>
      <c r="H427" s="123"/>
      <c r="I427" s="124"/>
      <c r="J427" s="123"/>
      <c r="K427" s="123"/>
      <c r="L427" s="124"/>
      <c r="M427" s="123"/>
      <c r="N427" s="123">
        <f>+E427</f>
        <v>1320951.92</v>
      </c>
      <c r="O427" s="104"/>
      <c r="P427" s="105"/>
      <c r="Q427" s="105"/>
    </row>
    <row r="428" spans="1:17" s="106" customFormat="1">
      <c r="A428" s="104"/>
      <c r="B428" s="122" t="s">
        <v>191</v>
      </c>
      <c r="C428" s="122" t="s">
        <v>192</v>
      </c>
      <c r="D428" s="123"/>
      <c r="E428" s="123"/>
      <c r="F428" s="104"/>
      <c r="G428" s="125"/>
      <c r="H428" s="123"/>
      <c r="I428" s="124"/>
      <c r="J428" s="123"/>
      <c r="K428" s="123"/>
      <c r="L428" s="124"/>
      <c r="M428" s="123"/>
      <c r="N428" s="123"/>
      <c r="O428" s="104"/>
      <c r="P428" s="105"/>
      <c r="Q428" s="105"/>
    </row>
    <row r="429" spans="1:17" s="106" customFormat="1">
      <c r="A429" s="104"/>
      <c r="B429" s="122" t="s">
        <v>193</v>
      </c>
      <c r="C429" s="122"/>
      <c r="D429" s="123"/>
      <c r="E429" s="123"/>
      <c r="F429" s="104"/>
      <c r="G429" s="125"/>
      <c r="H429" s="123"/>
      <c r="I429" s="124"/>
      <c r="J429" s="123"/>
      <c r="K429" s="123"/>
      <c r="L429" s="124"/>
      <c r="M429" s="123"/>
      <c r="N429" s="123"/>
      <c r="O429" s="104"/>
      <c r="P429" s="105"/>
      <c r="Q429" s="105"/>
    </row>
    <row r="430" spans="1:17" s="106" customFormat="1">
      <c r="A430" s="104"/>
      <c r="B430" s="128" t="s">
        <v>194</v>
      </c>
      <c r="C430" s="129"/>
      <c r="D430" s="130">
        <f>SUM(D427:D429)</f>
        <v>152.761</v>
      </c>
      <c r="E430" s="130">
        <f>SUM(E427:E429)</f>
        <v>1320951.92</v>
      </c>
      <c r="F430" s="132"/>
      <c r="G430" s="130">
        <f>SUM(G427:G429)</f>
        <v>0</v>
      </c>
      <c r="H430" s="130">
        <f>SUM(H427:H429)</f>
        <v>0</v>
      </c>
      <c r="I430" s="132"/>
      <c r="J430" s="130">
        <f>SUM(J427:J429)</f>
        <v>0</v>
      </c>
      <c r="K430" s="130">
        <f>SUM(K427:K429)</f>
        <v>0</v>
      </c>
      <c r="L430" s="132"/>
      <c r="M430" s="130">
        <f>SUM(M427:M429)</f>
        <v>0</v>
      </c>
      <c r="N430" s="130">
        <f>SUM(N427:N429)</f>
        <v>1320951.92</v>
      </c>
      <c r="O430" s="104"/>
      <c r="P430" s="134">
        <f>+D430+G430+J430+M430</f>
        <v>152.761</v>
      </c>
      <c r="Q430" s="134">
        <f>+E430+H430+K430+N430</f>
        <v>2641903.84</v>
      </c>
    </row>
    <row r="432" spans="1:17" s="106" customFormat="1" ht="15.75" thickBot="1">
      <c r="A432" s="104"/>
      <c r="B432" s="104"/>
      <c r="C432" s="104"/>
      <c r="D432" s="138">
        <f>+D430+D424+D416+D411+D407+D399+D385</f>
        <v>215.64400000000001</v>
      </c>
      <c r="E432" s="138">
        <f>+E430+E424+E416+E411+E407+E399+E385</f>
        <v>1626297.3922572001</v>
      </c>
      <c r="F432" s="137"/>
      <c r="G432" s="138">
        <f>+G430+G424+G416+G411+G407+G399+G385</f>
        <v>0</v>
      </c>
      <c r="H432" s="138">
        <f>+H430+H424+H416+H411+H407+H399+H385</f>
        <v>0</v>
      </c>
      <c r="I432" s="137"/>
      <c r="J432" s="138">
        <f>+J430+J424+J416+J411+J407+J399+J385</f>
        <v>0</v>
      </c>
      <c r="K432" s="138">
        <f>+K430+K424+K416+K411+K407+K399+K385</f>
        <v>0</v>
      </c>
      <c r="L432" s="137"/>
      <c r="M432" s="138">
        <f>+M430+M424+M416+M411+M407+M399+M385</f>
        <v>0</v>
      </c>
      <c r="N432" s="138">
        <f>+N430+N424+N416+N411+N407+N399+N385</f>
        <v>1553981.3922572001</v>
      </c>
      <c r="O432" s="137"/>
      <c r="P432" s="138">
        <f>+P430+P424+P416+P411+P407+P399+P385</f>
        <v>215.64400000000001</v>
      </c>
      <c r="Q432" s="138">
        <f>+Q430+Q424+Q416+Q411+Q407+Q399+Q385</f>
        <v>3180278.7845144002</v>
      </c>
    </row>
    <row r="433" spans="1:17" s="106" customFormat="1" ht="15" thickTop="1">
      <c r="A433" s="104"/>
      <c r="B433" s="104"/>
      <c r="C433" s="137"/>
      <c r="D433" s="104"/>
      <c r="E433" s="104"/>
      <c r="F433" s="104"/>
      <c r="G433" s="104"/>
      <c r="H433" s="104"/>
      <c r="I433" s="104"/>
      <c r="J433" s="104"/>
      <c r="K433" s="104"/>
      <c r="L433" s="104"/>
      <c r="M433" s="104"/>
      <c r="N433" s="104"/>
      <c r="O433" s="104"/>
      <c r="P433" s="105"/>
      <c r="Q433" s="105"/>
    </row>
    <row r="434" spans="1:17" s="106" customFormat="1">
      <c r="A434" s="104"/>
      <c r="B434" s="104"/>
      <c r="C434" s="137"/>
      <c r="D434" s="104"/>
      <c r="E434" s="104"/>
      <c r="F434" s="104"/>
      <c r="G434" s="104"/>
      <c r="H434" s="104"/>
      <c r="I434" s="104"/>
      <c r="J434" s="104"/>
      <c r="K434" s="104"/>
      <c r="L434" s="104"/>
      <c r="M434" s="104"/>
      <c r="N434" s="104"/>
      <c r="O434" s="104"/>
      <c r="P434" s="105"/>
      <c r="Q434" s="105"/>
    </row>
    <row r="435" spans="1:17" s="106" customFormat="1">
      <c r="A435" s="104"/>
      <c r="B435" s="136" t="s">
        <v>202</v>
      </c>
      <c r="C435" s="137"/>
      <c r="D435" s="104"/>
      <c r="E435" s="104"/>
      <c r="F435" s="104"/>
      <c r="G435" s="104"/>
      <c r="H435" s="104"/>
      <c r="I435" s="104"/>
      <c r="J435" s="104"/>
      <c r="K435" s="104"/>
      <c r="L435" s="104"/>
      <c r="M435" s="104"/>
      <c r="N435" s="104"/>
      <c r="O435" s="104"/>
      <c r="P435" s="105"/>
      <c r="Q435" s="105"/>
    </row>
    <row r="436" spans="1:17" s="106" customFormat="1">
      <c r="A436" s="104"/>
      <c r="B436" s="136" t="s">
        <v>230</v>
      </c>
      <c r="C436" s="137"/>
      <c r="D436" s="104"/>
      <c r="E436" s="104"/>
      <c r="F436" s="104"/>
      <c r="G436" s="104"/>
      <c r="H436" s="104"/>
      <c r="I436" s="104"/>
      <c r="J436" s="104"/>
      <c r="K436" s="104"/>
      <c r="L436" s="104"/>
      <c r="M436" s="104"/>
      <c r="N436" s="104"/>
      <c r="O436" s="104"/>
      <c r="P436" s="105"/>
      <c r="Q436" s="105"/>
    </row>
    <row r="437" spans="1:17" s="106" customFormat="1">
      <c r="A437" s="104"/>
      <c r="B437" s="146" t="s">
        <v>231</v>
      </c>
      <c r="C437" s="137"/>
      <c r="D437" s="104"/>
      <c r="E437" s="104"/>
      <c r="F437" s="104"/>
      <c r="G437" s="104"/>
      <c r="H437" s="104"/>
      <c r="I437" s="104"/>
      <c r="J437" s="104"/>
      <c r="K437" s="104"/>
      <c r="L437" s="104"/>
      <c r="M437" s="104"/>
      <c r="N437" s="104"/>
      <c r="O437" s="104"/>
      <c r="P437" s="105"/>
      <c r="Q437" s="105"/>
    </row>
    <row r="438" spans="1:17" s="106" customFormat="1">
      <c r="A438" s="104"/>
      <c r="B438" s="136" t="s">
        <v>205</v>
      </c>
      <c r="C438" s="136"/>
      <c r="D438" s="104"/>
      <c r="E438" s="104"/>
      <c r="F438" s="104"/>
      <c r="G438" s="104"/>
      <c r="H438" s="104"/>
      <c r="I438" s="104"/>
      <c r="J438" s="104"/>
      <c r="K438" s="104"/>
      <c r="L438" s="104"/>
      <c r="M438" s="104"/>
      <c r="N438" s="104"/>
      <c r="O438" s="104"/>
      <c r="P438" s="105"/>
      <c r="Q438" s="105"/>
    </row>
    <row r="439" spans="1:17" s="106" customFormat="1">
      <c r="A439" s="104"/>
      <c r="B439" s="146" t="s">
        <v>232</v>
      </c>
      <c r="C439" s="104"/>
      <c r="D439" s="104"/>
      <c r="E439" s="104"/>
      <c r="F439" s="104"/>
      <c r="G439" s="104"/>
      <c r="H439" s="104"/>
      <c r="I439" s="104"/>
      <c r="J439" s="104"/>
      <c r="K439" s="104"/>
      <c r="L439" s="104"/>
      <c r="M439" s="104"/>
      <c r="N439" s="104"/>
      <c r="O439" s="104"/>
      <c r="P439" s="105"/>
      <c r="Q439" s="105"/>
    </row>
    <row r="444" spans="1:17" s="106" customFormat="1" ht="18">
      <c r="A444" s="103" t="s">
        <v>233</v>
      </c>
      <c r="B444" s="104"/>
      <c r="C444" s="104"/>
      <c r="D444" s="104"/>
      <c r="E444" s="104"/>
      <c r="F444" s="104"/>
      <c r="G444" s="104"/>
      <c r="H444" s="104"/>
      <c r="I444" s="104"/>
      <c r="J444" s="104"/>
      <c r="K444" s="104"/>
      <c r="L444" s="104"/>
      <c r="M444" s="104"/>
      <c r="N444" s="104"/>
      <c r="O444" s="104"/>
      <c r="P444" s="105"/>
      <c r="Q444" s="105"/>
    </row>
    <row r="446" spans="1:17" s="106" customFormat="1" ht="15">
      <c r="A446" s="107"/>
      <c r="B446" s="107"/>
      <c r="C446" s="107"/>
      <c r="D446" s="615">
        <v>2014</v>
      </c>
      <c r="E446" s="615"/>
      <c r="F446" s="108"/>
      <c r="G446" s="616"/>
      <c r="H446" s="616"/>
      <c r="I446" s="109"/>
      <c r="J446" s="616"/>
      <c r="K446" s="616"/>
      <c r="L446" s="109"/>
      <c r="M446" s="616"/>
      <c r="N446" s="616"/>
      <c r="O446" s="107"/>
      <c r="P446" s="105"/>
      <c r="Q446" s="105"/>
    </row>
    <row r="447" spans="1:17" s="106" customFormat="1" ht="18">
      <c r="A447" s="110"/>
      <c r="B447" s="111"/>
      <c r="C447" s="111"/>
      <c r="D447" s="617" t="s">
        <v>145</v>
      </c>
      <c r="E447" s="617"/>
      <c r="F447" s="112"/>
      <c r="G447" s="616"/>
      <c r="H447" s="616"/>
      <c r="I447" s="616"/>
      <c r="J447" s="616"/>
      <c r="K447" s="616"/>
      <c r="L447" s="616"/>
      <c r="M447" s="616"/>
      <c r="N447" s="616"/>
      <c r="O447" s="111"/>
      <c r="P447" s="105"/>
      <c r="Q447" s="105"/>
    </row>
    <row r="448" spans="1:17" s="106" customFormat="1" ht="15">
      <c r="A448" s="113"/>
      <c r="B448" s="111"/>
      <c r="C448" s="111"/>
      <c r="D448" s="111"/>
      <c r="E448" s="111"/>
      <c r="F448" s="111"/>
      <c r="G448" s="111"/>
      <c r="H448" s="111"/>
      <c r="I448" s="111"/>
      <c r="J448" s="111"/>
      <c r="K448" s="111"/>
      <c r="L448" s="111"/>
      <c r="M448" s="111"/>
      <c r="N448" s="111"/>
      <c r="O448" s="111"/>
      <c r="P448" s="614" t="s">
        <v>5</v>
      </c>
      <c r="Q448" s="614"/>
    </row>
    <row r="449" spans="1:17" s="106" customFormat="1" ht="51">
      <c r="A449" s="113"/>
      <c r="B449" s="114" t="s">
        <v>234</v>
      </c>
      <c r="C449" s="114"/>
      <c r="D449" s="115" t="str">
        <f>+$D$6</f>
        <v>Peak Demand Savings (kW)</v>
      </c>
      <c r="E449" s="115" t="str">
        <f>+$E$6</f>
        <v>Energy Savings (kWh)</v>
      </c>
      <c r="G449" s="115" t="str">
        <f>+$G$6</f>
        <v>Peak Demand Savings (kW)</v>
      </c>
      <c r="H449" s="115" t="str">
        <f>+$H$6</f>
        <v>Energy Savings (kWh)</v>
      </c>
      <c r="J449" s="115" t="str">
        <f>+$J$6</f>
        <v>Peak Demand Savings (kW)</v>
      </c>
      <c r="K449" s="115" t="str">
        <f>+$K$6</f>
        <v>Energy Savings (kWh)</v>
      </c>
      <c r="M449" s="115" t="str">
        <f>+$M$6</f>
        <v>Peak Demand Savings (kW)</v>
      </c>
      <c r="N449" s="115" t="str">
        <f>+$N$6</f>
        <v>Energy Savings (kWh)</v>
      </c>
      <c r="O449" s="104"/>
      <c r="P449" s="116" t="str">
        <f>+$P$6</f>
        <v>Peak Demand Savings (kW)</v>
      </c>
      <c r="Q449" s="116" t="str">
        <f>+$Q$6</f>
        <v>Energy Savings (kWh)</v>
      </c>
    </row>
    <row r="450" spans="1:17" s="106" customFormat="1" ht="15" thickBot="1">
      <c r="A450" s="113"/>
      <c r="B450" s="117"/>
      <c r="C450" s="117"/>
      <c r="D450" s="117"/>
      <c r="E450" s="117"/>
      <c r="F450" s="117"/>
      <c r="G450" s="117"/>
      <c r="H450" s="117"/>
      <c r="I450" s="117"/>
      <c r="J450" s="117"/>
      <c r="K450" s="117"/>
      <c r="L450" s="117"/>
      <c r="M450" s="117"/>
      <c r="N450" s="117"/>
      <c r="O450" s="111"/>
      <c r="P450" s="105"/>
      <c r="Q450" s="105"/>
    </row>
    <row r="451" spans="1:17" s="106" customFormat="1" ht="15" thickBot="1">
      <c r="A451" s="113"/>
      <c r="B451" s="118" t="s">
        <v>150</v>
      </c>
      <c r="C451" s="119"/>
      <c r="D451" s="120"/>
      <c r="E451" s="120"/>
      <c r="F451" s="120"/>
      <c r="G451" s="120"/>
      <c r="H451" s="120"/>
      <c r="I451" s="120"/>
      <c r="J451" s="120"/>
      <c r="K451" s="120"/>
      <c r="L451" s="120"/>
      <c r="M451" s="120"/>
      <c r="N451" s="120"/>
      <c r="O451" s="111"/>
      <c r="P451" s="105"/>
      <c r="Q451" s="105"/>
    </row>
    <row r="452" spans="1:17" s="106" customFormat="1" ht="18" customHeight="1">
      <c r="A452" s="121"/>
      <c r="B452" s="122" t="s">
        <v>151</v>
      </c>
      <c r="C452" s="122" t="s">
        <v>152</v>
      </c>
      <c r="D452" s="123">
        <v>14.018000000000001</v>
      </c>
      <c r="E452" s="123">
        <v>94441.441999999995</v>
      </c>
      <c r="F452" s="124"/>
      <c r="G452" s="123"/>
      <c r="H452" s="123"/>
      <c r="I452" s="124"/>
      <c r="J452" s="123"/>
      <c r="K452" s="123"/>
      <c r="L452" s="124"/>
      <c r="M452" s="123"/>
      <c r="N452" s="123"/>
      <c r="O452" s="111"/>
      <c r="P452" s="105"/>
      <c r="Q452" s="105"/>
    </row>
    <row r="453" spans="1:17" s="106" customFormat="1" ht="18" customHeight="1">
      <c r="A453" s="121"/>
      <c r="B453" s="122" t="s">
        <v>153</v>
      </c>
      <c r="C453" s="122" t="s">
        <v>152</v>
      </c>
      <c r="D453" s="123">
        <v>12.432</v>
      </c>
      <c r="E453" s="123">
        <v>22166.393</v>
      </c>
      <c r="F453" s="124"/>
      <c r="G453" s="125"/>
      <c r="H453" s="123"/>
      <c r="I453" s="124"/>
      <c r="J453" s="123"/>
      <c r="K453" s="123"/>
      <c r="L453" s="124"/>
      <c r="M453" s="123"/>
      <c r="N453" s="123"/>
      <c r="O453" s="111"/>
      <c r="P453" s="105"/>
      <c r="Q453" s="105"/>
    </row>
    <row r="454" spans="1:17" s="106" customFormat="1" ht="18" customHeight="1">
      <c r="A454" s="121"/>
      <c r="B454" s="122" t="s">
        <v>154</v>
      </c>
      <c r="C454" s="122" t="s">
        <v>152</v>
      </c>
      <c r="D454" s="123">
        <v>175.83500000000001</v>
      </c>
      <c r="E454" s="123">
        <v>334873.85499999998</v>
      </c>
      <c r="F454" s="124"/>
      <c r="G454" s="125"/>
      <c r="H454" s="123"/>
      <c r="I454" s="124"/>
      <c r="J454" s="123"/>
      <c r="K454" s="123"/>
      <c r="L454" s="124"/>
      <c r="M454" s="123"/>
      <c r="N454" s="123"/>
      <c r="O454" s="111"/>
      <c r="P454" s="105"/>
      <c r="Q454" s="105"/>
    </row>
    <row r="455" spans="1:17" s="106" customFormat="1" ht="18" customHeight="1">
      <c r="A455" s="121"/>
      <c r="B455" s="122" t="s">
        <v>155</v>
      </c>
      <c r="C455" s="122" t="s">
        <v>152</v>
      </c>
      <c r="D455" s="123">
        <v>18.407</v>
      </c>
      <c r="E455" s="123">
        <v>246039.12400000001</v>
      </c>
      <c r="F455" s="124"/>
      <c r="G455" s="125"/>
      <c r="H455" s="123"/>
      <c r="I455" s="124"/>
      <c r="J455" s="123"/>
      <c r="K455" s="123"/>
      <c r="L455" s="124"/>
      <c r="M455" s="123"/>
      <c r="N455" s="123"/>
      <c r="O455" s="111"/>
      <c r="P455" s="105"/>
      <c r="Q455" s="105"/>
    </row>
    <row r="456" spans="1:17" s="106" customFormat="1" ht="18" customHeight="1">
      <c r="A456" s="121"/>
      <c r="B456" s="122" t="s">
        <v>156</v>
      </c>
      <c r="C456" s="122" t="s">
        <v>152</v>
      </c>
      <c r="D456" s="123">
        <v>70.284000000000006</v>
      </c>
      <c r="E456" s="123">
        <v>1073937.0390000001</v>
      </c>
      <c r="F456" s="124"/>
      <c r="G456" s="125"/>
      <c r="H456" s="123"/>
      <c r="I456" s="124"/>
      <c r="J456" s="123"/>
      <c r="K456" s="123"/>
      <c r="L456" s="124"/>
      <c r="M456" s="123"/>
      <c r="N456" s="123"/>
      <c r="O456" s="111"/>
      <c r="P456" s="105"/>
      <c r="Q456" s="105"/>
    </row>
    <row r="457" spans="1:17" s="106" customFormat="1" ht="18" customHeight="1">
      <c r="A457" s="121"/>
      <c r="B457" s="122" t="s">
        <v>157</v>
      </c>
      <c r="C457" s="122" t="s">
        <v>152</v>
      </c>
      <c r="D457" s="123"/>
      <c r="E457" s="123"/>
      <c r="F457" s="124"/>
      <c r="G457" s="125"/>
      <c r="H457" s="123"/>
      <c r="I457" s="124"/>
      <c r="J457" s="123"/>
      <c r="K457" s="123"/>
      <c r="L457" s="124"/>
      <c r="M457" s="123"/>
      <c r="N457" s="123"/>
      <c r="O457" s="111"/>
      <c r="P457" s="105"/>
      <c r="Q457" s="105"/>
    </row>
    <row r="458" spans="1:17" s="106" customFormat="1" ht="18" customHeight="1">
      <c r="A458" s="121"/>
      <c r="B458" s="122" t="s">
        <v>158</v>
      </c>
      <c r="C458" s="122" t="s">
        <v>152</v>
      </c>
      <c r="D458" s="123">
        <v>115.285</v>
      </c>
      <c r="E458" s="123"/>
      <c r="F458" s="124"/>
      <c r="G458" s="125"/>
      <c r="H458" s="123"/>
      <c r="I458" s="124"/>
      <c r="J458" s="123"/>
      <c r="K458" s="123"/>
      <c r="L458" s="124"/>
      <c r="M458" s="123"/>
      <c r="N458" s="123"/>
      <c r="O458" s="111"/>
      <c r="P458" s="105"/>
      <c r="Q458" s="105"/>
    </row>
    <row r="459" spans="1:17" s="106" customFormat="1" ht="18" customHeight="1">
      <c r="A459" s="121"/>
      <c r="B459" s="122" t="s">
        <v>159</v>
      </c>
      <c r="C459" s="122" t="s">
        <v>152</v>
      </c>
      <c r="D459" s="123"/>
      <c r="E459" s="123"/>
      <c r="F459" s="124"/>
      <c r="G459" s="125"/>
      <c r="H459" s="123"/>
      <c r="I459" s="124"/>
      <c r="J459" s="123"/>
      <c r="K459" s="123"/>
      <c r="L459" s="124"/>
      <c r="M459" s="123"/>
      <c r="N459" s="123"/>
      <c r="O459" s="111"/>
      <c r="P459" s="105"/>
      <c r="Q459" s="105"/>
    </row>
    <row r="460" spans="1:17" s="106" customFormat="1" ht="18" customHeight="1">
      <c r="A460" s="121"/>
      <c r="B460" s="122" t="s">
        <v>160</v>
      </c>
      <c r="C460" s="127" t="s">
        <v>152</v>
      </c>
      <c r="D460" s="147"/>
      <c r="E460" s="125"/>
      <c r="F460" s="124"/>
      <c r="G460" s="125"/>
      <c r="H460" s="123"/>
      <c r="I460" s="124"/>
      <c r="J460" s="123"/>
      <c r="K460" s="123"/>
      <c r="L460" s="124"/>
      <c r="M460" s="123"/>
      <c r="N460" s="123"/>
      <c r="O460" s="111"/>
      <c r="P460" s="105"/>
      <c r="Q460" s="105"/>
    </row>
    <row r="461" spans="1:17" s="106" customFormat="1" ht="18" customHeight="1">
      <c r="A461" s="121"/>
      <c r="B461" s="128" t="s">
        <v>161</v>
      </c>
      <c r="C461" s="129"/>
      <c r="D461" s="130">
        <f>SUM(D452:D460)</f>
        <v>406.26100000000008</v>
      </c>
      <c r="E461" s="131">
        <f>SUM(E452:E460)</f>
        <v>1771457.8530000001</v>
      </c>
      <c r="F461" s="132"/>
      <c r="G461" s="131"/>
      <c r="H461" s="131"/>
      <c r="I461" s="132"/>
      <c r="J461" s="131"/>
      <c r="K461" s="131"/>
      <c r="L461" s="132"/>
      <c r="M461" s="131"/>
      <c r="N461" s="131"/>
      <c r="O461" s="111"/>
      <c r="P461" s="134">
        <f>+D461+G461+J461+M461</f>
        <v>406.26100000000008</v>
      </c>
      <c r="Q461" s="134">
        <f>+E461+H461+K461+N461</f>
        <v>1771457.8530000001</v>
      </c>
    </row>
    <row r="462" spans="1:17" s="106" customFormat="1" ht="15" thickBot="1">
      <c r="A462" s="104"/>
      <c r="B462" s="104"/>
      <c r="C462" s="117"/>
      <c r="D462" s="117"/>
      <c r="E462" s="117"/>
      <c r="F462" s="117"/>
      <c r="G462" s="117"/>
      <c r="H462" s="117"/>
      <c r="I462" s="117"/>
      <c r="J462" s="117"/>
      <c r="K462" s="117"/>
      <c r="L462" s="117"/>
      <c r="M462" s="117"/>
      <c r="N462" s="117"/>
      <c r="O462" s="104"/>
      <c r="P462" s="105"/>
      <c r="Q462" s="105"/>
    </row>
    <row r="463" spans="1:17" s="106" customFormat="1" ht="15" thickBot="1">
      <c r="A463" s="113"/>
      <c r="B463" s="118" t="s">
        <v>162</v>
      </c>
      <c r="C463" s="119"/>
      <c r="D463" s="120"/>
      <c r="E463" s="120"/>
      <c r="F463" s="120"/>
      <c r="G463" s="120"/>
      <c r="H463" s="120"/>
      <c r="I463" s="120"/>
      <c r="J463" s="120"/>
      <c r="K463" s="120"/>
      <c r="L463" s="120"/>
      <c r="M463" s="120"/>
      <c r="N463" s="120"/>
      <c r="O463" s="111"/>
      <c r="P463" s="105"/>
      <c r="Q463" s="105"/>
    </row>
    <row r="464" spans="1:17" s="106" customFormat="1" ht="15" thickBot="1">
      <c r="A464" s="104"/>
      <c r="B464" s="122" t="s">
        <v>163</v>
      </c>
      <c r="C464" s="122" t="s">
        <v>164</v>
      </c>
      <c r="D464" s="123">
        <f>+[16]Summary!$Q$48</f>
        <v>153.91565097241732</v>
      </c>
      <c r="E464" s="142">
        <f>+[16]Summary!$R$48</f>
        <v>671589.12958096189</v>
      </c>
      <c r="F464" s="104"/>
      <c r="G464" s="125"/>
      <c r="H464" s="123"/>
      <c r="I464" s="124"/>
      <c r="J464" s="123"/>
      <c r="K464" s="123"/>
      <c r="L464" s="124"/>
      <c r="M464" s="123"/>
      <c r="N464" s="123"/>
      <c r="O464" s="111"/>
      <c r="P464" s="105"/>
      <c r="Q464" s="105"/>
    </row>
    <row r="465" spans="1:17" s="106" customFormat="1" ht="15.75" thickTop="1" thickBot="1">
      <c r="A465" s="104"/>
      <c r="B465" s="122" t="s">
        <v>163</v>
      </c>
      <c r="C465" s="122" t="s">
        <v>165</v>
      </c>
      <c r="D465" s="123">
        <f>+[16]Summary!$Q$47</f>
        <v>197.41201647988211</v>
      </c>
      <c r="E465" s="142">
        <f>+[16]Summary!$R$47</f>
        <v>921387.29804359528</v>
      </c>
      <c r="F465" s="104"/>
      <c r="G465" s="125"/>
      <c r="H465" s="123"/>
      <c r="I465" s="124"/>
      <c r="J465" s="123"/>
      <c r="K465" s="123"/>
      <c r="L465" s="124"/>
      <c r="M465" s="123"/>
      <c r="N465" s="123"/>
      <c r="O465" s="111"/>
      <c r="P465" s="105"/>
      <c r="Q465" s="105"/>
    </row>
    <row r="466" spans="1:17" s="106" customFormat="1" ht="15.75" thickTop="1" thickBot="1">
      <c r="A466" s="104"/>
      <c r="B466" s="122" t="s">
        <v>163</v>
      </c>
      <c r="C466" s="122" t="s">
        <v>111</v>
      </c>
      <c r="D466" s="123">
        <f>+[16]Summary!$Q$46</f>
        <v>356.14942095431837</v>
      </c>
      <c r="E466" s="142">
        <f>+[16]Summary!$R$46</f>
        <v>3535167.9750264171</v>
      </c>
      <c r="F466" s="104"/>
      <c r="G466" s="125"/>
      <c r="H466" s="123"/>
      <c r="I466" s="124"/>
      <c r="J466" s="123"/>
      <c r="K466" s="123"/>
      <c r="L466" s="124"/>
      <c r="M466" s="123"/>
      <c r="N466" s="123"/>
      <c r="O466" s="111"/>
      <c r="P466" s="105"/>
      <c r="Q466" s="105"/>
    </row>
    <row r="467" spans="1:17" s="106" customFormat="1" ht="15.75" thickTop="1" thickBot="1">
      <c r="A467" s="104"/>
      <c r="B467" s="122" t="s">
        <v>163</v>
      </c>
      <c r="C467" s="122" t="s">
        <v>166</v>
      </c>
      <c r="D467" s="123">
        <f>+[16]Summary!$Q$49</f>
        <v>46.52291159338219</v>
      </c>
      <c r="E467" s="142">
        <f>+[16]Summary!$R$49</f>
        <v>261486.59734902583</v>
      </c>
      <c r="F467" s="104"/>
      <c r="G467" s="125"/>
      <c r="H467" s="123"/>
      <c r="I467" s="124"/>
      <c r="J467" s="123"/>
      <c r="K467" s="123"/>
      <c r="L467" s="124"/>
      <c r="M467" s="123"/>
      <c r="N467" s="123"/>
      <c r="O467" s="111"/>
      <c r="P467" s="105"/>
      <c r="Q467" s="105"/>
    </row>
    <row r="468" spans="1:17" s="106" customFormat="1" ht="15" thickTop="1">
      <c r="A468" s="104"/>
      <c r="B468" s="122" t="s">
        <v>167</v>
      </c>
      <c r="C468" s="122" t="s">
        <v>164</v>
      </c>
      <c r="D468" s="123">
        <v>236.167</v>
      </c>
      <c r="E468" s="123">
        <v>866071.53500000003</v>
      </c>
      <c r="F468" s="104"/>
      <c r="G468" s="125"/>
      <c r="H468" s="123"/>
      <c r="I468" s="124"/>
      <c r="J468" s="123"/>
      <c r="K468" s="123"/>
      <c r="L468" s="124"/>
      <c r="M468" s="123"/>
      <c r="N468" s="123"/>
      <c r="O468" s="111"/>
      <c r="P468" s="105"/>
      <c r="Q468" s="105"/>
    </row>
    <row r="469" spans="1:17" s="106" customFormat="1">
      <c r="A469" s="104"/>
      <c r="B469" s="122" t="s">
        <v>168</v>
      </c>
      <c r="C469" s="122"/>
      <c r="D469" s="123"/>
      <c r="E469" s="123"/>
      <c r="F469" s="104"/>
      <c r="G469" s="125"/>
      <c r="H469" s="123"/>
      <c r="I469" s="124"/>
      <c r="J469" s="123"/>
      <c r="K469" s="123"/>
      <c r="L469" s="124"/>
      <c r="M469" s="123"/>
      <c r="N469" s="123"/>
      <c r="O469" s="111"/>
      <c r="P469" s="105"/>
      <c r="Q469" s="105"/>
    </row>
    <row r="470" spans="1:17" s="106" customFormat="1">
      <c r="A470" s="104"/>
      <c r="B470" s="122" t="s">
        <v>169</v>
      </c>
      <c r="C470" s="122" t="s">
        <v>165</v>
      </c>
      <c r="D470" s="123">
        <v>8.4879999999999995</v>
      </c>
      <c r="E470" s="123">
        <v>-4435.3639999999996</v>
      </c>
      <c r="F470" s="104"/>
      <c r="G470" s="125"/>
      <c r="H470" s="123"/>
      <c r="I470" s="124"/>
      <c r="J470" s="123"/>
      <c r="K470" s="123"/>
      <c r="L470" s="124"/>
      <c r="M470" s="123"/>
      <c r="N470" s="123"/>
      <c r="O470" s="111"/>
      <c r="P470" s="105"/>
      <c r="Q470" s="105"/>
    </row>
    <row r="471" spans="1:17" s="106" customFormat="1">
      <c r="A471" s="104"/>
      <c r="B471" s="122" t="s">
        <v>170</v>
      </c>
      <c r="C471" s="122" t="s">
        <v>165</v>
      </c>
      <c r="D471" s="123">
        <v>1.847</v>
      </c>
      <c r="E471" s="123"/>
      <c r="F471" s="104"/>
      <c r="G471" s="125"/>
      <c r="H471" s="123"/>
      <c r="I471" s="124"/>
      <c r="J471" s="123"/>
      <c r="K471" s="123"/>
      <c r="L471" s="124"/>
      <c r="M471" s="123"/>
      <c r="N471" s="123"/>
      <c r="O471" s="111"/>
      <c r="P471" s="105"/>
      <c r="Q471" s="105"/>
    </row>
    <row r="472" spans="1:17" s="106" customFormat="1">
      <c r="A472" s="104"/>
      <c r="B472" s="122" t="s">
        <v>171</v>
      </c>
      <c r="C472" s="122" t="s">
        <v>165</v>
      </c>
      <c r="D472" s="123"/>
      <c r="E472" s="123"/>
      <c r="F472" s="104"/>
      <c r="G472" s="125"/>
      <c r="H472" s="123"/>
      <c r="I472" s="124"/>
      <c r="J472" s="123"/>
      <c r="K472" s="123"/>
      <c r="L472" s="124"/>
      <c r="M472" s="123"/>
      <c r="N472" s="123"/>
      <c r="O472" s="111"/>
      <c r="P472" s="105"/>
      <c r="Q472" s="105"/>
    </row>
    <row r="473" spans="1:17" s="106" customFormat="1">
      <c r="A473" s="104"/>
      <c r="B473" s="122" t="s">
        <v>172</v>
      </c>
      <c r="C473" s="122"/>
      <c r="D473" s="123"/>
      <c r="E473" s="123"/>
      <c r="F473" s="104"/>
      <c r="G473" s="125"/>
      <c r="H473" s="123"/>
      <c r="I473" s="124"/>
      <c r="J473" s="123"/>
      <c r="K473" s="123"/>
      <c r="L473" s="124"/>
      <c r="M473" s="123"/>
      <c r="N473" s="123"/>
      <c r="O473" s="111"/>
      <c r="P473" s="105"/>
      <c r="Q473" s="105"/>
    </row>
    <row r="474" spans="1:17" s="106" customFormat="1">
      <c r="A474" s="104"/>
      <c r="B474" s="122" t="s">
        <v>105</v>
      </c>
      <c r="C474" s="127"/>
      <c r="D474" s="123"/>
      <c r="E474" s="123"/>
      <c r="F474" s="104"/>
      <c r="G474" s="125"/>
      <c r="H474" s="123"/>
      <c r="I474" s="124"/>
      <c r="J474" s="123"/>
      <c r="K474" s="123"/>
      <c r="L474" s="124"/>
      <c r="M474" s="123"/>
      <c r="N474" s="123"/>
      <c r="O474" s="111"/>
      <c r="P474" s="105"/>
      <c r="Q474" s="105"/>
    </row>
    <row r="475" spans="1:17" s="106" customFormat="1" ht="18" customHeight="1">
      <c r="A475" s="121"/>
      <c r="B475" s="128" t="s">
        <v>173</v>
      </c>
      <c r="C475" s="129"/>
      <c r="D475" s="130">
        <f>SUM(D464:D474)</f>
        <v>1000.5020000000002</v>
      </c>
      <c r="E475" s="131">
        <f>SUM(E464:E474)</f>
        <v>6251267.171000001</v>
      </c>
      <c r="F475" s="132"/>
      <c r="G475" s="130"/>
      <c r="H475" s="131"/>
      <c r="I475" s="132"/>
      <c r="J475" s="130"/>
      <c r="K475" s="131"/>
      <c r="L475" s="132"/>
      <c r="M475" s="130"/>
      <c r="N475" s="131"/>
      <c r="O475" s="111"/>
      <c r="P475" s="134">
        <f>+D475+G475+J475+M475</f>
        <v>1000.5020000000002</v>
      </c>
      <c r="Q475" s="134">
        <f>+E475+H475+K475+N475</f>
        <v>6251267.171000001</v>
      </c>
    </row>
    <row r="476" spans="1:17" s="106" customFormat="1" ht="15" thickBot="1">
      <c r="A476" s="104"/>
      <c r="B476" s="104"/>
      <c r="C476" s="117"/>
      <c r="D476" s="117"/>
      <c r="E476" s="117"/>
      <c r="F476" s="117"/>
      <c r="G476" s="117"/>
      <c r="H476" s="117"/>
      <c r="I476" s="117"/>
      <c r="J476" s="117"/>
      <c r="K476" s="117"/>
      <c r="L476" s="117"/>
      <c r="M476" s="117"/>
      <c r="N476" s="117"/>
      <c r="O476" s="104"/>
      <c r="P476" s="105"/>
      <c r="Q476" s="105"/>
    </row>
    <row r="477" spans="1:17" s="106" customFormat="1" ht="15" thickBot="1">
      <c r="A477" s="113"/>
      <c r="B477" s="118" t="s">
        <v>174</v>
      </c>
      <c r="C477" s="119"/>
      <c r="D477" s="120"/>
      <c r="E477" s="120"/>
      <c r="F477" s="120"/>
      <c r="G477" s="120"/>
      <c r="H477" s="120"/>
      <c r="I477" s="120"/>
      <c r="J477" s="120"/>
      <c r="K477" s="120"/>
      <c r="L477" s="120"/>
      <c r="M477" s="120"/>
      <c r="N477" s="120"/>
      <c r="O477" s="111"/>
      <c r="P477" s="105"/>
      <c r="Q477" s="105"/>
    </row>
    <row r="478" spans="1:17" s="106" customFormat="1">
      <c r="A478" s="104"/>
      <c r="B478" s="122" t="s">
        <v>175</v>
      </c>
      <c r="C478" s="122"/>
      <c r="D478" s="123"/>
      <c r="E478" s="123"/>
      <c r="F478" s="104"/>
      <c r="G478" s="125"/>
      <c r="H478" s="123"/>
      <c r="I478" s="124"/>
      <c r="J478" s="123"/>
      <c r="K478" s="123"/>
      <c r="L478" s="124"/>
      <c r="M478" s="123"/>
      <c r="N478" s="123"/>
      <c r="O478" s="111"/>
      <c r="P478" s="105"/>
      <c r="Q478" s="105"/>
    </row>
    <row r="479" spans="1:17" s="106" customFormat="1">
      <c r="A479" s="104"/>
      <c r="B479" s="122" t="s">
        <v>176</v>
      </c>
      <c r="C479" s="122"/>
      <c r="D479" s="123"/>
      <c r="E479" s="123"/>
      <c r="F479" s="104"/>
      <c r="G479" s="125"/>
      <c r="H479" s="123"/>
      <c r="I479" s="124"/>
      <c r="J479" s="123"/>
      <c r="K479" s="123"/>
      <c r="L479" s="124"/>
      <c r="M479" s="123"/>
      <c r="N479" s="123"/>
      <c r="O479" s="111"/>
      <c r="P479" s="105"/>
      <c r="Q479" s="105"/>
    </row>
    <row r="480" spans="1:17" s="106" customFormat="1">
      <c r="A480" s="104"/>
      <c r="B480" s="122" t="s">
        <v>177</v>
      </c>
      <c r="C480" s="122" t="s">
        <v>111</v>
      </c>
      <c r="D480" s="123">
        <v>200.655</v>
      </c>
      <c r="E480" s="123">
        <v>1859328</v>
      </c>
      <c r="F480" s="104"/>
      <c r="G480" s="125"/>
      <c r="H480" s="123"/>
      <c r="I480" s="124"/>
      <c r="J480" s="123"/>
      <c r="K480" s="123"/>
      <c r="L480" s="124"/>
      <c r="M480" s="123"/>
      <c r="N480" s="123"/>
      <c r="O480" s="111"/>
      <c r="P480" s="105"/>
      <c r="Q480" s="105"/>
    </row>
    <row r="481" spans="1:17" s="106" customFormat="1">
      <c r="A481" s="104"/>
      <c r="B481" s="122" t="s">
        <v>163</v>
      </c>
      <c r="C481" s="122" t="s">
        <v>111</v>
      </c>
      <c r="D481" s="123"/>
      <c r="E481" s="123"/>
      <c r="F481" s="104"/>
      <c r="G481" s="125"/>
      <c r="H481" s="123"/>
      <c r="I481" s="124"/>
      <c r="J481" s="123"/>
      <c r="K481" s="123"/>
      <c r="L481" s="124"/>
      <c r="M481" s="123"/>
      <c r="N481" s="123"/>
      <c r="O481" s="111"/>
      <c r="P481" s="105"/>
      <c r="Q481" s="105"/>
    </row>
    <row r="482" spans="1:17" s="106" customFormat="1">
      <c r="A482" s="104"/>
      <c r="B482" s="122" t="s">
        <v>105</v>
      </c>
      <c r="C482" s="122" t="s">
        <v>111</v>
      </c>
      <c r="D482" s="123">
        <v>1546.1479999999999</v>
      </c>
      <c r="E482" s="123"/>
      <c r="F482" s="104"/>
      <c r="G482" s="125"/>
      <c r="H482" s="123"/>
      <c r="I482" s="124"/>
      <c r="J482" s="123"/>
      <c r="K482" s="123"/>
      <c r="L482" s="124"/>
      <c r="M482" s="123"/>
      <c r="N482" s="123"/>
      <c r="O482" s="111"/>
      <c r="P482" s="105"/>
      <c r="Q482" s="105"/>
    </row>
    <row r="483" spans="1:17" s="106" customFormat="1" ht="18" customHeight="1">
      <c r="A483" s="121"/>
      <c r="B483" s="128" t="s">
        <v>178</v>
      </c>
      <c r="C483" s="129"/>
      <c r="D483" s="130">
        <f>SUM(D478:D482)</f>
        <v>1746.8029999999999</v>
      </c>
      <c r="E483" s="130">
        <f>SUM(E478:E482)</f>
        <v>1859328</v>
      </c>
      <c r="F483" s="132"/>
      <c r="G483" s="130"/>
      <c r="H483" s="130"/>
      <c r="I483" s="132"/>
      <c r="J483" s="130"/>
      <c r="K483" s="130"/>
      <c r="L483" s="132"/>
      <c r="M483" s="130"/>
      <c r="N483" s="130"/>
      <c r="O483" s="111"/>
      <c r="P483" s="134">
        <f>+D483+G483+J483+M483</f>
        <v>1746.8029999999999</v>
      </c>
      <c r="Q483" s="134">
        <f>+E483+H483+K483+N483</f>
        <v>1859328</v>
      </c>
    </row>
    <row r="484" spans="1:17" s="106" customFormat="1" ht="15" thickBot="1">
      <c r="A484" s="104"/>
      <c r="B484" s="104"/>
      <c r="C484" s="117"/>
      <c r="D484" s="117"/>
      <c r="E484" s="117"/>
      <c r="F484" s="117"/>
      <c r="G484" s="117"/>
      <c r="H484" s="117"/>
      <c r="I484" s="117"/>
      <c r="J484" s="117"/>
      <c r="K484" s="117"/>
      <c r="L484" s="117"/>
      <c r="M484" s="117"/>
      <c r="N484" s="117"/>
      <c r="O484" s="104"/>
      <c r="P484" s="105"/>
      <c r="Q484" s="105"/>
    </row>
    <row r="485" spans="1:17" s="106" customFormat="1" ht="15" thickBot="1">
      <c r="A485" s="113"/>
      <c r="B485" s="118" t="s">
        <v>179</v>
      </c>
      <c r="C485" s="119"/>
      <c r="D485" s="120"/>
      <c r="E485" s="120"/>
      <c r="F485" s="120"/>
      <c r="G485" s="120"/>
      <c r="H485" s="120"/>
      <c r="I485" s="120"/>
      <c r="J485" s="120"/>
      <c r="K485" s="120"/>
      <c r="L485" s="120"/>
      <c r="M485" s="120"/>
      <c r="N485" s="120"/>
      <c r="O485" s="111"/>
      <c r="P485" s="105"/>
      <c r="Q485" s="105"/>
    </row>
    <row r="486" spans="1:17" s="106" customFormat="1">
      <c r="A486" s="104"/>
      <c r="B486" s="122" t="s">
        <v>179</v>
      </c>
      <c r="C486" s="122" t="s">
        <v>152</v>
      </c>
      <c r="D486" s="123">
        <v>8.3219999999999992</v>
      </c>
      <c r="E486" s="123">
        <v>113069.713</v>
      </c>
      <c r="F486" s="104"/>
      <c r="G486" s="125"/>
      <c r="H486" s="123"/>
      <c r="I486" s="124"/>
      <c r="J486" s="123"/>
      <c r="K486" s="123"/>
      <c r="L486" s="124"/>
      <c r="M486" s="123"/>
      <c r="N486" s="123"/>
      <c r="O486" s="111"/>
      <c r="P486" s="105"/>
      <c r="Q486" s="105"/>
    </row>
    <row r="487" spans="1:17" s="106" customFormat="1" ht="18" customHeight="1">
      <c r="A487" s="121"/>
      <c r="B487" s="128" t="s">
        <v>180</v>
      </c>
      <c r="C487" s="129"/>
      <c r="D487" s="130">
        <f>SUM(D486)</f>
        <v>8.3219999999999992</v>
      </c>
      <c r="E487" s="130">
        <f>SUM(E486)</f>
        <v>113069.713</v>
      </c>
      <c r="F487" s="132"/>
      <c r="G487" s="130"/>
      <c r="H487" s="130"/>
      <c r="I487" s="132"/>
      <c r="J487" s="130"/>
      <c r="K487" s="130"/>
      <c r="L487" s="132"/>
      <c r="M487" s="130"/>
      <c r="N487" s="130"/>
      <c r="O487" s="111"/>
      <c r="P487" s="134">
        <f>+D487+G487+J487+M487</f>
        <v>8.3219999999999992</v>
      </c>
      <c r="Q487" s="134">
        <f>+E487+H487+K487+N487</f>
        <v>113069.713</v>
      </c>
    </row>
    <row r="488" spans="1:17" s="106" customFormat="1" ht="15" thickBot="1">
      <c r="A488" s="104"/>
      <c r="B488" s="104"/>
      <c r="C488" s="117"/>
      <c r="D488" s="117"/>
      <c r="E488" s="117"/>
      <c r="F488" s="117"/>
      <c r="G488" s="117"/>
      <c r="H488" s="117"/>
      <c r="I488" s="117"/>
      <c r="J488" s="117"/>
      <c r="K488" s="117"/>
      <c r="L488" s="117"/>
      <c r="M488" s="117"/>
      <c r="N488" s="117"/>
      <c r="O488" s="104"/>
      <c r="P488" s="105"/>
      <c r="Q488" s="105"/>
    </row>
    <row r="489" spans="1:17" s="106" customFormat="1" ht="15" thickBot="1">
      <c r="A489" s="113"/>
      <c r="B489" s="118" t="s">
        <v>181</v>
      </c>
      <c r="C489" s="119"/>
      <c r="D489" s="120"/>
      <c r="E489" s="120"/>
      <c r="F489" s="120"/>
      <c r="G489" s="120"/>
      <c r="H489" s="120"/>
      <c r="I489" s="120"/>
      <c r="J489" s="120"/>
      <c r="K489" s="120"/>
      <c r="L489" s="120"/>
      <c r="M489" s="120"/>
      <c r="N489" s="120"/>
      <c r="O489" s="111"/>
      <c r="P489" s="105"/>
      <c r="Q489" s="105"/>
    </row>
    <row r="490" spans="1:17" s="106" customFormat="1">
      <c r="A490" s="104"/>
      <c r="B490" s="122" t="s">
        <v>179</v>
      </c>
      <c r="C490" s="122"/>
      <c r="D490" s="123"/>
      <c r="E490" s="123"/>
      <c r="F490" s="104"/>
      <c r="G490" s="125"/>
      <c r="H490" s="123"/>
      <c r="I490" s="124"/>
      <c r="J490" s="123"/>
      <c r="K490" s="123"/>
      <c r="L490" s="124"/>
      <c r="M490" s="123"/>
      <c r="N490" s="123"/>
      <c r="O490" s="111"/>
      <c r="P490" s="105"/>
      <c r="Q490" s="105"/>
    </row>
    <row r="491" spans="1:17" s="106" customFormat="1">
      <c r="A491" s="104"/>
      <c r="B491" s="122" t="s">
        <v>167</v>
      </c>
      <c r="C491" s="122"/>
      <c r="D491" s="123"/>
      <c r="E491" s="123"/>
      <c r="F491" s="104"/>
      <c r="G491" s="125"/>
      <c r="H491" s="123"/>
      <c r="I491" s="124"/>
      <c r="J491" s="123"/>
      <c r="K491" s="123"/>
      <c r="L491" s="124"/>
      <c r="M491" s="123"/>
      <c r="N491" s="123"/>
      <c r="O491" s="111"/>
      <c r="P491" s="105"/>
      <c r="Q491" s="105"/>
    </row>
    <row r="492" spans="1:17" s="106" customFormat="1" ht="18" customHeight="1">
      <c r="A492" s="121"/>
      <c r="B492" s="128" t="s">
        <v>182</v>
      </c>
      <c r="C492" s="129"/>
      <c r="D492" s="130">
        <f>SUM(D490:D491)</f>
        <v>0</v>
      </c>
      <c r="E492" s="130">
        <f>SUM(E490:E491)</f>
        <v>0</v>
      </c>
      <c r="F492" s="132"/>
      <c r="G492" s="130"/>
      <c r="H492" s="130"/>
      <c r="I492" s="132"/>
      <c r="J492" s="130"/>
      <c r="K492" s="130"/>
      <c r="L492" s="132"/>
      <c r="M492" s="130"/>
      <c r="N492" s="130"/>
      <c r="O492" s="111"/>
      <c r="P492" s="105"/>
      <c r="Q492" s="105"/>
    </row>
    <row r="493" spans="1:17" s="106" customFormat="1" ht="15" thickBot="1">
      <c r="A493" s="104"/>
      <c r="B493" s="104"/>
      <c r="C493" s="117"/>
      <c r="D493" s="117"/>
      <c r="E493" s="117"/>
      <c r="F493" s="117"/>
      <c r="G493" s="117"/>
      <c r="H493" s="117"/>
      <c r="I493" s="117"/>
      <c r="J493" s="117"/>
      <c r="K493" s="117"/>
      <c r="L493" s="117"/>
      <c r="M493" s="117"/>
      <c r="N493" s="117"/>
      <c r="O493" s="111"/>
      <c r="P493" s="105"/>
      <c r="Q493" s="105"/>
    </row>
    <row r="494" spans="1:17" s="106" customFormat="1" ht="15" thickBot="1">
      <c r="A494" s="113"/>
      <c r="B494" s="118" t="s">
        <v>183</v>
      </c>
      <c r="C494" s="119"/>
      <c r="D494" s="120"/>
      <c r="E494" s="120"/>
      <c r="F494" s="120"/>
      <c r="G494" s="120"/>
      <c r="H494" s="120"/>
      <c r="I494" s="120"/>
      <c r="J494" s="120"/>
      <c r="K494" s="120"/>
      <c r="L494" s="120"/>
      <c r="M494" s="120"/>
      <c r="N494" s="120"/>
      <c r="O494" s="111"/>
      <c r="P494" s="105"/>
      <c r="Q494" s="105"/>
    </row>
    <row r="495" spans="1:17" s="106" customFormat="1">
      <c r="A495" s="104"/>
      <c r="B495" s="122" t="s">
        <v>184</v>
      </c>
      <c r="C495" s="122" t="s">
        <v>165</v>
      </c>
      <c r="D495" s="123"/>
      <c r="E495" s="123"/>
      <c r="F495" s="104"/>
      <c r="G495" s="125"/>
      <c r="H495" s="123"/>
      <c r="I495" s="124"/>
      <c r="J495" s="123"/>
      <c r="K495" s="123"/>
      <c r="L495" s="124"/>
      <c r="M495" s="123"/>
      <c r="N495" s="123"/>
      <c r="O495" s="111"/>
      <c r="P495" s="105"/>
      <c r="Q495" s="105"/>
    </row>
    <row r="496" spans="1:17" s="106" customFormat="1">
      <c r="A496" s="104"/>
      <c r="B496" s="122" t="s">
        <v>103</v>
      </c>
      <c r="C496" s="122" t="s">
        <v>165</v>
      </c>
      <c r="D496" s="147"/>
      <c r="E496" s="147"/>
      <c r="F496" s="104"/>
      <c r="G496" s="125"/>
      <c r="H496" s="123"/>
      <c r="I496" s="124"/>
      <c r="J496" s="123"/>
      <c r="K496" s="123"/>
      <c r="L496" s="124"/>
      <c r="M496" s="123"/>
      <c r="N496" s="123"/>
      <c r="O496" s="111"/>
      <c r="P496" s="105"/>
      <c r="Q496" s="105"/>
    </row>
    <row r="497" spans="1:17" s="106" customFormat="1">
      <c r="A497" s="104"/>
      <c r="B497" s="122" t="s">
        <v>185</v>
      </c>
      <c r="C497" s="122"/>
      <c r="D497" s="123"/>
      <c r="E497" s="123"/>
      <c r="F497" s="104"/>
      <c r="G497" s="125"/>
      <c r="H497" s="123"/>
      <c r="I497" s="124"/>
      <c r="J497" s="123"/>
      <c r="K497" s="123"/>
      <c r="L497" s="124"/>
      <c r="M497" s="123"/>
      <c r="N497" s="123"/>
      <c r="O497" s="111"/>
      <c r="P497" s="105"/>
      <c r="Q497" s="105"/>
    </row>
    <row r="498" spans="1:17" s="106" customFormat="1">
      <c r="A498" s="104"/>
      <c r="B498" s="122" t="s">
        <v>186</v>
      </c>
      <c r="C498" s="122"/>
      <c r="D498" s="123"/>
      <c r="E498" s="123"/>
      <c r="F498" s="104"/>
      <c r="G498" s="125"/>
      <c r="H498" s="123"/>
      <c r="I498" s="124"/>
      <c r="J498" s="123"/>
      <c r="K498" s="123"/>
      <c r="L498" s="124"/>
      <c r="M498" s="123"/>
      <c r="N498" s="123"/>
      <c r="O498" s="111"/>
      <c r="P498" s="105"/>
      <c r="Q498" s="105"/>
    </row>
    <row r="499" spans="1:17" s="106" customFormat="1">
      <c r="A499" s="104"/>
      <c r="B499" s="122" t="s">
        <v>187</v>
      </c>
      <c r="C499" s="122"/>
      <c r="D499" s="123"/>
      <c r="E499" s="123"/>
      <c r="F499" s="104"/>
      <c r="G499" s="125"/>
      <c r="H499" s="123"/>
      <c r="I499" s="124"/>
      <c r="J499" s="123"/>
      <c r="K499" s="123"/>
      <c r="L499" s="124"/>
      <c r="M499" s="123"/>
      <c r="N499" s="123"/>
      <c r="O499" s="111"/>
      <c r="P499" s="105"/>
      <c r="Q499" s="105"/>
    </row>
    <row r="500" spans="1:17" s="106" customFormat="1" ht="18" customHeight="1">
      <c r="A500" s="121"/>
      <c r="B500" s="128" t="s">
        <v>188</v>
      </c>
      <c r="C500" s="129"/>
      <c r="D500" s="130">
        <f>SUM(D495:D499)</f>
        <v>0</v>
      </c>
      <c r="E500" s="130">
        <f>SUM(E495:E499)</f>
        <v>0</v>
      </c>
      <c r="F500" s="132"/>
      <c r="G500" s="130"/>
      <c r="H500" s="130"/>
      <c r="I500" s="132"/>
      <c r="J500" s="130"/>
      <c r="K500" s="130"/>
      <c r="L500" s="132"/>
      <c r="M500" s="130"/>
      <c r="N500" s="130"/>
      <c r="O500" s="111"/>
      <c r="P500" s="105"/>
      <c r="Q500" s="105"/>
    </row>
    <row r="501" spans="1:17" s="106" customFormat="1" ht="15" thickBot="1">
      <c r="A501" s="104"/>
      <c r="B501" s="104"/>
      <c r="C501" s="117"/>
      <c r="D501" s="117"/>
      <c r="E501" s="117"/>
      <c r="F501" s="117"/>
      <c r="G501" s="117"/>
      <c r="H501" s="117"/>
      <c r="I501" s="117"/>
      <c r="J501" s="117"/>
      <c r="K501" s="117"/>
      <c r="L501" s="117"/>
      <c r="M501" s="117"/>
      <c r="N501" s="117"/>
      <c r="O501" s="111"/>
      <c r="P501" s="105"/>
      <c r="Q501" s="105"/>
    </row>
    <row r="502" spans="1:17" s="106" customFormat="1" ht="15" thickBot="1">
      <c r="A502" s="113"/>
      <c r="B502" s="118" t="s">
        <v>189</v>
      </c>
      <c r="C502" s="119"/>
      <c r="D502" s="120"/>
      <c r="E502" s="120"/>
      <c r="F502" s="120"/>
      <c r="G502" s="120"/>
      <c r="H502" s="120"/>
      <c r="I502" s="120"/>
      <c r="J502" s="120"/>
      <c r="K502" s="120"/>
      <c r="L502" s="120"/>
      <c r="M502" s="120"/>
      <c r="N502" s="120"/>
      <c r="O502" s="111"/>
      <c r="P502" s="105"/>
      <c r="Q502" s="105"/>
    </row>
    <row r="503" spans="1:17" s="106" customFormat="1">
      <c r="A503" s="104"/>
      <c r="B503" s="122" t="s">
        <v>190</v>
      </c>
      <c r="C503" s="122" t="s">
        <v>165</v>
      </c>
      <c r="D503" s="123">
        <v>347.834</v>
      </c>
      <c r="E503" s="123">
        <v>1629539</v>
      </c>
      <c r="F503" s="104"/>
      <c r="G503" s="125"/>
      <c r="H503" s="123"/>
      <c r="I503" s="124"/>
      <c r="J503" s="123"/>
      <c r="K503" s="123"/>
      <c r="L503" s="124"/>
      <c r="M503" s="123"/>
      <c r="N503" s="123"/>
      <c r="O503" s="104"/>
      <c r="P503" s="105"/>
      <c r="Q503" s="105"/>
    </row>
    <row r="504" spans="1:17" s="106" customFormat="1">
      <c r="A504" s="104"/>
      <c r="B504" s="122" t="s">
        <v>191</v>
      </c>
      <c r="C504" s="122" t="s">
        <v>192</v>
      </c>
      <c r="D504" s="123">
        <v>349.36200000000002</v>
      </c>
      <c r="E504" s="123"/>
      <c r="F504" s="104"/>
      <c r="G504" s="125"/>
      <c r="H504" s="123"/>
      <c r="I504" s="124"/>
      <c r="J504" s="123"/>
      <c r="K504" s="123"/>
      <c r="L504" s="124"/>
      <c r="M504" s="123"/>
      <c r="N504" s="123"/>
      <c r="O504" s="104"/>
      <c r="P504" s="105"/>
      <c r="Q504" s="105"/>
    </row>
    <row r="505" spans="1:17" s="106" customFormat="1">
      <c r="A505" s="104"/>
      <c r="B505" s="122" t="s">
        <v>193</v>
      </c>
      <c r="C505" s="122"/>
      <c r="D505" s="123"/>
      <c r="E505" s="123"/>
      <c r="F505" s="104"/>
      <c r="G505" s="125"/>
      <c r="H505" s="123"/>
      <c r="I505" s="124"/>
      <c r="J505" s="123"/>
      <c r="K505" s="123"/>
      <c r="L505" s="124"/>
      <c r="M505" s="123"/>
      <c r="N505" s="123"/>
      <c r="O505" s="104"/>
      <c r="P505" s="105"/>
      <c r="Q505" s="105"/>
    </row>
    <row r="506" spans="1:17" s="106" customFormat="1" ht="18" customHeight="1">
      <c r="A506" s="121"/>
      <c r="B506" s="128" t="s">
        <v>194</v>
      </c>
      <c r="C506" s="129"/>
      <c r="D506" s="130">
        <f>SUM(D503:D505)</f>
        <v>697.19600000000003</v>
      </c>
      <c r="E506" s="130">
        <f>SUM(E503:E505)</f>
        <v>1629539</v>
      </c>
      <c r="F506" s="132"/>
      <c r="G506" s="130"/>
      <c r="H506" s="130"/>
      <c r="I506" s="132"/>
      <c r="J506" s="130"/>
      <c r="K506" s="130"/>
      <c r="L506" s="132"/>
      <c r="M506" s="130"/>
      <c r="N506" s="130"/>
      <c r="O506" s="111"/>
      <c r="P506" s="134">
        <f>+D506+G506+J506+M506</f>
        <v>697.19600000000003</v>
      </c>
      <c r="Q506" s="134">
        <f>+E506+H506+K506+N506</f>
        <v>1629539</v>
      </c>
    </row>
    <row r="507" spans="1:17" s="106" customFormat="1">
      <c r="A507" s="104"/>
      <c r="B507" s="136"/>
      <c r="C507" s="104"/>
      <c r="D507" s="104"/>
      <c r="E507" s="104"/>
      <c r="F507" s="104"/>
      <c r="G507" s="104"/>
      <c r="H507" s="104"/>
      <c r="I507" s="104"/>
      <c r="J507" s="104"/>
      <c r="K507" s="104"/>
      <c r="L507" s="104"/>
      <c r="M507" s="104"/>
      <c r="N507" s="104"/>
      <c r="O507" s="104"/>
      <c r="P507" s="105"/>
      <c r="Q507" s="105"/>
    </row>
    <row r="508" spans="1:17" s="106" customFormat="1" ht="15.75" thickBot="1">
      <c r="A508" s="104"/>
      <c r="B508" s="104"/>
      <c r="C508" s="104"/>
      <c r="D508" s="138">
        <f>+D506+D500+D492+D487+D483+D475+D461</f>
        <v>3859.0840000000003</v>
      </c>
      <c r="E508" s="138">
        <f>+E506+E500+E492+E487+E483+E475+E461</f>
        <v>11624661.737000002</v>
      </c>
      <c r="F508" s="137"/>
      <c r="G508" s="138"/>
      <c r="H508" s="138"/>
      <c r="I508" s="137"/>
      <c r="J508" s="138"/>
      <c r="K508" s="138"/>
      <c r="L508" s="137"/>
      <c r="M508" s="138"/>
      <c r="N508" s="138"/>
      <c r="O508" s="137"/>
      <c r="P508" s="138">
        <f>+P506+P500+P492+P487+P483+P475+P461</f>
        <v>3859.0840000000003</v>
      </c>
      <c r="Q508" s="138">
        <f>+Q506+Q500+Q492+Q487+Q483+Q475+Q461</f>
        <v>11624661.737000002</v>
      </c>
    </row>
    <row r="509" spans="1:17" ht="15" thickTop="1">
      <c r="P509" s="144"/>
      <c r="Q509" s="144"/>
    </row>
    <row r="511" spans="1:17">
      <c r="B511" s="136" t="s">
        <v>202</v>
      </c>
      <c r="C511" s="137"/>
      <c r="N511" s="153"/>
    </row>
    <row r="512" spans="1:17">
      <c r="B512" s="136" t="s">
        <v>235</v>
      </c>
      <c r="C512" s="136"/>
      <c r="P512" s="154"/>
      <c r="Q512" s="154"/>
    </row>
    <row r="513" spans="1:68">
      <c r="B513" s="136" t="s">
        <v>236</v>
      </c>
      <c r="P513" s="144"/>
      <c r="Q513" s="144"/>
    </row>
    <row r="514" spans="1:68">
      <c r="P514" s="144"/>
      <c r="Q514" s="144"/>
    </row>
    <row r="516" spans="1:68" s="156" customFormat="1" ht="18">
      <c r="A516" s="155" t="s">
        <v>237</v>
      </c>
      <c r="R516" s="157"/>
      <c r="S516" s="157"/>
      <c r="T516" s="157"/>
      <c r="U516" s="157"/>
      <c r="V516" s="157"/>
      <c r="W516" s="157"/>
      <c r="X516" s="157"/>
      <c r="Y516" s="157"/>
      <c r="Z516" s="157"/>
      <c r="AA516" s="157"/>
      <c r="AB516" s="157"/>
      <c r="AC516" s="157"/>
      <c r="AD516" s="157"/>
      <c r="AE516" s="157"/>
      <c r="AF516" s="157"/>
      <c r="AG516" s="157"/>
      <c r="AH516" s="157"/>
      <c r="AI516" s="157"/>
      <c r="AJ516" s="157"/>
      <c r="AK516" s="157"/>
      <c r="AL516" s="157"/>
      <c r="AM516" s="157"/>
      <c r="AN516" s="157"/>
      <c r="AO516" s="157"/>
      <c r="AP516" s="157"/>
      <c r="AQ516" s="157"/>
      <c r="AR516" s="157"/>
      <c r="AS516" s="157"/>
      <c r="AT516" s="157"/>
      <c r="AU516" s="157"/>
      <c r="AV516" s="157"/>
      <c r="AW516" s="157"/>
      <c r="AX516" s="157"/>
      <c r="AY516" s="157"/>
      <c r="AZ516" s="157"/>
      <c r="BA516" s="157"/>
      <c r="BB516" s="157"/>
      <c r="BC516" s="157"/>
      <c r="BD516" s="157"/>
      <c r="BE516" s="157"/>
      <c r="BF516" s="157"/>
      <c r="BG516" s="157"/>
      <c r="BH516" s="157"/>
      <c r="BI516" s="157"/>
      <c r="BJ516" s="157"/>
      <c r="BK516" s="157"/>
      <c r="BL516" s="157"/>
      <c r="BM516" s="157"/>
      <c r="BN516" s="157"/>
      <c r="BO516" s="157"/>
      <c r="BP516" s="157"/>
    </row>
    <row r="517" spans="1:68" s="105" customFormat="1" ht="4.5" customHeight="1">
      <c r="R517" s="106"/>
      <c r="S517" s="106"/>
      <c r="T517" s="106"/>
      <c r="U517" s="106"/>
      <c r="V517" s="106"/>
      <c r="W517" s="106"/>
      <c r="X517" s="106"/>
      <c r="Y517" s="106"/>
      <c r="Z517" s="106"/>
      <c r="AA517" s="106"/>
      <c r="AB517" s="106"/>
      <c r="AC517" s="106"/>
      <c r="AD517" s="106"/>
      <c r="AE517" s="106"/>
      <c r="AF517" s="106"/>
      <c r="AG517" s="106"/>
      <c r="AH517" s="106"/>
      <c r="AI517" s="106"/>
      <c r="AJ517" s="106"/>
      <c r="AK517" s="106"/>
      <c r="AL517" s="106"/>
      <c r="AM517" s="106"/>
      <c r="AN517" s="106"/>
      <c r="AO517" s="106"/>
      <c r="AP517" s="106"/>
      <c r="AQ517" s="106"/>
      <c r="AR517" s="106"/>
      <c r="AS517" s="106"/>
      <c r="AT517" s="106"/>
      <c r="AU517" s="106"/>
      <c r="AV517" s="106"/>
      <c r="AW517" s="106"/>
      <c r="AX517" s="106"/>
      <c r="AY517" s="106"/>
      <c r="AZ517" s="106"/>
      <c r="BA517" s="106"/>
      <c r="BB517" s="106"/>
      <c r="BC517" s="106"/>
      <c r="BD517" s="106"/>
      <c r="BE517" s="106"/>
      <c r="BF517" s="106"/>
      <c r="BG517" s="106"/>
      <c r="BH517" s="106"/>
      <c r="BI517" s="106"/>
      <c r="BJ517" s="106"/>
      <c r="BK517" s="106"/>
      <c r="BL517" s="106"/>
      <c r="BM517" s="106"/>
      <c r="BN517" s="106"/>
      <c r="BO517" s="106"/>
      <c r="BP517" s="106"/>
    </row>
    <row r="518" spans="1:68" s="105" customFormat="1" ht="15">
      <c r="A518" s="158"/>
      <c r="B518" s="158"/>
      <c r="C518" s="158"/>
      <c r="D518" s="618">
        <v>2011</v>
      </c>
      <c r="E518" s="618"/>
      <c r="F518" s="159"/>
      <c r="G518" s="618">
        <v>2012</v>
      </c>
      <c r="H518" s="618"/>
      <c r="I518" s="159"/>
      <c r="J518" s="618">
        <v>2013</v>
      </c>
      <c r="K518" s="618"/>
      <c r="L518" s="159"/>
      <c r="M518" s="618">
        <v>2014</v>
      </c>
      <c r="N518" s="618"/>
      <c r="O518" s="158"/>
      <c r="R518" s="106"/>
      <c r="S518" s="106"/>
      <c r="T518" s="106"/>
      <c r="U518" s="106"/>
      <c r="V518" s="106"/>
      <c r="W518" s="106"/>
      <c r="X518" s="106"/>
      <c r="Y518" s="106"/>
      <c r="Z518" s="106"/>
      <c r="AA518" s="106"/>
      <c r="AB518" s="106"/>
      <c r="AC518" s="106"/>
      <c r="AD518" s="106"/>
      <c r="AE518" s="106"/>
      <c r="AF518" s="106"/>
      <c r="AG518" s="106"/>
      <c r="AH518" s="106"/>
      <c r="AI518" s="106"/>
      <c r="AJ518" s="106"/>
      <c r="AK518" s="106"/>
      <c r="AL518" s="106"/>
      <c r="AM518" s="106"/>
      <c r="AN518" s="106"/>
      <c r="AO518" s="106"/>
      <c r="AP518" s="106"/>
      <c r="AQ518" s="106"/>
      <c r="AR518" s="106"/>
      <c r="AS518" s="106"/>
      <c r="AT518" s="106"/>
      <c r="AU518" s="106"/>
      <c r="AV518" s="106"/>
      <c r="AW518" s="106"/>
      <c r="AX518" s="106"/>
      <c r="AY518" s="106"/>
      <c r="AZ518" s="106"/>
      <c r="BA518" s="106"/>
      <c r="BB518" s="106"/>
      <c r="BC518" s="106"/>
      <c r="BD518" s="106"/>
      <c r="BE518" s="106"/>
      <c r="BF518" s="106"/>
      <c r="BG518" s="106"/>
      <c r="BH518" s="106"/>
      <c r="BI518" s="106"/>
      <c r="BJ518" s="106"/>
      <c r="BK518" s="106"/>
      <c r="BL518" s="106"/>
      <c r="BM518" s="106"/>
      <c r="BN518" s="106"/>
      <c r="BO518" s="106"/>
      <c r="BP518" s="106"/>
    </row>
    <row r="519" spans="1:68" s="105" customFormat="1" ht="8.25" customHeight="1">
      <c r="A519" s="160"/>
      <c r="B519" s="161"/>
      <c r="C519" s="161"/>
      <c r="D519" s="161"/>
      <c r="E519" s="161"/>
      <c r="F519" s="161"/>
      <c r="G519" s="161"/>
      <c r="H519" s="161"/>
      <c r="I519" s="161"/>
      <c r="J519" s="161"/>
      <c r="K519" s="161"/>
      <c r="L519" s="161"/>
      <c r="M519" s="161"/>
      <c r="N519" s="161"/>
      <c r="O519" s="161"/>
      <c r="P519" s="614" t="s">
        <v>5</v>
      </c>
      <c r="Q519" s="614"/>
      <c r="R519" s="106"/>
      <c r="S519" s="106"/>
      <c r="T519" s="106"/>
      <c r="U519" s="106"/>
      <c r="V519" s="106"/>
      <c r="W519" s="106"/>
      <c r="X519" s="106"/>
      <c r="Y519" s="106"/>
      <c r="Z519" s="106"/>
      <c r="AA519" s="106"/>
      <c r="AB519" s="106"/>
      <c r="AC519" s="106"/>
      <c r="AD519" s="106"/>
      <c r="AE519" s="106"/>
      <c r="AF519" s="106"/>
      <c r="AG519" s="106"/>
      <c r="AH519" s="106"/>
      <c r="AI519" s="106"/>
      <c r="AJ519" s="106"/>
      <c r="AK519" s="106"/>
      <c r="AL519" s="106"/>
      <c r="AM519" s="106"/>
      <c r="AN519" s="106"/>
      <c r="AO519" s="106"/>
      <c r="AP519" s="106"/>
      <c r="AQ519" s="106"/>
      <c r="AR519" s="106"/>
      <c r="AS519" s="106"/>
      <c r="AT519" s="106"/>
      <c r="AU519" s="106"/>
      <c r="AV519" s="106"/>
      <c r="AW519" s="106"/>
      <c r="AX519" s="106"/>
      <c r="AY519" s="106"/>
      <c r="AZ519" s="106"/>
      <c r="BA519" s="106"/>
      <c r="BB519" s="106"/>
      <c r="BC519" s="106"/>
      <c r="BD519" s="106"/>
      <c r="BE519" s="106"/>
      <c r="BF519" s="106"/>
      <c r="BG519" s="106"/>
      <c r="BH519" s="106"/>
      <c r="BI519" s="106"/>
      <c r="BJ519" s="106"/>
      <c r="BK519" s="106"/>
      <c r="BL519" s="106"/>
      <c r="BM519" s="106"/>
      <c r="BN519" s="106"/>
      <c r="BO519" s="106"/>
      <c r="BP519" s="106"/>
    </row>
    <row r="520" spans="1:68" s="105" customFormat="1" ht="51">
      <c r="A520" s="160"/>
      <c r="B520" s="162"/>
      <c r="C520" s="162"/>
      <c r="D520" s="116" t="s">
        <v>238</v>
      </c>
      <c r="E520" s="116" t="s">
        <v>239</v>
      </c>
      <c r="G520" s="116" t="s">
        <v>238</v>
      </c>
      <c r="H520" s="116" t="s">
        <v>239</v>
      </c>
      <c r="J520" s="116" t="s">
        <v>238</v>
      </c>
      <c r="K520" s="116" t="s">
        <v>239</v>
      </c>
      <c r="M520" s="116" t="s">
        <v>238</v>
      </c>
      <c r="N520" s="116" t="s">
        <v>239</v>
      </c>
      <c r="O520" s="161"/>
      <c r="P520" s="116" t="s">
        <v>238</v>
      </c>
      <c r="Q520" s="116" t="s">
        <v>239</v>
      </c>
      <c r="R520" s="106"/>
      <c r="S520" s="106"/>
      <c r="T520" s="106"/>
      <c r="U520" s="106"/>
      <c r="V520" s="106"/>
      <c r="W520" s="106"/>
      <c r="X520" s="106"/>
      <c r="Y520" s="106"/>
      <c r="Z520" s="106"/>
      <c r="AA520" s="106"/>
      <c r="AB520" s="106"/>
      <c r="AC520" s="106"/>
      <c r="AD520" s="106"/>
      <c r="AE520" s="106"/>
      <c r="AF520" s="106"/>
      <c r="AG520" s="106"/>
      <c r="AH520" s="106"/>
      <c r="AI520" s="106"/>
      <c r="AJ520" s="106"/>
      <c r="AK520" s="106"/>
      <c r="AL520" s="106"/>
      <c r="AM520" s="106"/>
      <c r="AN520" s="106"/>
      <c r="AO520" s="106"/>
      <c r="AP520" s="106"/>
      <c r="AQ520" s="106"/>
      <c r="AR520" s="106"/>
      <c r="AS520" s="106"/>
      <c r="AT520" s="106"/>
      <c r="AU520" s="106"/>
      <c r="AV520" s="106"/>
      <c r="AW520" s="106"/>
      <c r="AX520" s="106"/>
      <c r="AY520" s="106"/>
      <c r="AZ520" s="106"/>
      <c r="BA520" s="106"/>
      <c r="BB520" s="106"/>
      <c r="BC520" s="106"/>
      <c r="BD520" s="106"/>
      <c r="BE520" s="106"/>
      <c r="BF520" s="106"/>
      <c r="BG520" s="106"/>
      <c r="BH520" s="106"/>
      <c r="BI520" s="106"/>
      <c r="BJ520" s="106"/>
      <c r="BK520" s="106"/>
      <c r="BL520" s="106"/>
      <c r="BM520" s="106"/>
      <c r="BN520" s="106"/>
      <c r="BO520" s="106"/>
      <c r="BP520" s="106"/>
    </row>
    <row r="521" spans="1:68" s="105" customFormat="1" ht="15" thickBot="1">
      <c r="A521" s="160"/>
      <c r="B521" s="163"/>
      <c r="C521" s="163"/>
      <c r="D521" s="163"/>
      <c r="E521" s="163"/>
      <c r="F521" s="163"/>
      <c r="G521" s="163"/>
      <c r="H521" s="163"/>
      <c r="I521" s="163"/>
      <c r="J521" s="163"/>
      <c r="K521" s="163"/>
      <c r="L521" s="163"/>
      <c r="M521" s="163"/>
      <c r="N521" s="163"/>
      <c r="O521" s="161"/>
      <c r="R521" s="106"/>
      <c r="S521" s="106"/>
      <c r="T521" s="106"/>
      <c r="U521" s="106"/>
      <c r="V521" s="106"/>
      <c r="W521" s="106"/>
      <c r="X521" s="106"/>
      <c r="Y521" s="106"/>
      <c r="Z521" s="106"/>
      <c r="AA521" s="106"/>
      <c r="AB521" s="106"/>
      <c r="AC521" s="106"/>
      <c r="AD521" s="106"/>
      <c r="AE521" s="106"/>
      <c r="AF521" s="106"/>
      <c r="AG521" s="106"/>
      <c r="AH521" s="106"/>
      <c r="AI521" s="106"/>
      <c r="AJ521" s="106"/>
      <c r="AK521" s="106"/>
      <c r="AL521" s="106"/>
      <c r="AM521" s="106"/>
      <c r="AN521" s="106"/>
      <c r="AO521" s="106"/>
      <c r="AP521" s="106"/>
      <c r="AQ521" s="106"/>
      <c r="AR521" s="106"/>
      <c r="AS521" s="106"/>
      <c r="AT521" s="106"/>
      <c r="AU521" s="106"/>
      <c r="AV521" s="106"/>
      <c r="AW521" s="106"/>
      <c r="AX521" s="106"/>
      <c r="AY521" s="106"/>
      <c r="AZ521" s="106"/>
      <c r="BA521" s="106"/>
      <c r="BB521" s="106"/>
      <c r="BC521" s="106"/>
      <c r="BD521" s="106"/>
      <c r="BE521" s="106"/>
      <c r="BF521" s="106"/>
      <c r="BG521" s="106"/>
      <c r="BH521" s="106"/>
      <c r="BI521" s="106"/>
      <c r="BJ521" s="106"/>
      <c r="BK521" s="106"/>
      <c r="BL521" s="106"/>
      <c r="BM521" s="106"/>
      <c r="BN521" s="106"/>
      <c r="BO521" s="106"/>
      <c r="BP521" s="106"/>
    </row>
    <row r="522" spans="1:68" s="105" customFormat="1" ht="15" thickBot="1">
      <c r="A522" s="160"/>
      <c r="B522" s="164" t="s">
        <v>150</v>
      </c>
      <c r="C522" s="165"/>
      <c r="D522" s="166"/>
      <c r="E522" s="166"/>
      <c r="F522" s="166"/>
      <c r="G522" s="166"/>
      <c r="H522" s="166"/>
      <c r="I522" s="166"/>
      <c r="J522" s="166"/>
      <c r="K522" s="166"/>
      <c r="L522" s="166"/>
      <c r="M522" s="166"/>
      <c r="N522" s="166"/>
      <c r="O522" s="161"/>
      <c r="R522" s="106"/>
      <c r="S522" s="106"/>
      <c r="T522" s="106"/>
      <c r="U522" s="106"/>
      <c r="V522" s="106"/>
      <c r="W522" s="106"/>
      <c r="X522" s="106"/>
      <c r="Y522" s="106"/>
      <c r="Z522" s="106"/>
      <c r="AA522" s="106"/>
      <c r="AB522" s="106"/>
      <c r="AC522" s="106"/>
      <c r="AD522" s="106"/>
      <c r="AE522" s="106"/>
      <c r="AF522" s="106"/>
      <c r="AG522" s="106"/>
      <c r="AH522" s="106"/>
      <c r="AI522" s="106"/>
      <c r="AJ522" s="106"/>
      <c r="AK522" s="106"/>
      <c r="AL522" s="106"/>
      <c r="AM522" s="106"/>
      <c r="AN522" s="106"/>
      <c r="AO522" s="106"/>
      <c r="AP522" s="106"/>
      <c r="AQ522" s="106"/>
      <c r="AR522" s="106"/>
      <c r="AS522" s="106"/>
      <c r="AT522" s="106"/>
      <c r="AU522" s="106"/>
      <c r="AV522" s="106"/>
      <c r="AW522" s="106"/>
      <c r="AX522" s="106"/>
      <c r="AY522" s="106"/>
      <c r="AZ522" s="106"/>
      <c r="BA522" s="106"/>
      <c r="BB522" s="106"/>
      <c r="BC522" s="106"/>
      <c r="BD522" s="106"/>
      <c r="BE522" s="106"/>
      <c r="BF522" s="106"/>
      <c r="BG522" s="106"/>
      <c r="BH522" s="106"/>
      <c r="BI522" s="106"/>
      <c r="BJ522" s="106"/>
      <c r="BK522" s="106"/>
      <c r="BL522" s="106"/>
      <c r="BM522" s="106"/>
      <c r="BN522" s="106"/>
      <c r="BO522" s="106"/>
      <c r="BP522" s="106"/>
    </row>
    <row r="523" spans="1:68" s="105" customFormat="1">
      <c r="A523" s="167"/>
      <c r="B523" s="168" t="s">
        <v>151</v>
      </c>
      <c r="C523" s="168" t="s">
        <v>152</v>
      </c>
      <c r="D523" s="169">
        <f>+D9+D77</f>
        <v>43.680999999999997</v>
      </c>
      <c r="E523" s="169">
        <f>+E9+H9+K9+N9+E77+H77+K77+N77</f>
        <v>1175901.2439999999</v>
      </c>
      <c r="F523" s="170"/>
      <c r="G523" s="169">
        <f>+D153+D226</f>
        <v>23.981000000000002</v>
      </c>
      <c r="H523" s="169">
        <f>+E153+H153+K153+N153+E226+H226+K226+N226</f>
        <v>521192.09099999996</v>
      </c>
      <c r="I523" s="170"/>
      <c r="J523" s="169">
        <f>+D303+D376</f>
        <v>17.181999999999999</v>
      </c>
      <c r="K523" s="169">
        <f>+E303+H303+K303+N303+E376+H376+K376+N376</f>
        <v>194262.75599999999</v>
      </c>
      <c r="L523" s="170"/>
      <c r="M523" s="169">
        <f t="shared" ref="M523:N527" si="6">+D452</f>
        <v>14.018000000000001</v>
      </c>
      <c r="N523" s="169">
        <f>+E452</f>
        <v>94441.441999999995</v>
      </c>
      <c r="O523" s="161"/>
      <c r="P523" s="154">
        <f>+D523+G523+J523+M523</f>
        <v>98.862000000000009</v>
      </c>
      <c r="Q523" s="154">
        <f>+E523+H523+K523+N523</f>
        <v>1985797.5330000001</v>
      </c>
      <c r="R523" s="106"/>
      <c r="S523" s="106"/>
      <c r="T523" s="106"/>
      <c r="U523" s="106"/>
      <c r="V523" s="106"/>
      <c r="W523" s="106"/>
      <c r="X523" s="106"/>
      <c r="Y523" s="106"/>
      <c r="Z523" s="106"/>
      <c r="AA523" s="106"/>
      <c r="AB523" s="106"/>
      <c r="AC523" s="106"/>
      <c r="AD523" s="106"/>
      <c r="AE523" s="106"/>
      <c r="AF523" s="106"/>
      <c r="AG523" s="106"/>
      <c r="AH523" s="106"/>
      <c r="AI523" s="106"/>
      <c r="AJ523" s="106"/>
      <c r="AK523" s="106"/>
      <c r="AL523" s="106"/>
      <c r="AM523" s="106"/>
      <c r="AN523" s="106"/>
      <c r="AO523" s="106"/>
      <c r="AP523" s="106"/>
      <c r="AQ523" s="106"/>
      <c r="AR523" s="106"/>
      <c r="AS523" s="106"/>
      <c r="AT523" s="106"/>
      <c r="AU523" s="106"/>
      <c r="AV523" s="106"/>
      <c r="AW523" s="106"/>
      <c r="AX523" s="106"/>
      <c r="AY523" s="106"/>
      <c r="AZ523" s="106"/>
      <c r="BA523" s="106"/>
      <c r="BB523" s="106"/>
      <c r="BC523" s="106"/>
      <c r="BD523" s="106"/>
      <c r="BE523" s="106"/>
      <c r="BF523" s="106"/>
      <c r="BG523" s="106"/>
      <c r="BH523" s="106"/>
      <c r="BI523" s="106"/>
      <c r="BJ523" s="106"/>
      <c r="BK523" s="106"/>
      <c r="BL523" s="106"/>
      <c r="BM523" s="106"/>
      <c r="BN523" s="106"/>
      <c r="BO523" s="106"/>
      <c r="BP523" s="106"/>
    </row>
    <row r="524" spans="1:68" s="105" customFormat="1">
      <c r="A524" s="167"/>
      <c r="B524" s="168" t="s">
        <v>153</v>
      </c>
      <c r="C524" s="168" t="s">
        <v>152</v>
      </c>
      <c r="D524" s="169">
        <f>+D10+D78</f>
        <v>1.4810000000000001</v>
      </c>
      <c r="E524" s="169">
        <f>+E10+H10+K10+N10+E78+H78+K78+N78</f>
        <v>7874.268</v>
      </c>
      <c r="F524" s="170"/>
      <c r="G524" s="169">
        <f>+D154+D227</f>
        <v>6.7229999999999999</v>
      </c>
      <c r="H524" s="169">
        <f>+E154+H154+K154+N154+E227+H227+K227+N227</f>
        <v>35913.593999999997</v>
      </c>
      <c r="I524" s="170"/>
      <c r="J524" s="169">
        <f>+D304+D377</f>
        <v>20.512</v>
      </c>
      <c r="K524" s="169">
        <f>+E304+H304+K304+N304+E377+H377+K377+N377</f>
        <v>73149.096000000005</v>
      </c>
      <c r="L524" s="170"/>
      <c r="M524" s="169">
        <f t="shared" si="6"/>
        <v>12.432</v>
      </c>
      <c r="N524" s="169">
        <f t="shared" si="6"/>
        <v>22166.393</v>
      </c>
      <c r="O524" s="161"/>
      <c r="P524" s="154">
        <f t="shared" ref="P524:Q531" si="7">+D524+G524+J524+M524</f>
        <v>41.148000000000003</v>
      </c>
      <c r="Q524" s="154">
        <f t="shared" si="7"/>
        <v>139103.351</v>
      </c>
      <c r="R524" s="106"/>
      <c r="S524" s="106"/>
      <c r="T524" s="106"/>
      <c r="U524" s="106"/>
      <c r="V524" s="106"/>
      <c r="W524" s="106"/>
      <c r="X524" s="106"/>
      <c r="Y524" s="106"/>
      <c r="Z524" s="106"/>
      <c r="AA524" s="106"/>
      <c r="AB524" s="106"/>
      <c r="AC524" s="106"/>
      <c r="AD524" s="106"/>
      <c r="AE524" s="106"/>
      <c r="AF524" s="106"/>
      <c r="AG524" s="106"/>
      <c r="AH524" s="106"/>
      <c r="AI524" s="106"/>
      <c r="AJ524" s="106"/>
      <c r="AK524" s="106"/>
      <c r="AL524" s="106"/>
      <c r="AM524" s="106"/>
      <c r="AN524" s="106"/>
      <c r="AO524" s="106"/>
      <c r="AP524" s="106"/>
      <c r="AQ524" s="106"/>
      <c r="AR524" s="106"/>
      <c r="AS524" s="106"/>
      <c r="AT524" s="106"/>
      <c r="AU524" s="106"/>
      <c r="AV524" s="106"/>
      <c r="AW524" s="106"/>
      <c r="AX524" s="106"/>
      <c r="AY524" s="106"/>
      <c r="AZ524" s="106"/>
      <c r="BA524" s="106"/>
      <c r="BB524" s="106"/>
      <c r="BC524" s="106"/>
      <c r="BD524" s="106"/>
      <c r="BE524" s="106"/>
      <c r="BF524" s="106"/>
      <c r="BG524" s="106"/>
      <c r="BH524" s="106"/>
      <c r="BI524" s="106"/>
      <c r="BJ524" s="106"/>
      <c r="BK524" s="106"/>
      <c r="BL524" s="106"/>
      <c r="BM524" s="106"/>
      <c r="BN524" s="106"/>
      <c r="BO524" s="106"/>
      <c r="BP524" s="106"/>
    </row>
    <row r="525" spans="1:68" s="105" customFormat="1">
      <c r="A525" s="167"/>
      <c r="B525" s="168" t="s">
        <v>154</v>
      </c>
      <c r="C525" s="168" t="s">
        <v>152</v>
      </c>
      <c r="D525" s="169">
        <f>+D11+D79</f>
        <v>139.13799999999998</v>
      </c>
      <c r="E525" s="169">
        <f>+E11+H11+K11+N11+E79+H79+K79+N79</f>
        <v>1114491.5640000002</v>
      </c>
      <c r="F525" s="170"/>
      <c r="G525" s="169">
        <f>+D155+D228</f>
        <v>84.348000000000013</v>
      </c>
      <c r="H525" s="169">
        <f>+E155+H155+K155+N155+E228+H228+K228+N228</f>
        <v>478015.614</v>
      </c>
      <c r="I525" s="170"/>
      <c r="J525" s="169">
        <f>+D305+D378</f>
        <v>85.748000000000005</v>
      </c>
      <c r="K525" s="169">
        <f>+E305+H305+K305+N305+E378+H378+K378+N378</f>
        <v>316409.75271440001</v>
      </c>
      <c r="L525" s="170"/>
      <c r="M525" s="169">
        <f t="shared" si="6"/>
        <v>175.83500000000001</v>
      </c>
      <c r="N525" s="169">
        <f t="shared" si="6"/>
        <v>334873.85499999998</v>
      </c>
      <c r="O525" s="161"/>
      <c r="P525" s="154">
        <f t="shared" si="7"/>
        <v>485.06899999999996</v>
      </c>
      <c r="Q525" s="154">
        <f t="shared" si="7"/>
        <v>2243790.7857144</v>
      </c>
      <c r="R525" s="106"/>
      <c r="S525" s="106"/>
      <c r="T525" s="106"/>
      <c r="U525" s="106"/>
      <c r="V525" s="106"/>
      <c r="W525" s="106"/>
      <c r="X525" s="106"/>
      <c r="Y525" s="106"/>
      <c r="Z525" s="106"/>
      <c r="AA525" s="106"/>
      <c r="AB525" s="106"/>
      <c r="AC525" s="106"/>
      <c r="AD525" s="106"/>
      <c r="AE525" s="106"/>
      <c r="AF525" s="106"/>
      <c r="AG525" s="106"/>
      <c r="AH525" s="106"/>
      <c r="AI525" s="106"/>
      <c r="AJ525" s="106"/>
      <c r="AK525" s="106"/>
      <c r="AL525" s="106"/>
      <c r="AM525" s="106"/>
      <c r="AN525" s="106"/>
      <c r="AO525" s="106"/>
      <c r="AP525" s="106"/>
      <c r="AQ525" s="106"/>
      <c r="AR525" s="106"/>
      <c r="AS525" s="106"/>
      <c r="AT525" s="106"/>
      <c r="AU525" s="106"/>
      <c r="AV525" s="106"/>
      <c r="AW525" s="106"/>
      <c r="AX525" s="106"/>
      <c r="AY525" s="106"/>
      <c r="AZ525" s="106"/>
      <c r="BA525" s="106"/>
      <c r="BB525" s="106"/>
      <c r="BC525" s="106"/>
      <c r="BD525" s="106"/>
      <c r="BE525" s="106"/>
      <c r="BF525" s="106"/>
      <c r="BG525" s="106"/>
      <c r="BH525" s="106"/>
      <c r="BI525" s="106"/>
      <c r="BJ525" s="106"/>
      <c r="BK525" s="106"/>
      <c r="BL525" s="106"/>
      <c r="BM525" s="106"/>
      <c r="BN525" s="106"/>
      <c r="BO525" s="106"/>
      <c r="BP525" s="106"/>
    </row>
    <row r="526" spans="1:68" s="105" customFormat="1">
      <c r="A526" s="167"/>
      <c r="B526" s="168" t="s">
        <v>155</v>
      </c>
      <c r="C526" s="168" t="s">
        <v>152</v>
      </c>
      <c r="D526" s="169">
        <f>+D12+D80</f>
        <v>10.362</v>
      </c>
      <c r="E526" s="169">
        <f>+E12+H12+K12+N12+E80+H80+K80+N80</f>
        <v>677242.82799999986</v>
      </c>
      <c r="F526" s="170"/>
      <c r="G526" s="169">
        <f>+D156+D229</f>
        <v>2.0129999999999999</v>
      </c>
      <c r="H526" s="169">
        <f>+E156+H156+K156+N156+E229+H229+K229+N229</f>
        <v>36652.896000000001</v>
      </c>
      <c r="I526" s="170"/>
      <c r="J526" s="169">
        <f>+D306+D379</f>
        <v>4.5289999999999999</v>
      </c>
      <c r="K526" s="169">
        <f>+E306+H306+K306+N306+E379+H379+K379+N379</f>
        <v>135111.13</v>
      </c>
      <c r="L526" s="170"/>
      <c r="M526" s="169">
        <f t="shared" si="6"/>
        <v>18.407</v>
      </c>
      <c r="N526" s="169">
        <f t="shared" si="6"/>
        <v>246039.12400000001</v>
      </c>
      <c r="O526" s="161"/>
      <c r="P526" s="154">
        <f t="shared" si="7"/>
        <v>35.311</v>
      </c>
      <c r="Q526" s="154">
        <f t="shared" si="7"/>
        <v>1095045.9779999999</v>
      </c>
      <c r="R526" s="106"/>
      <c r="S526" s="106"/>
      <c r="T526" s="106"/>
      <c r="U526" s="106"/>
      <c r="V526" s="106"/>
      <c r="W526" s="106"/>
      <c r="X526" s="106"/>
      <c r="Y526" s="106"/>
      <c r="Z526" s="106"/>
      <c r="AA526" s="106"/>
      <c r="AB526" s="106"/>
      <c r="AC526" s="106"/>
      <c r="AD526" s="106"/>
      <c r="AE526" s="106"/>
      <c r="AF526" s="106"/>
      <c r="AG526" s="106"/>
      <c r="AH526" s="106"/>
      <c r="AI526" s="106"/>
      <c r="AJ526" s="106"/>
      <c r="AK526" s="106"/>
      <c r="AL526" s="106"/>
      <c r="AM526" s="106"/>
      <c r="AN526" s="106"/>
      <c r="AO526" s="106"/>
      <c r="AP526" s="106"/>
      <c r="AQ526" s="106"/>
      <c r="AR526" s="106"/>
      <c r="AS526" s="106"/>
      <c r="AT526" s="106"/>
      <c r="AU526" s="106"/>
      <c r="AV526" s="106"/>
      <c r="AW526" s="106"/>
      <c r="AX526" s="106"/>
      <c r="AY526" s="106"/>
      <c r="AZ526" s="106"/>
      <c r="BA526" s="106"/>
      <c r="BB526" s="106"/>
      <c r="BC526" s="106"/>
      <c r="BD526" s="106"/>
      <c r="BE526" s="106"/>
      <c r="BF526" s="106"/>
      <c r="BG526" s="106"/>
      <c r="BH526" s="106"/>
      <c r="BI526" s="106"/>
      <c r="BJ526" s="106"/>
      <c r="BK526" s="106"/>
      <c r="BL526" s="106"/>
      <c r="BM526" s="106"/>
      <c r="BN526" s="106"/>
      <c r="BO526" s="106"/>
      <c r="BP526" s="106"/>
    </row>
    <row r="527" spans="1:68" s="105" customFormat="1">
      <c r="A527" s="167"/>
      <c r="B527" s="168" t="s">
        <v>156</v>
      </c>
      <c r="C527" s="168" t="s">
        <v>152</v>
      </c>
      <c r="D527" s="169">
        <f>+D13+D81</f>
        <v>15.635999999999999</v>
      </c>
      <c r="E527" s="169">
        <f>+E13+H13+K13+N13+E81+H81+K81+N81</f>
        <v>1103477.6639999999</v>
      </c>
      <c r="F527" s="170"/>
      <c r="G527" s="169">
        <f>+D157+D230</f>
        <v>12.932</v>
      </c>
      <c r="H527" s="169">
        <f>+E157+H157+K157+N157+E230+H230+K230+N230</f>
        <v>702063.07499999995</v>
      </c>
      <c r="I527" s="170"/>
      <c r="J527" s="169">
        <f>+D307+D380</f>
        <v>10.343</v>
      </c>
      <c r="K527" s="169">
        <f>+E307+H307+K307+N307+E380+H380+K380+N380</f>
        <v>300238.43400000001</v>
      </c>
      <c r="L527" s="170"/>
      <c r="M527" s="169">
        <f t="shared" si="6"/>
        <v>70.284000000000006</v>
      </c>
      <c r="N527" s="169">
        <f t="shared" si="6"/>
        <v>1073937.0390000001</v>
      </c>
      <c r="O527" s="161"/>
      <c r="P527" s="154">
        <f t="shared" si="7"/>
        <v>109.19500000000001</v>
      </c>
      <c r="Q527" s="154">
        <f t="shared" si="7"/>
        <v>3179716.2120000003</v>
      </c>
      <c r="R527" s="106"/>
      <c r="S527" s="106"/>
      <c r="T527" s="106"/>
      <c r="U527" s="106"/>
      <c r="V527" s="106"/>
      <c r="W527" s="106"/>
      <c r="X527" s="106"/>
      <c r="Y527" s="106"/>
      <c r="Z527" s="106"/>
      <c r="AA527" s="106"/>
      <c r="AB527" s="106"/>
      <c r="AC527" s="106"/>
      <c r="AD527" s="106"/>
      <c r="AE527" s="106"/>
      <c r="AF527" s="106"/>
      <c r="AG527" s="106"/>
      <c r="AH527" s="106"/>
      <c r="AI527" s="106"/>
      <c r="AJ527" s="106"/>
      <c r="AK527" s="106"/>
      <c r="AL527" s="106"/>
      <c r="AM527" s="106"/>
      <c r="AN527" s="106"/>
      <c r="AO527" s="106"/>
      <c r="AP527" s="106"/>
      <c r="AQ527" s="106"/>
      <c r="AR527" s="106"/>
      <c r="AS527" s="106"/>
      <c r="AT527" s="106"/>
      <c r="AU527" s="106"/>
      <c r="AV527" s="106"/>
      <c r="AW527" s="106"/>
      <c r="AX527" s="106"/>
      <c r="AY527" s="106"/>
      <c r="AZ527" s="106"/>
      <c r="BA527" s="106"/>
      <c r="BB527" s="106"/>
      <c r="BC527" s="106"/>
      <c r="BD527" s="106"/>
      <c r="BE527" s="106"/>
      <c r="BF527" s="106"/>
      <c r="BG527" s="106"/>
      <c r="BH527" s="106"/>
      <c r="BI527" s="106"/>
      <c r="BJ527" s="106"/>
      <c r="BK527" s="106"/>
      <c r="BL527" s="106"/>
      <c r="BM527" s="106"/>
      <c r="BN527" s="106"/>
      <c r="BO527" s="106"/>
      <c r="BP527" s="106"/>
    </row>
    <row r="528" spans="1:68" s="105" customFormat="1">
      <c r="A528" s="167"/>
      <c r="B528" s="168" t="s">
        <v>157</v>
      </c>
      <c r="C528" s="168" t="s">
        <v>152</v>
      </c>
      <c r="D528" s="169"/>
      <c r="E528" s="169"/>
      <c r="F528" s="170"/>
      <c r="G528" s="169"/>
      <c r="H528" s="169"/>
      <c r="I528" s="170"/>
      <c r="J528" s="169"/>
      <c r="K528" s="169"/>
      <c r="L528" s="170"/>
      <c r="M528" s="169"/>
      <c r="N528" s="169"/>
      <c r="O528" s="161"/>
      <c r="P528" s="154">
        <f t="shared" si="7"/>
        <v>0</v>
      </c>
      <c r="Q528" s="154">
        <f t="shared" si="7"/>
        <v>0</v>
      </c>
      <c r="R528" s="106"/>
      <c r="S528" s="106"/>
      <c r="T528" s="106"/>
      <c r="U528" s="106"/>
      <c r="V528" s="106"/>
      <c r="W528" s="106"/>
      <c r="X528" s="106"/>
      <c r="Y528" s="106"/>
      <c r="Z528" s="106"/>
      <c r="AA528" s="106"/>
      <c r="AB528" s="106"/>
      <c r="AC528" s="106"/>
      <c r="AD528" s="106"/>
      <c r="AE528" s="106"/>
      <c r="AF528" s="106"/>
      <c r="AG528" s="106"/>
      <c r="AH528" s="106"/>
      <c r="AI528" s="106"/>
      <c r="AJ528" s="106"/>
      <c r="AK528" s="106"/>
      <c r="AL528" s="106"/>
      <c r="AM528" s="106"/>
      <c r="AN528" s="106"/>
      <c r="AO528" s="106"/>
      <c r="AP528" s="106"/>
      <c r="AQ528" s="106"/>
      <c r="AR528" s="106"/>
      <c r="AS528" s="106"/>
      <c r="AT528" s="106"/>
      <c r="AU528" s="106"/>
      <c r="AV528" s="106"/>
      <c r="AW528" s="106"/>
      <c r="AX528" s="106"/>
      <c r="AY528" s="106"/>
      <c r="AZ528" s="106"/>
      <c r="BA528" s="106"/>
      <c r="BB528" s="106"/>
      <c r="BC528" s="106"/>
      <c r="BD528" s="106"/>
      <c r="BE528" s="106"/>
      <c r="BF528" s="106"/>
      <c r="BG528" s="106"/>
      <c r="BH528" s="106"/>
      <c r="BI528" s="106"/>
      <c r="BJ528" s="106"/>
      <c r="BK528" s="106"/>
      <c r="BL528" s="106"/>
      <c r="BM528" s="106"/>
      <c r="BN528" s="106"/>
      <c r="BO528" s="106"/>
      <c r="BP528" s="106"/>
    </row>
    <row r="529" spans="1:68" s="105" customFormat="1">
      <c r="A529" s="167"/>
      <c r="B529" s="168" t="s">
        <v>158</v>
      </c>
      <c r="C529" s="168" t="s">
        <v>152</v>
      </c>
      <c r="D529" s="169"/>
      <c r="E529" s="169"/>
      <c r="F529" s="170"/>
      <c r="G529" s="169"/>
      <c r="H529" s="169"/>
      <c r="I529" s="170"/>
      <c r="J529" s="169"/>
      <c r="K529" s="169">
        <f t="shared" ref="K529" si="8">+E309+H309+K309+N309+E382+H382+K382+N382</f>
        <v>9.3460000000000001</v>
      </c>
      <c r="L529" s="170"/>
      <c r="M529" s="169">
        <f>+D458</f>
        <v>115.285</v>
      </c>
      <c r="N529" s="169"/>
      <c r="O529" s="161"/>
      <c r="P529" s="154">
        <f t="shared" si="7"/>
        <v>115.285</v>
      </c>
      <c r="Q529" s="154">
        <f t="shared" si="7"/>
        <v>9.3460000000000001</v>
      </c>
      <c r="R529" s="106"/>
      <c r="S529" s="106"/>
      <c r="T529" s="106"/>
      <c r="U529" s="106"/>
      <c r="V529" s="106"/>
      <c r="W529" s="106"/>
      <c r="X529" s="106"/>
      <c r="Y529" s="106"/>
      <c r="Z529" s="106"/>
      <c r="AA529" s="106"/>
      <c r="AB529" s="106"/>
      <c r="AC529" s="106"/>
      <c r="AD529" s="106"/>
      <c r="AE529" s="106"/>
      <c r="AF529" s="106"/>
      <c r="AG529" s="106"/>
      <c r="AH529" s="106"/>
      <c r="AI529" s="106"/>
      <c r="AJ529" s="106"/>
      <c r="AK529" s="106"/>
      <c r="AL529" s="106"/>
      <c r="AM529" s="106"/>
      <c r="AN529" s="106"/>
      <c r="AO529" s="106"/>
      <c r="AP529" s="106"/>
      <c r="AQ529" s="106"/>
      <c r="AR529" s="106"/>
      <c r="AS529" s="106"/>
      <c r="AT529" s="106"/>
      <c r="AU529" s="106"/>
      <c r="AV529" s="106"/>
      <c r="AW529" s="106"/>
      <c r="AX529" s="106"/>
      <c r="AY529" s="106"/>
      <c r="AZ529" s="106"/>
      <c r="BA529" s="106"/>
      <c r="BB529" s="106"/>
      <c r="BC529" s="106"/>
      <c r="BD529" s="106"/>
      <c r="BE529" s="106"/>
      <c r="BF529" s="106"/>
      <c r="BG529" s="106"/>
      <c r="BH529" s="106"/>
      <c r="BI529" s="106"/>
      <c r="BJ529" s="106"/>
      <c r="BK529" s="106"/>
      <c r="BL529" s="106"/>
      <c r="BM529" s="106"/>
      <c r="BN529" s="106"/>
      <c r="BO529" s="106"/>
      <c r="BP529" s="106"/>
    </row>
    <row r="530" spans="1:68" s="105" customFormat="1">
      <c r="A530" s="167"/>
      <c r="B530" s="168" t="s">
        <v>159</v>
      </c>
      <c r="C530" s="168" t="s">
        <v>152</v>
      </c>
      <c r="D530" s="169"/>
      <c r="E530" s="169"/>
      <c r="F530" s="170"/>
      <c r="G530" s="169"/>
      <c r="H530" s="169"/>
      <c r="I530" s="170"/>
      <c r="J530" s="169"/>
      <c r="K530" s="169"/>
      <c r="L530" s="170"/>
      <c r="M530" s="169"/>
      <c r="N530" s="169"/>
      <c r="O530" s="161"/>
      <c r="P530" s="154">
        <f t="shared" si="7"/>
        <v>0</v>
      </c>
      <c r="Q530" s="154">
        <f t="shared" si="7"/>
        <v>0</v>
      </c>
      <c r="R530" s="106"/>
      <c r="S530" s="106"/>
      <c r="T530" s="106"/>
      <c r="U530" s="106"/>
      <c r="V530" s="106"/>
      <c r="W530" s="106"/>
      <c r="X530" s="106"/>
      <c r="Y530" s="106"/>
      <c r="Z530" s="106"/>
      <c r="AA530" s="106"/>
      <c r="AB530" s="106"/>
      <c r="AC530" s="106"/>
      <c r="AD530" s="106"/>
      <c r="AE530" s="106"/>
      <c r="AF530" s="106"/>
      <c r="AG530" s="106"/>
      <c r="AH530" s="106"/>
      <c r="AI530" s="106"/>
      <c r="AJ530" s="106"/>
      <c r="AK530" s="106"/>
      <c r="AL530" s="106"/>
      <c r="AM530" s="106"/>
      <c r="AN530" s="106"/>
      <c r="AO530" s="106"/>
      <c r="AP530" s="106"/>
      <c r="AQ530" s="106"/>
      <c r="AR530" s="106"/>
      <c r="AS530" s="106"/>
      <c r="AT530" s="106"/>
      <c r="AU530" s="106"/>
      <c r="AV530" s="106"/>
      <c r="AW530" s="106"/>
      <c r="AX530" s="106"/>
      <c r="AY530" s="106"/>
      <c r="AZ530" s="106"/>
      <c r="BA530" s="106"/>
      <c r="BB530" s="106"/>
      <c r="BC530" s="106"/>
      <c r="BD530" s="106"/>
      <c r="BE530" s="106"/>
      <c r="BF530" s="106"/>
      <c r="BG530" s="106"/>
      <c r="BH530" s="106"/>
      <c r="BI530" s="106"/>
      <c r="BJ530" s="106"/>
      <c r="BK530" s="106"/>
      <c r="BL530" s="106"/>
      <c r="BM530" s="106"/>
      <c r="BN530" s="106"/>
      <c r="BO530" s="106"/>
      <c r="BP530" s="106"/>
    </row>
    <row r="531" spans="1:68" s="105" customFormat="1">
      <c r="A531" s="167"/>
      <c r="B531" s="168" t="s">
        <v>160</v>
      </c>
      <c r="C531" s="171" t="s">
        <v>152</v>
      </c>
      <c r="D531" s="169"/>
      <c r="E531" s="169"/>
      <c r="F531" s="170"/>
      <c r="G531" s="169"/>
      <c r="H531" s="169"/>
      <c r="I531" s="170"/>
      <c r="J531" s="169"/>
      <c r="K531" s="169"/>
      <c r="L531" s="170"/>
      <c r="M531" s="169"/>
      <c r="N531" s="169"/>
      <c r="O531" s="161"/>
      <c r="P531" s="154">
        <f t="shared" si="7"/>
        <v>0</v>
      </c>
      <c r="Q531" s="154">
        <f t="shared" si="7"/>
        <v>0</v>
      </c>
      <c r="R531" s="106"/>
      <c r="S531" s="106"/>
      <c r="T531" s="106"/>
      <c r="U531" s="106"/>
      <c r="V531" s="106"/>
      <c r="W531" s="106"/>
      <c r="X531" s="106"/>
      <c r="Y531" s="106"/>
      <c r="Z531" s="106"/>
      <c r="AA531" s="106"/>
      <c r="AB531" s="106"/>
      <c r="AC531" s="106"/>
      <c r="AD531" s="106"/>
      <c r="AE531" s="106"/>
      <c r="AF531" s="106"/>
      <c r="AG531" s="106"/>
      <c r="AH531" s="106"/>
      <c r="AI531" s="106"/>
      <c r="AJ531" s="106"/>
      <c r="AK531" s="106"/>
      <c r="AL531" s="106"/>
      <c r="AM531" s="106"/>
      <c r="AN531" s="106"/>
      <c r="AO531" s="106"/>
      <c r="AP531" s="106"/>
      <c r="AQ531" s="106"/>
      <c r="AR531" s="106"/>
      <c r="AS531" s="106"/>
      <c r="AT531" s="106"/>
      <c r="AU531" s="106"/>
      <c r="AV531" s="106"/>
      <c r="AW531" s="106"/>
      <c r="AX531" s="106"/>
      <c r="AY531" s="106"/>
      <c r="AZ531" s="106"/>
      <c r="BA531" s="106"/>
      <c r="BB531" s="106"/>
      <c r="BC531" s="106"/>
      <c r="BD531" s="106"/>
      <c r="BE531" s="106"/>
      <c r="BF531" s="106"/>
      <c r="BG531" s="106"/>
      <c r="BH531" s="106"/>
      <c r="BI531" s="106"/>
      <c r="BJ531" s="106"/>
      <c r="BK531" s="106"/>
      <c r="BL531" s="106"/>
      <c r="BM531" s="106"/>
      <c r="BN531" s="106"/>
      <c r="BO531" s="106"/>
      <c r="BP531" s="106"/>
    </row>
    <row r="532" spans="1:68" s="105" customFormat="1">
      <c r="A532" s="167"/>
      <c r="B532" s="172" t="s">
        <v>161</v>
      </c>
      <c r="C532" s="173"/>
      <c r="D532" s="174">
        <f>SUM(D523:D531)</f>
        <v>210.29799999999997</v>
      </c>
      <c r="E532" s="175">
        <f>SUM(E523:E531)</f>
        <v>4078987.568</v>
      </c>
      <c r="F532" s="176"/>
      <c r="G532" s="175">
        <f>SUM(G523:G531)</f>
        <v>129.99700000000001</v>
      </c>
      <c r="H532" s="175">
        <f>SUM(H523:H531)</f>
        <v>1773837.2699999998</v>
      </c>
      <c r="I532" s="176"/>
      <c r="J532" s="175">
        <f>SUM(J523:J531)</f>
        <v>138.31399999999999</v>
      </c>
      <c r="K532" s="175">
        <f>SUM(K523:K531)</f>
        <v>1019180.5147144001</v>
      </c>
      <c r="L532" s="176"/>
      <c r="M532" s="175">
        <f>SUM(M523:M531)</f>
        <v>406.26100000000008</v>
      </c>
      <c r="N532" s="175">
        <f>SUM(N523:N531)</f>
        <v>1771457.8530000001</v>
      </c>
      <c r="O532" s="177"/>
      <c r="P532" s="134">
        <f>SUM(P523:P531)</f>
        <v>884.87</v>
      </c>
      <c r="Q532" s="134">
        <f>SUM(Q523:Q531)</f>
        <v>8643463.2057144009</v>
      </c>
      <c r="R532" s="106"/>
      <c r="S532" s="106"/>
      <c r="T532" s="106"/>
      <c r="U532" s="106"/>
      <c r="V532" s="106"/>
      <c r="W532" s="106"/>
      <c r="X532" s="106"/>
      <c r="Y532" s="106"/>
      <c r="Z532" s="106"/>
      <c r="AA532" s="106"/>
      <c r="AB532" s="106"/>
      <c r="AC532" s="106"/>
      <c r="AD532" s="106"/>
      <c r="AE532" s="106"/>
      <c r="AF532" s="106"/>
      <c r="AG532" s="106"/>
      <c r="AH532" s="106"/>
      <c r="AI532" s="106"/>
      <c r="AJ532" s="106"/>
      <c r="AK532" s="106"/>
      <c r="AL532" s="106"/>
      <c r="AM532" s="106"/>
      <c r="AN532" s="106"/>
      <c r="AO532" s="106"/>
      <c r="AP532" s="106"/>
      <c r="AQ532" s="106"/>
      <c r="AR532" s="106"/>
      <c r="AS532" s="106"/>
      <c r="AT532" s="106"/>
      <c r="AU532" s="106"/>
      <c r="AV532" s="106"/>
      <c r="AW532" s="106"/>
      <c r="AX532" s="106"/>
      <c r="AY532" s="106"/>
      <c r="AZ532" s="106"/>
      <c r="BA532" s="106"/>
      <c r="BB532" s="106"/>
      <c r="BC532" s="106"/>
      <c r="BD532" s="106"/>
      <c r="BE532" s="106"/>
      <c r="BF532" s="106"/>
      <c r="BG532" s="106"/>
      <c r="BH532" s="106"/>
      <c r="BI532" s="106"/>
      <c r="BJ532" s="106"/>
      <c r="BK532" s="106"/>
      <c r="BL532" s="106"/>
      <c r="BM532" s="106"/>
      <c r="BN532" s="106"/>
      <c r="BO532" s="106"/>
      <c r="BP532" s="106"/>
    </row>
    <row r="533" spans="1:68" s="105" customFormat="1" ht="15" thickBot="1">
      <c r="C533" s="163"/>
      <c r="D533" s="163"/>
      <c r="E533" s="163"/>
      <c r="F533" s="163"/>
      <c r="G533" s="163"/>
      <c r="H533" s="163"/>
      <c r="I533" s="163"/>
      <c r="J533" s="163"/>
      <c r="K533" s="163"/>
      <c r="L533" s="163"/>
      <c r="M533" s="163"/>
      <c r="N533" s="163"/>
      <c r="P533" s="144"/>
      <c r="Q533" s="144"/>
      <c r="R533" s="106"/>
      <c r="S533" s="106"/>
      <c r="T533" s="106"/>
      <c r="U533" s="106"/>
      <c r="V533" s="106"/>
      <c r="W533" s="106"/>
      <c r="X533" s="106"/>
      <c r="Y533" s="106"/>
      <c r="Z533" s="106"/>
      <c r="AA533" s="106"/>
      <c r="AB533" s="106"/>
      <c r="AC533" s="106"/>
      <c r="AD533" s="106"/>
      <c r="AE533" s="106"/>
      <c r="AF533" s="106"/>
      <c r="AG533" s="106"/>
      <c r="AH533" s="106"/>
      <c r="AI533" s="106"/>
      <c r="AJ533" s="106"/>
      <c r="AK533" s="106"/>
      <c r="AL533" s="106"/>
      <c r="AM533" s="106"/>
      <c r="AN533" s="106"/>
      <c r="AO533" s="106"/>
      <c r="AP533" s="106"/>
      <c r="AQ533" s="106"/>
      <c r="AR533" s="106"/>
      <c r="AS533" s="106"/>
      <c r="AT533" s="106"/>
      <c r="AU533" s="106"/>
      <c r="AV533" s="106"/>
      <c r="AW533" s="106"/>
      <c r="AX533" s="106"/>
      <c r="AY533" s="106"/>
      <c r="AZ533" s="106"/>
      <c r="BA533" s="106"/>
      <c r="BB533" s="106"/>
      <c r="BC533" s="106"/>
      <c r="BD533" s="106"/>
      <c r="BE533" s="106"/>
      <c r="BF533" s="106"/>
      <c r="BG533" s="106"/>
      <c r="BH533" s="106"/>
      <c r="BI533" s="106"/>
      <c r="BJ533" s="106"/>
      <c r="BK533" s="106"/>
      <c r="BL533" s="106"/>
      <c r="BM533" s="106"/>
      <c r="BN533" s="106"/>
      <c r="BO533" s="106"/>
      <c r="BP533" s="106"/>
    </row>
    <row r="534" spans="1:68" s="105" customFormat="1" ht="15" thickBot="1">
      <c r="A534" s="160"/>
      <c r="B534" s="164" t="s">
        <v>162</v>
      </c>
      <c r="C534" s="165"/>
      <c r="D534" s="166"/>
      <c r="E534" s="166"/>
      <c r="F534" s="166"/>
      <c r="G534" s="166"/>
      <c r="H534" s="166"/>
      <c r="I534" s="166"/>
      <c r="J534" s="166"/>
      <c r="K534" s="166"/>
      <c r="L534" s="166"/>
      <c r="M534" s="166"/>
      <c r="N534" s="166"/>
      <c r="O534" s="161"/>
      <c r="R534" s="106"/>
      <c r="S534" s="106"/>
      <c r="T534" s="106"/>
      <c r="U534" s="106"/>
      <c r="V534" s="106"/>
      <c r="W534" s="106"/>
      <c r="X534" s="106"/>
      <c r="Y534" s="106"/>
      <c r="Z534" s="106"/>
      <c r="AA534" s="106"/>
      <c r="AB534" s="106"/>
      <c r="AC534" s="106"/>
      <c r="AD534" s="106"/>
      <c r="AE534" s="106"/>
      <c r="AF534" s="106"/>
      <c r="AG534" s="106"/>
      <c r="AH534" s="106"/>
      <c r="AI534" s="106"/>
      <c r="AJ534" s="106"/>
      <c r="AK534" s="106"/>
      <c r="AL534" s="106"/>
      <c r="AM534" s="106"/>
      <c r="AN534" s="106"/>
      <c r="AO534" s="106"/>
      <c r="AP534" s="106"/>
      <c r="AQ534" s="106"/>
      <c r="AR534" s="106"/>
      <c r="AS534" s="106"/>
      <c r="AT534" s="106"/>
      <c r="AU534" s="106"/>
      <c r="AV534" s="106"/>
      <c r="AW534" s="106"/>
      <c r="AX534" s="106"/>
      <c r="AY534" s="106"/>
      <c r="AZ534" s="106"/>
      <c r="BA534" s="106"/>
      <c r="BB534" s="106"/>
      <c r="BC534" s="106"/>
      <c r="BD534" s="106"/>
      <c r="BE534" s="106"/>
      <c r="BF534" s="106"/>
      <c r="BG534" s="106"/>
      <c r="BH534" s="106"/>
      <c r="BI534" s="106"/>
      <c r="BJ534" s="106"/>
      <c r="BK534" s="106"/>
      <c r="BL534" s="106"/>
      <c r="BM534" s="106"/>
      <c r="BN534" s="106"/>
      <c r="BO534" s="106"/>
      <c r="BP534" s="106"/>
    </row>
    <row r="535" spans="1:68" s="105" customFormat="1">
      <c r="B535" s="168" t="s">
        <v>163</v>
      </c>
      <c r="C535" s="168" t="s">
        <v>164</v>
      </c>
      <c r="D535" s="169">
        <f>+D17+D89+M89</f>
        <v>19.588520690821696</v>
      </c>
      <c r="E535" s="169">
        <f>+E17+H17+K17+N17+E89+H89+K89+N89</f>
        <v>707405.35069139116</v>
      </c>
      <c r="F535" s="170"/>
      <c r="G535" s="169">
        <f>+D165+D238</f>
        <v>90.348627004955716</v>
      </c>
      <c r="H535" s="169">
        <f>+E165+H165+K165+N165+E238+H238+K238+N238</f>
        <v>1235980.5429081407</v>
      </c>
      <c r="I535" s="170"/>
      <c r="J535" s="169">
        <f>+D315+D388</f>
        <v>153.09726332724864</v>
      </c>
      <c r="K535" s="169">
        <f>+E315+H315+K315+N315+E388+H388+K388+N388</f>
        <v>1186047.3160132105</v>
      </c>
      <c r="L535" s="170"/>
      <c r="M535" s="169">
        <f>+D464</f>
        <v>153.91565097241732</v>
      </c>
      <c r="N535" s="169">
        <f>+E464</f>
        <v>671589.12958096189</v>
      </c>
      <c r="O535" s="161"/>
      <c r="P535" s="154">
        <f t="shared" ref="P535:Q545" si="9">+D535+G535+J535+M535</f>
        <v>416.95006199544338</v>
      </c>
      <c r="Q535" s="154">
        <f t="shared" si="9"/>
        <v>3801022.3391937041</v>
      </c>
      <c r="R535" s="106"/>
      <c r="S535" s="106"/>
      <c r="T535" s="106"/>
      <c r="U535" s="106"/>
      <c r="V535" s="106"/>
      <c r="W535" s="106"/>
      <c r="X535" s="106"/>
      <c r="Y535" s="106"/>
      <c r="Z535" s="106"/>
      <c r="AA535" s="106"/>
      <c r="AB535" s="106"/>
      <c r="AC535" s="106"/>
      <c r="AD535" s="106"/>
      <c r="AE535" s="106"/>
      <c r="AF535" s="106"/>
      <c r="AG535" s="106"/>
      <c r="AH535" s="106"/>
      <c r="AI535" s="106"/>
      <c r="AJ535" s="106"/>
      <c r="AK535" s="106"/>
      <c r="AL535" s="106"/>
      <c r="AM535" s="106"/>
      <c r="AN535" s="106"/>
      <c r="AO535" s="106"/>
      <c r="AP535" s="106"/>
      <c r="AQ535" s="106"/>
      <c r="AR535" s="106"/>
      <c r="AS535" s="106"/>
      <c r="AT535" s="106"/>
      <c r="AU535" s="106"/>
      <c r="AV535" s="106"/>
      <c r="AW535" s="106"/>
      <c r="AX535" s="106"/>
      <c r="AY535" s="106"/>
      <c r="AZ535" s="106"/>
      <c r="BA535" s="106"/>
      <c r="BB535" s="106"/>
      <c r="BC535" s="106"/>
      <c r="BD535" s="106"/>
      <c r="BE535" s="106"/>
      <c r="BF535" s="106"/>
      <c r="BG535" s="106"/>
      <c r="BH535" s="106"/>
      <c r="BI535" s="106"/>
      <c r="BJ535" s="106"/>
      <c r="BK535" s="106"/>
      <c r="BL535" s="106"/>
      <c r="BM535" s="106"/>
      <c r="BN535" s="106"/>
      <c r="BO535" s="106"/>
      <c r="BP535" s="106"/>
    </row>
    <row r="536" spans="1:68" s="105" customFormat="1">
      <c r="B536" s="168" t="s">
        <v>163</v>
      </c>
      <c r="C536" s="168" t="s">
        <v>165</v>
      </c>
      <c r="D536" s="169">
        <f>+D18+D90</f>
        <v>76.341679065247362</v>
      </c>
      <c r="E536" s="169">
        <f>+E18+H18+K18+N18+E90+H90+K90+N90</f>
        <v>1452739.2489626538</v>
      </c>
      <c r="F536" s="170"/>
      <c r="G536" s="169">
        <f>+D166+D239</f>
        <v>195.65137299504426</v>
      </c>
      <c r="H536" s="169">
        <f>+E166+H166+K166+N166+E239+H239+K239+N239</f>
        <v>2540563.4570918586</v>
      </c>
      <c r="I536" s="170"/>
      <c r="J536" s="169">
        <f>+D316+D389</f>
        <v>227.38554384570369</v>
      </c>
      <c r="K536" s="169">
        <f>+E316+H316+K316+N316+E389+H389+K389+N389</f>
        <v>1981801.3844391028</v>
      </c>
      <c r="L536" s="170"/>
      <c r="M536" s="169">
        <f t="shared" ref="M536:M543" si="10">+D465</f>
        <v>197.41201647988211</v>
      </c>
      <c r="N536" s="169">
        <f>+E465</f>
        <v>921387.29804359528</v>
      </c>
      <c r="O536" s="161"/>
      <c r="P536" s="154">
        <f t="shared" si="9"/>
        <v>696.79061238587747</v>
      </c>
      <c r="Q536" s="154">
        <f t="shared" si="9"/>
        <v>6896491.3885372113</v>
      </c>
      <c r="R536" s="106"/>
      <c r="S536" s="106"/>
      <c r="T536" s="106"/>
      <c r="U536" s="106"/>
      <c r="V536" s="106"/>
      <c r="W536" s="106"/>
      <c r="X536" s="106"/>
      <c r="Y536" s="106"/>
      <c r="Z536" s="106"/>
      <c r="AA536" s="106"/>
      <c r="AB536" s="106"/>
      <c r="AC536" s="106"/>
      <c r="AD536" s="106"/>
      <c r="AE536" s="106"/>
      <c r="AF536" s="106"/>
      <c r="AG536" s="106"/>
      <c r="AH536" s="106"/>
      <c r="AI536" s="106"/>
      <c r="AJ536" s="106"/>
      <c r="AK536" s="106"/>
      <c r="AL536" s="106"/>
      <c r="AM536" s="106"/>
      <c r="AN536" s="106"/>
      <c r="AO536" s="106"/>
      <c r="AP536" s="106"/>
      <c r="AQ536" s="106"/>
      <c r="AR536" s="106"/>
      <c r="AS536" s="106"/>
      <c r="AT536" s="106"/>
      <c r="AU536" s="106"/>
      <c r="AV536" s="106"/>
      <c r="AW536" s="106"/>
      <c r="AX536" s="106"/>
      <c r="AY536" s="106"/>
      <c r="AZ536" s="106"/>
      <c r="BA536" s="106"/>
      <c r="BB536" s="106"/>
      <c r="BC536" s="106"/>
      <c r="BD536" s="106"/>
      <c r="BE536" s="106"/>
      <c r="BF536" s="106"/>
      <c r="BG536" s="106"/>
      <c r="BH536" s="106"/>
      <c r="BI536" s="106"/>
      <c r="BJ536" s="106"/>
      <c r="BK536" s="106"/>
      <c r="BL536" s="106"/>
      <c r="BM536" s="106"/>
      <c r="BN536" s="106"/>
      <c r="BO536" s="106"/>
      <c r="BP536" s="106"/>
    </row>
    <row r="537" spans="1:68" s="105" customFormat="1">
      <c r="B537" s="168" t="s">
        <v>163</v>
      </c>
      <c r="C537" s="168" t="s">
        <v>111</v>
      </c>
      <c r="D537" s="169">
        <f>+D19+D91</f>
        <v>16.069800243930956</v>
      </c>
      <c r="E537" s="169">
        <f>+E19+H19+K19+N19+E91+H91+K91+N91</f>
        <v>231767.40034595458</v>
      </c>
      <c r="F537" s="170"/>
      <c r="G537" s="169"/>
      <c r="H537" s="169"/>
      <c r="I537" s="170"/>
      <c r="J537" s="169">
        <f>+D317+D390</f>
        <v>297.51719282704767</v>
      </c>
      <c r="K537" s="169">
        <f>+E317+H317+K317+N317+E390+H390+K390+N390</f>
        <v>9333995.2995476872</v>
      </c>
      <c r="L537" s="170"/>
      <c r="M537" s="169">
        <f t="shared" si="10"/>
        <v>356.14942095431837</v>
      </c>
      <c r="N537" s="169">
        <f>+E466</f>
        <v>3535167.9750264171</v>
      </c>
      <c r="O537" s="161"/>
      <c r="P537" s="154">
        <f t="shared" si="9"/>
        <v>669.73641402529699</v>
      </c>
      <c r="Q537" s="154">
        <f t="shared" si="9"/>
        <v>13100930.67492006</v>
      </c>
      <c r="R537" s="106"/>
      <c r="S537" s="106"/>
      <c r="T537" s="106"/>
      <c r="U537" s="106"/>
      <c r="V537" s="106"/>
      <c r="W537" s="106"/>
      <c r="X537" s="106"/>
      <c r="Y537" s="106"/>
      <c r="Z537" s="106"/>
      <c r="AA537" s="106"/>
      <c r="AB537" s="106"/>
      <c r="AC537" s="106"/>
      <c r="AD537" s="106"/>
      <c r="AE537" s="106"/>
      <c r="AF537" s="106"/>
      <c r="AG537" s="106"/>
      <c r="AH537" s="106"/>
      <c r="AI537" s="106"/>
      <c r="AJ537" s="106"/>
      <c r="AK537" s="106"/>
      <c r="AL537" s="106"/>
      <c r="AM537" s="106"/>
      <c r="AN537" s="106"/>
      <c r="AO537" s="106"/>
      <c r="AP537" s="106"/>
      <c r="AQ537" s="106"/>
      <c r="AR537" s="106"/>
      <c r="AS537" s="106"/>
      <c r="AT537" s="106"/>
      <c r="AU537" s="106"/>
      <c r="AV537" s="106"/>
      <c r="AW537" s="106"/>
      <c r="AX537" s="106"/>
      <c r="AY537" s="106"/>
      <c r="AZ537" s="106"/>
      <c r="BA537" s="106"/>
      <c r="BB537" s="106"/>
      <c r="BC537" s="106"/>
      <c r="BD537" s="106"/>
      <c r="BE537" s="106"/>
      <c r="BF537" s="106"/>
      <c r="BG537" s="106"/>
      <c r="BH537" s="106"/>
      <c r="BI537" s="106"/>
      <c r="BJ537" s="106"/>
      <c r="BK537" s="106"/>
      <c r="BL537" s="106"/>
      <c r="BM537" s="106"/>
      <c r="BN537" s="106"/>
      <c r="BO537" s="106"/>
      <c r="BP537" s="106"/>
    </row>
    <row r="538" spans="1:68" s="105" customFormat="1">
      <c r="B538" s="168" t="s">
        <v>163</v>
      </c>
      <c r="C538" s="168" t="s">
        <v>166</v>
      </c>
      <c r="D538" s="178"/>
      <c r="E538" s="178"/>
      <c r="F538" s="179"/>
      <c r="G538" s="178"/>
      <c r="H538" s="178"/>
      <c r="I538" s="179"/>
      <c r="J538" s="178"/>
      <c r="K538" s="178"/>
      <c r="L538" s="170"/>
      <c r="M538" s="169">
        <f t="shared" si="10"/>
        <v>46.52291159338219</v>
      </c>
      <c r="N538" s="169">
        <f>+E467</f>
        <v>261486.59734902583</v>
      </c>
      <c r="O538" s="161"/>
      <c r="P538" s="154">
        <f t="shared" si="9"/>
        <v>46.52291159338219</v>
      </c>
      <c r="Q538" s="154">
        <f t="shared" si="9"/>
        <v>261486.59734902583</v>
      </c>
      <c r="R538" s="106"/>
      <c r="S538" s="106"/>
      <c r="T538" s="106"/>
      <c r="U538" s="106"/>
      <c r="V538" s="106"/>
      <c r="W538" s="106"/>
      <c r="X538" s="106"/>
      <c r="Y538" s="106"/>
      <c r="Z538" s="106"/>
      <c r="AA538" s="106"/>
      <c r="AB538" s="106"/>
      <c r="AC538" s="106"/>
      <c r="AD538" s="106"/>
      <c r="AE538" s="106"/>
      <c r="AF538" s="106"/>
      <c r="AG538" s="106"/>
      <c r="AH538" s="106"/>
      <c r="AI538" s="106"/>
      <c r="AJ538" s="106"/>
      <c r="AK538" s="106"/>
      <c r="AL538" s="106"/>
      <c r="AM538" s="106"/>
      <c r="AN538" s="106"/>
      <c r="AO538" s="106"/>
      <c r="AP538" s="106"/>
      <c r="AQ538" s="106"/>
      <c r="AR538" s="106"/>
      <c r="AS538" s="106"/>
      <c r="AT538" s="106"/>
      <c r="AU538" s="106"/>
      <c r="AV538" s="106"/>
      <c r="AW538" s="106"/>
      <c r="AX538" s="106"/>
      <c r="AY538" s="106"/>
      <c r="AZ538" s="106"/>
      <c r="BA538" s="106"/>
      <c r="BB538" s="106"/>
      <c r="BC538" s="106"/>
      <c r="BD538" s="106"/>
      <c r="BE538" s="106"/>
      <c r="BF538" s="106"/>
      <c r="BG538" s="106"/>
      <c r="BH538" s="106"/>
      <c r="BI538" s="106"/>
      <c r="BJ538" s="106"/>
      <c r="BK538" s="106"/>
      <c r="BL538" s="106"/>
      <c r="BM538" s="106"/>
      <c r="BN538" s="106"/>
      <c r="BO538" s="106"/>
      <c r="BP538" s="106"/>
    </row>
    <row r="539" spans="1:68" s="105" customFormat="1">
      <c r="B539" s="168" t="s">
        <v>167</v>
      </c>
      <c r="C539" s="168" t="s">
        <v>164</v>
      </c>
      <c r="D539" s="169">
        <f>+D21+D93+M21+M93</f>
        <v>67.574000000000012</v>
      </c>
      <c r="E539" s="169">
        <f>+E21+H21+K21+N21+E93+H93+K93+N93</f>
        <v>1119612.1839999999</v>
      </c>
      <c r="F539" s="170"/>
      <c r="G539" s="169">
        <f>+D169+D242</f>
        <v>216.316</v>
      </c>
      <c r="H539" s="169">
        <f>+E169+H169+K169+N169+E242+H242+K242+N242</f>
        <v>2356755.1839999999</v>
      </c>
      <c r="I539" s="170"/>
      <c r="J539" s="169">
        <f>+D319+D392</f>
        <v>255.73099999999999</v>
      </c>
      <c r="K539" s="169">
        <f>+E319+H319+K319+N319+E392+H392+K392+N392</f>
        <v>1733952.4939999999</v>
      </c>
      <c r="L539" s="170"/>
      <c r="M539" s="169">
        <f>+D468</f>
        <v>236.167</v>
      </c>
      <c r="N539" s="169">
        <f>+E468</f>
        <v>866071.53500000003</v>
      </c>
      <c r="O539" s="161"/>
      <c r="P539" s="154">
        <f t="shared" si="9"/>
        <v>775.78800000000001</v>
      </c>
      <c r="Q539" s="154">
        <f t="shared" si="9"/>
        <v>6076391.3969999999</v>
      </c>
      <c r="R539" s="106"/>
      <c r="S539" s="106"/>
      <c r="T539" s="106"/>
      <c r="U539" s="106"/>
      <c r="V539" s="106"/>
      <c r="W539" s="106"/>
      <c r="X539" s="106"/>
      <c r="Y539" s="106"/>
      <c r="Z539" s="106"/>
      <c r="AA539" s="106"/>
      <c r="AB539" s="106"/>
      <c r="AC539" s="106"/>
      <c r="AD539" s="106"/>
      <c r="AE539" s="106"/>
      <c r="AF539" s="106"/>
      <c r="AG539" s="106"/>
      <c r="AH539" s="106"/>
      <c r="AI539" s="106"/>
      <c r="AJ539" s="106"/>
      <c r="AK539" s="106"/>
      <c r="AL539" s="106"/>
      <c r="AM539" s="106"/>
      <c r="AN539" s="106"/>
      <c r="AO539" s="106"/>
      <c r="AP539" s="106"/>
      <c r="AQ539" s="106"/>
      <c r="AR539" s="106"/>
      <c r="AS539" s="106"/>
      <c r="AT539" s="106"/>
      <c r="AU539" s="106"/>
      <c r="AV539" s="106"/>
      <c r="AW539" s="106"/>
      <c r="AX539" s="106"/>
      <c r="AY539" s="106"/>
      <c r="AZ539" s="106"/>
      <c r="BA539" s="106"/>
      <c r="BB539" s="106"/>
      <c r="BC539" s="106"/>
      <c r="BD539" s="106"/>
      <c r="BE539" s="106"/>
      <c r="BF539" s="106"/>
      <c r="BG539" s="106"/>
      <c r="BH539" s="106"/>
      <c r="BI539" s="106"/>
      <c r="BJ539" s="106"/>
      <c r="BK539" s="106"/>
      <c r="BL539" s="106"/>
      <c r="BM539" s="106"/>
      <c r="BN539" s="106"/>
      <c r="BO539" s="106"/>
      <c r="BP539" s="106"/>
    </row>
    <row r="540" spans="1:68" s="105" customFormat="1">
      <c r="B540" s="168" t="s">
        <v>168</v>
      </c>
      <c r="C540" s="168"/>
      <c r="D540" s="169"/>
      <c r="E540" s="169"/>
      <c r="F540" s="170"/>
      <c r="G540" s="169"/>
      <c r="H540" s="169"/>
      <c r="I540" s="170"/>
      <c r="J540" s="169"/>
      <c r="K540" s="169"/>
      <c r="L540" s="170"/>
      <c r="M540" s="169"/>
      <c r="N540" s="169"/>
      <c r="O540" s="161"/>
      <c r="P540" s="154">
        <f t="shared" si="9"/>
        <v>0</v>
      </c>
      <c r="Q540" s="154">
        <f t="shared" si="9"/>
        <v>0</v>
      </c>
      <c r="R540" s="106"/>
      <c r="S540" s="106"/>
      <c r="T540" s="106"/>
      <c r="U540" s="106"/>
      <c r="V540" s="106"/>
      <c r="W540" s="106"/>
      <c r="X540" s="106"/>
      <c r="Y540" s="106"/>
      <c r="Z540" s="106"/>
      <c r="AA540" s="106"/>
      <c r="AB540" s="106"/>
      <c r="AC540" s="106"/>
      <c r="AD540" s="106"/>
      <c r="AE540" s="106"/>
      <c r="AF540" s="106"/>
      <c r="AG540" s="106"/>
      <c r="AH540" s="106"/>
      <c r="AI540" s="106"/>
      <c r="AJ540" s="106"/>
      <c r="AK540" s="106"/>
      <c r="AL540" s="106"/>
      <c r="AM540" s="106"/>
      <c r="AN540" s="106"/>
      <c r="AO540" s="106"/>
      <c r="AP540" s="106"/>
      <c r="AQ540" s="106"/>
      <c r="AR540" s="106"/>
      <c r="AS540" s="106"/>
      <c r="AT540" s="106"/>
      <c r="AU540" s="106"/>
      <c r="AV540" s="106"/>
      <c r="AW540" s="106"/>
      <c r="AX540" s="106"/>
      <c r="AY540" s="106"/>
      <c r="AZ540" s="106"/>
      <c r="BA540" s="106"/>
      <c r="BB540" s="106"/>
      <c r="BC540" s="106"/>
      <c r="BD540" s="106"/>
      <c r="BE540" s="106"/>
      <c r="BF540" s="106"/>
      <c r="BG540" s="106"/>
      <c r="BH540" s="106"/>
      <c r="BI540" s="106"/>
      <c r="BJ540" s="106"/>
      <c r="BK540" s="106"/>
      <c r="BL540" s="106"/>
      <c r="BM540" s="106"/>
      <c r="BN540" s="106"/>
      <c r="BO540" s="106"/>
      <c r="BP540" s="106"/>
    </row>
    <row r="541" spans="1:68" s="105" customFormat="1">
      <c r="B541" s="168" t="s">
        <v>169</v>
      </c>
      <c r="C541" s="168" t="s">
        <v>165</v>
      </c>
      <c r="D541" s="169"/>
      <c r="E541" s="169"/>
      <c r="F541" s="170"/>
      <c r="G541" s="169"/>
      <c r="H541" s="169"/>
      <c r="I541" s="170"/>
      <c r="J541" s="169"/>
      <c r="K541" s="169"/>
      <c r="L541" s="170"/>
      <c r="M541" s="169">
        <f t="shared" si="10"/>
        <v>8.4879999999999995</v>
      </c>
      <c r="N541" s="169">
        <f>+E470</f>
        <v>-4435.3639999999996</v>
      </c>
      <c r="O541" s="161"/>
      <c r="P541" s="154">
        <f t="shared" si="9"/>
        <v>8.4879999999999995</v>
      </c>
      <c r="Q541" s="154">
        <f t="shared" si="9"/>
        <v>-4435.3639999999996</v>
      </c>
      <c r="R541" s="106"/>
      <c r="S541" s="106"/>
      <c r="T541" s="106"/>
      <c r="U541" s="106"/>
      <c r="V541" s="106"/>
      <c r="W541" s="106"/>
      <c r="X541" s="106"/>
      <c r="Y541" s="106"/>
      <c r="Z541" s="106"/>
      <c r="AA541" s="106"/>
      <c r="AB541" s="106"/>
      <c r="AC541" s="106"/>
      <c r="AD541" s="106"/>
      <c r="AE541" s="106"/>
      <c r="AF541" s="106"/>
      <c r="AG541" s="106"/>
      <c r="AH541" s="106"/>
      <c r="AI541" s="106"/>
      <c r="AJ541" s="106"/>
      <c r="AK541" s="106"/>
      <c r="AL541" s="106"/>
      <c r="AM541" s="106"/>
      <c r="AN541" s="106"/>
      <c r="AO541" s="106"/>
      <c r="AP541" s="106"/>
      <c r="AQ541" s="106"/>
      <c r="AR541" s="106"/>
      <c r="AS541" s="106"/>
      <c r="AT541" s="106"/>
      <c r="AU541" s="106"/>
      <c r="AV541" s="106"/>
      <c r="AW541" s="106"/>
      <c r="AX541" s="106"/>
      <c r="AY541" s="106"/>
      <c r="AZ541" s="106"/>
      <c r="BA541" s="106"/>
      <c r="BB541" s="106"/>
      <c r="BC541" s="106"/>
      <c r="BD541" s="106"/>
      <c r="BE541" s="106"/>
      <c r="BF541" s="106"/>
      <c r="BG541" s="106"/>
      <c r="BH541" s="106"/>
      <c r="BI541" s="106"/>
      <c r="BJ541" s="106"/>
      <c r="BK541" s="106"/>
      <c r="BL541" s="106"/>
      <c r="BM541" s="106"/>
      <c r="BN541" s="106"/>
      <c r="BO541" s="106"/>
      <c r="BP541" s="106"/>
    </row>
    <row r="542" spans="1:68" s="105" customFormat="1">
      <c r="B542" s="168" t="s">
        <v>170</v>
      </c>
      <c r="C542" s="168" t="s">
        <v>165</v>
      </c>
      <c r="D542" s="169">
        <f>+D24+D96</f>
        <v>16.271999999999998</v>
      </c>
      <c r="E542" s="169">
        <f>+E24+H24+K24+N24+E96+H96+K96+N96</f>
        <v>316779.53999999998</v>
      </c>
      <c r="F542" s="170"/>
      <c r="G542" s="169">
        <f>+D172+D245</f>
        <v>21.399000000000001</v>
      </c>
      <c r="H542" s="169">
        <f>+E172+H172+K172+N172+E245+H245+K245+N245</f>
        <v>312363.77100000001</v>
      </c>
      <c r="I542" s="170"/>
      <c r="J542" s="169"/>
      <c r="K542" s="169"/>
      <c r="L542" s="170"/>
      <c r="M542" s="169"/>
      <c r="N542" s="169"/>
      <c r="O542" s="161"/>
      <c r="P542" s="154">
        <f t="shared" si="9"/>
        <v>37.670999999999999</v>
      </c>
      <c r="Q542" s="154">
        <f t="shared" si="9"/>
        <v>629143.31099999999</v>
      </c>
      <c r="R542" s="106"/>
      <c r="S542" s="106"/>
      <c r="T542" s="106"/>
      <c r="U542" s="106"/>
      <c r="V542" s="106"/>
      <c r="W542" s="106"/>
      <c r="X542" s="106"/>
      <c r="Y542" s="106"/>
      <c r="Z542" s="106"/>
      <c r="AA542" s="106"/>
      <c r="AB542" s="106"/>
      <c r="AC542" s="106"/>
      <c r="AD542" s="106"/>
      <c r="AE542" s="106"/>
      <c r="AF542" s="106"/>
      <c r="AG542" s="106"/>
      <c r="AH542" s="106"/>
      <c r="AI542" s="106"/>
      <c r="AJ542" s="106"/>
      <c r="AK542" s="106"/>
      <c r="AL542" s="106"/>
      <c r="AM542" s="106"/>
      <c r="AN542" s="106"/>
      <c r="AO542" s="106"/>
      <c r="AP542" s="106"/>
      <c r="AQ542" s="106"/>
      <c r="AR542" s="106"/>
      <c r="AS542" s="106"/>
      <c r="AT542" s="106"/>
      <c r="AU542" s="106"/>
      <c r="AV542" s="106"/>
      <c r="AW542" s="106"/>
      <c r="AX542" s="106"/>
      <c r="AY542" s="106"/>
      <c r="AZ542" s="106"/>
      <c r="BA542" s="106"/>
      <c r="BB542" s="106"/>
      <c r="BC542" s="106"/>
      <c r="BD542" s="106"/>
      <c r="BE542" s="106"/>
      <c r="BF542" s="106"/>
      <c r="BG542" s="106"/>
      <c r="BH542" s="106"/>
      <c r="BI542" s="106"/>
      <c r="BJ542" s="106"/>
      <c r="BK542" s="106"/>
      <c r="BL542" s="106"/>
      <c r="BM542" s="106"/>
      <c r="BN542" s="106"/>
      <c r="BO542" s="106"/>
      <c r="BP542" s="106"/>
    </row>
    <row r="543" spans="1:68" s="105" customFormat="1">
      <c r="B543" s="168" t="s">
        <v>171</v>
      </c>
      <c r="C543" s="168" t="s">
        <v>165</v>
      </c>
      <c r="D543" s="169"/>
      <c r="E543" s="169"/>
      <c r="F543" s="170"/>
      <c r="G543" s="169"/>
      <c r="H543" s="169"/>
      <c r="I543" s="170"/>
      <c r="J543" s="169">
        <f>+D323+D396</f>
        <v>0.64</v>
      </c>
      <c r="K543" s="169"/>
      <c r="L543" s="170"/>
      <c r="M543" s="169">
        <f t="shared" si="10"/>
        <v>0</v>
      </c>
      <c r="N543" s="169"/>
      <c r="O543" s="161"/>
      <c r="P543" s="154">
        <f t="shared" si="9"/>
        <v>0.64</v>
      </c>
      <c r="Q543" s="154">
        <f t="shared" si="9"/>
        <v>0</v>
      </c>
      <c r="R543" s="106"/>
      <c r="S543" s="106"/>
      <c r="T543" s="106"/>
      <c r="U543" s="106"/>
      <c r="V543" s="106"/>
      <c r="W543" s="106"/>
      <c r="X543" s="106"/>
      <c r="Y543" s="106"/>
      <c r="Z543" s="106"/>
      <c r="AA543" s="106"/>
      <c r="AB543" s="106"/>
      <c r="AC543" s="106"/>
      <c r="AD543" s="106"/>
      <c r="AE543" s="106"/>
      <c r="AF543" s="106"/>
      <c r="AG543" s="106"/>
      <c r="AH543" s="106"/>
      <c r="AI543" s="106"/>
      <c r="AJ543" s="106"/>
      <c r="AK543" s="106"/>
      <c r="AL543" s="106"/>
      <c r="AM543" s="106"/>
      <c r="AN543" s="106"/>
      <c r="AO543" s="106"/>
      <c r="AP543" s="106"/>
      <c r="AQ543" s="106"/>
      <c r="AR543" s="106"/>
      <c r="AS543" s="106"/>
      <c r="AT543" s="106"/>
      <c r="AU543" s="106"/>
      <c r="AV543" s="106"/>
      <c r="AW543" s="106"/>
      <c r="AX543" s="106"/>
      <c r="AY543" s="106"/>
      <c r="AZ543" s="106"/>
      <c r="BA543" s="106"/>
      <c r="BB543" s="106"/>
      <c r="BC543" s="106"/>
      <c r="BD543" s="106"/>
      <c r="BE543" s="106"/>
      <c r="BF543" s="106"/>
      <c r="BG543" s="106"/>
      <c r="BH543" s="106"/>
      <c r="BI543" s="106"/>
      <c r="BJ543" s="106"/>
      <c r="BK543" s="106"/>
      <c r="BL543" s="106"/>
      <c r="BM543" s="106"/>
      <c r="BN543" s="106"/>
      <c r="BO543" s="106"/>
      <c r="BP543" s="106"/>
    </row>
    <row r="544" spans="1:68" s="105" customFormat="1">
      <c r="B544" s="168" t="s">
        <v>172</v>
      </c>
      <c r="C544" s="168"/>
      <c r="D544" s="169"/>
      <c r="E544" s="169"/>
      <c r="F544" s="170"/>
      <c r="G544" s="169"/>
      <c r="H544" s="169"/>
      <c r="I544" s="170"/>
      <c r="J544" s="169"/>
      <c r="K544" s="169"/>
      <c r="L544" s="170"/>
      <c r="M544" s="169"/>
      <c r="N544" s="169"/>
      <c r="O544" s="161"/>
      <c r="P544" s="154">
        <f t="shared" si="9"/>
        <v>0</v>
      </c>
      <c r="Q544" s="154">
        <f t="shared" si="9"/>
        <v>0</v>
      </c>
      <c r="R544" s="106"/>
      <c r="S544" s="106"/>
      <c r="T544" s="106"/>
      <c r="U544" s="106"/>
      <c r="V544" s="106"/>
      <c r="W544" s="106"/>
      <c r="X544" s="106"/>
      <c r="Y544" s="106"/>
      <c r="Z544" s="106"/>
      <c r="AA544" s="106"/>
      <c r="AB544" s="106"/>
      <c r="AC544" s="106"/>
      <c r="AD544" s="106"/>
      <c r="AE544" s="106"/>
      <c r="AF544" s="106"/>
      <c r="AG544" s="106"/>
      <c r="AH544" s="106"/>
      <c r="AI544" s="106"/>
      <c r="AJ544" s="106"/>
      <c r="AK544" s="106"/>
      <c r="AL544" s="106"/>
      <c r="AM544" s="106"/>
      <c r="AN544" s="106"/>
      <c r="AO544" s="106"/>
      <c r="AP544" s="106"/>
      <c r="AQ544" s="106"/>
      <c r="AR544" s="106"/>
      <c r="AS544" s="106"/>
      <c r="AT544" s="106"/>
      <c r="AU544" s="106"/>
      <c r="AV544" s="106"/>
      <c r="AW544" s="106"/>
      <c r="AX544" s="106"/>
      <c r="AY544" s="106"/>
      <c r="AZ544" s="106"/>
      <c r="BA544" s="106"/>
      <c r="BB544" s="106"/>
      <c r="BC544" s="106"/>
      <c r="BD544" s="106"/>
      <c r="BE544" s="106"/>
      <c r="BF544" s="106"/>
      <c r="BG544" s="106"/>
      <c r="BH544" s="106"/>
      <c r="BI544" s="106"/>
      <c r="BJ544" s="106"/>
      <c r="BK544" s="106"/>
      <c r="BL544" s="106"/>
      <c r="BM544" s="106"/>
      <c r="BN544" s="106"/>
      <c r="BO544" s="106"/>
      <c r="BP544" s="106"/>
    </row>
    <row r="545" spans="1:68" s="105" customFormat="1">
      <c r="B545" s="168" t="s">
        <v>105</v>
      </c>
      <c r="C545" s="171"/>
      <c r="D545" s="169"/>
      <c r="E545" s="169"/>
      <c r="F545" s="170"/>
      <c r="G545" s="169"/>
      <c r="H545" s="169"/>
      <c r="I545" s="170"/>
      <c r="J545" s="169"/>
      <c r="K545" s="169"/>
      <c r="L545" s="170"/>
      <c r="M545" s="169"/>
      <c r="N545" s="169"/>
      <c r="O545" s="161"/>
      <c r="P545" s="154">
        <f t="shared" si="9"/>
        <v>0</v>
      </c>
      <c r="Q545" s="154">
        <f t="shared" si="9"/>
        <v>0</v>
      </c>
      <c r="R545" s="106"/>
      <c r="S545" s="106"/>
      <c r="T545" s="106"/>
      <c r="U545" s="106"/>
      <c r="V545" s="106"/>
      <c r="W545" s="106"/>
      <c r="X545" s="106"/>
      <c r="Y545" s="106"/>
      <c r="Z545" s="106"/>
      <c r="AA545" s="106"/>
      <c r="AB545" s="106"/>
      <c r="AC545" s="106"/>
      <c r="AD545" s="106"/>
      <c r="AE545" s="106"/>
      <c r="AF545" s="106"/>
      <c r="AG545" s="106"/>
      <c r="AH545" s="106"/>
      <c r="AI545" s="106"/>
      <c r="AJ545" s="106"/>
      <c r="AK545" s="106"/>
      <c r="AL545" s="106"/>
      <c r="AM545" s="106"/>
      <c r="AN545" s="106"/>
      <c r="AO545" s="106"/>
      <c r="AP545" s="106"/>
      <c r="AQ545" s="106"/>
      <c r="AR545" s="106"/>
      <c r="AS545" s="106"/>
      <c r="AT545" s="106"/>
      <c r="AU545" s="106"/>
      <c r="AV545" s="106"/>
      <c r="AW545" s="106"/>
      <c r="AX545" s="106"/>
      <c r="AY545" s="106"/>
      <c r="AZ545" s="106"/>
      <c r="BA545" s="106"/>
      <c r="BB545" s="106"/>
      <c r="BC545" s="106"/>
      <c r="BD545" s="106"/>
      <c r="BE545" s="106"/>
      <c r="BF545" s="106"/>
      <c r="BG545" s="106"/>
      <c r="BH545" s="106"/>
      <c r="BI545" s="106"/>
      <c r="BJ545" s="106"/>
      <c r="BK545" s="106"/>
      <c r="BL545" s="106"/>
      <c r="BM545" s="106"/>
      <c r="BN545" s="106"/>
      <c r="BO545" s="106"/>
      <c r="BP545" s="106"/>
    </row>
    <row r="546" spans="1:68" s="105" customFormat="1">
      <c r="A546" s="167"/>
      <c r="B546" s="172" t="s">
        <v>173</v>
      </c>
      <c r="C546" s="173"/>
      <c r="D546" s="174">
        <f>SUM(D535:D545)</f>
        <v>195.846</v>
      </c>
      <c r="E546" s="174">
        <f>SUM(E535:E545)</f>
        <v>3828303.7239999995</v>
      </c>
      <c r="F546" s="176"/>
      <c r="G546" s="174">
        <f>SUM(G535:G545)</f>
        <v>523.71500000000003</v>
      </c>
      <c r="H546" s="174">
        <f>SUM(H535:H545)</f>
        <v>6445662.9549999982</v>
      </c>
      <c r="I546" s="176"/>
      <c r="J546" s="174">
        <f>SUM(J535:J545)</f>
        <v>934.37099999999998</v>
      </c>
      <c r="K546" s="174">
        <f>SUM(K535:K545)</f>
        <v>14235796.493999999</v>
      </c>
      <c r="L546" s="176"/>
      <c r="M546" s="174">
        <f>SUM(M535:M545)</f>
        <v>998.6550000000002</v>
      </c>
      <c r="N546" s="174">
        <f>SUM(N535:N545)</f>
        <v>6251267.171000001</v>
      </c>
      <c r="O546" s="161"/>
      <c r="P546" s="134">
        <f>+D546+G546+J546+M546</f>
        <v>2652.5870000000004</v>
      </c>
      <c r="Q546" s="134">
        <f>+E546+H546+K546+N546</f>
        <v>30761030.343999997</v>
      </c>
      <c r="R546" s="106"/>
      <c r="S546" s="106"/>
      <c r="T546" s="106"/>
      <c r="U546" s="106"/>
      <c r="V546" s="106"/>
      <c r="W546" s="106"/>
      <c r="X546" s="106"/>
      <c r="Y546" s="106"/>
      <c r="Z546" s="106"/>
      <c r="AA546" s="106"/>
      <c r="AB546" s="106"/>
      <c r="AC546" s="106"/>
      <c r="AD546" s="106"/>
      <c r="AE546" s="106"/>
      <c r="AF546" s="106"/>
      <c r="AG546" s="106"/>
      <c r="AH546" s="106"/>
      <c r="AI546" s="106"/>
      <c r="AJ546" s="106"/>
      <c r="AK546" s="106"/>
      <c r="AL546" s="106"/>
      <c r="AM546" s="106"/>
      <c r="AN546" s="106"/>
      <c r="AO546" s="106"/>
      <c r="AP546" s="106"/>
      <c r="AQ546" s="106"/>
      <c r="AR546" s="106"/>
      <c r="AS546" s="106"/>
      <c r="AT546" s="106"/>
      <c r="AU546" s="106"/>
      <c r="AV546" s="106"/>
      <c r="AW546" s="106"/>
      <c r="AX546" s="106"/>
      <c r="AY546" s="106"/>
      <c r="AZ546" s="106"/>
      <c r="BA546" s="106"/>
      <c r="BB546" s="106"/>
      <c r="BC546" s="106"/>
      <c r="BD546" s="106"/>
      <c r="BE546" s="106"/>
      <c r="BF546" s="106"/>
      <c r="BG546" s="106"/>
      <c r="BH546" s="106"/>
      <c r="BI546" s="106"/>
      <c r="BJ546" s="106"/>
      <c r="BK546" s="106"/>
      <c r="BL546" s="106"/>
      <c r="BM546" s="106"/>
      <c r="BN546" s="106"/>
      <c r="BO546" s="106"/>
      <c r="BP546" s="106"/>
    </row>
    <row r="547" spans="1:68" s="105" customFormat="1" ht="15" thickBot="1">
      <c r="C547" s="163"/>
      <c r="D547" s="163"/>
      <c r="E547" s="163"/>
      <c r="F547" s="163"/>
      <c r="G547" s="163"/>
      <c r="H547" s="163"/>
      <c r="I547" s="163"/>
      <c r="J547" s="163"/>
      <c r="K547" s="163"/>
      <c r="L547" s="163"/>
      <c r="M547" s="163"/>
      <c r="N547" s="163"/>
      <c r="P547" s="144"/>
      <c r="Q547" s="144"/>
      <c r="R547" s="106"/>
      <c r="S547" s="106"/>
      <c r="T547" s="106"/>
      <c r="U547" s="106"/>
      <c r="V547" s="106"/>
      <c r="W547" s="106"/>
      <c r="X547" s="106"/>
      <c r="Y547" s="106"/>
      <c r="Z547" s="106"/>
      <c r="AA547" s="106"/>
      <c r="AB547" s="106"/>
      <c r="AC547" s="106"/>
      <c r="AD547" s="106"/>
      <c r="AE547" s="106"/>
      <c r="AF547" s="106"/>
      <c r="AG547" s="106"/>
      <c r="AH547" s="106"/>
      <c r="AI547" s="106"/>
      <c r="AJ547" s="106"/>
      <c r="AK547" s="106"/>
      <c r="AL547" s="106"/>
      <c r="AM547" s="106"/>
      <c r="AN547" s="106"/>
      <c r="AO547" s="106"/>
      <c r="AP547" s="106"/>
      <c r="AQ547" s="106"/>
      <c r="AR547" s="106"/>
      <c r="AS547" s="106"/>
      <c r="AT547" s="106"/>
      <c r="AU547" s="106"/>
      <c r="AV547" s="106"/>
      <c r="AW547" s="106"/>
      <c r="AX547" s="106"/>
      <c r="AY547" s="106"/>
      <c r="AZ547" s="106"/>
      <c r="BA547" s="106"/>
      <c r="BB547" s="106"/>
      <c r="BC547" s="106"/>
      <c r="BD547" s="106"/>
      <c r="BE547" s="106"/>
      <c r="BF547" s="106"/>
      <c r="BG547" s="106"/>
      <c r="BH547" s="106"/>
      <c r="BI547" s="106"/>
      <c r="BJ547" s="106"/>
      <c r="BK547" s="106"/>
      <c r="BL547" s="106"/>
      <c r="BM547" s="106"/>
      <c r="BN547" s="106"/>
      <c r="BO547" s="106"/>
      <c r="BP547" s="106"/>
    </row>
    <row r="548" spans="1:68" s="105" customFormat="1" ht="15" thickBot="1">
      <c r="A548" s="160"/>
      <c r="B548" s="164" t="s">
        <v>174</v>
      </c>
      <c r="C548" s="165"/>
      <c r="D548" s="166"/>
      <c r="E548" s="166"/>
      <c r="F548" s="166"/>
      <c r="G548" s="166"/>
      <c r="H548" s="166"/>
      <c r="I548" s="166"/>
      <c r="J548" s="166"/>
      <c r="K548" s="166"/>
      <c r="L548" s="166"/>
      <c r="M548" s="166"/>
      <c r="N548" s="166"/>
      <c r="O548" s="161"/>
      <c r="R548" s="106"/>
      <c r="S548" s="106"/>
      <c r="T548" s="106"/>
      <c r="U548" s="106"/>
      <c r="V548" s="106"/>
      <c r="W548" s="106"/>
      <c r="X548" s="106"/>
      <c r="Y548" s="106"/>
      <c r="Z548" s="106"/>
      <c r="AA548" s="106"/>
      <c r="AB548" s="106"/>
      <c r="AC548" s="106"/>
      <c r="AD548" s="106"/>
      <c r="AE548" s="106"/>
      <c r="AF548" s="106"/>
      <c r="AG548" s="106"/>
      <c r="AH548" s="106"/>
      <c r="AI548" s="106"/>
      <c r="AJ548" s="106"/>
      <c r="AK548" s="106"/>
      <c r="AL548" s="106"/>
      <c r="AM548" s="106"/>
      <c r="AN548" s="106"/>
      <c r="AO548" s="106"/>
      <c r="AP548" s="106"/>
      <c r="AQ548" s="106"/>
      <c r="AR548" s="106"/>
      <c r="AS548" s="106"/>
      <c r="AT548" s="106"/>
      <c r="AU548" s="106"/>
      <c r="AV548" s="106"/>
      <c r="AW548" s="106"/>
      <c r="AX548" s="106"/>
      <c r="AY548" s="106"/>
      <c r="AZ548" s="106"/>
      <c r="BA548" s="106"/>
      <c r="BB548" s="106"/>
      <c r="BC548" s="106"/>
      <c r="BD548" s="106"/>
      <c r="BE548" s="106"/>
      <c r="BF548" s="106"/>
      <c r="BG548" s="106"/>
      <c r="BH548" s="106"/>
      <c r="BI548" s="106"/>
      <c r="BJ548" s="106"/>
      <c r="BK548" s="106"/>
      <c r="BL548" s="106"/>
      <c r="BM548" s="106"/>
      <c r="BN548" s="106"/>
      <c r="BO548" s="106"/>
      <c r="BP548" s="106"/>
    </row>
    <row r="549" spans="1:68" s="105" customFormat="1">
      <c r="B549" s="168" t="s">
        <v>175</v>
      </c>
      <c r="C549" s="168"/>
      <c r="D549" s="169"/>
      <c r="E549" s="169"/>
      <c r="F549" s="170"/>
      <c r="G549" s="169"/>
      <c r="H549" s="169"/>
      <c r="I549" s="170"/>
      <c r="J549" s="169"/>
      <c r="K549" s="169"/>
      <c r="L549" s="170"/>
      <c r="M549" s="169"/>
      <c r="N549" s="169"/>
      <c r="O549" s="161"/>
      <c r="P549" s="154">
        <f t="shared" ref="P549:Q554" si="11">+D549+G549+J549+M549</f>
        <v>0</v>
      </c>
      <c r="Q549" s="154">
        <f t="shared" si="11"/>
        <v>0</v>
      </c>
      <c r="R549" s="106"/>
      <c r="S549" s="106"/>
      <c r="T549" s="106"/>
      <c r="U549" s="106"/>
      <c r="V549" s="106"/>
      <c r="W549" s="106"/>
      <c r="X549" s="106"/>
      <c r="Y549" s="106"/>
      <c r="Z549" s="106"/>
      <c r="AA549" s="106"/>
      <c r="AB549" s="106"/>
      <c r="AC549" s="106"/>
      <c r="AD549" s="106"/>
      <c r="AE549" s="106"/>
      <c r="AF549" s="106"/>
      <c r="AG549" s="106"/>
      <c r="AH549" s="106"/>
      <c r="AI549" s="106"/>
      <c r="AJ549" s="106"/>
      <c r="AK549" s="106"/>
      <c r="AL549" s="106"/>
      <c r="AM549" s="106"/>
      <c r="AN549" s="106"/>
      <c r="AO549" s="106"/>
      <c r="AP549" s="106"/>
      <c r="AQ549" s="106"/>
      <c r="AR549" s="106"/>
      <c r="AS549" s="106"/>
      <c r="AT549" s="106"/>
      <c r="AU549" s="106"/>
      <c r="AV549" s="106"/>
      <c r="AW549" s="106"/>
      <c r="AX549" s="106"/>
      <c r="AY549" s="106"/>
      <c r="AZ549" s="106"/>
      <c r="BA549" s="106"/>
      <c r="BB549" s="106"/>
      <c r="BC549" s="106"/>
      <c r="BD549" s="106"/>
      <c r="BE549" s="106"/>
      <c r="BF549" s="106"/>
      <c r="BG549" s="106"/>
      <c r="BH549" s="106"/>
      <c r="BI549" s="106"/>
      <c r="BJ549" s="106"/>
      <c r="BK549" s="106"/>
      <c r="BL549" s="106"/>
      <c r="BM549" s="106"/>
      <c r="BN549" s="106"/>
      <c r="BO549" s="106"/>
      <c r="BP549" s="106"/>
    </row>
    <row r="550" spans="1:68" s="105" customFormat="1">
      <c r="B550" s="168" t="s">
        <v>176</v>
      </c>
      <c r="C550" s="168"/>
      <c r="D550" s="169"/>
      <c r="E550" s="169"/>
      <c r="F550" s="170"/>
      <c r="G550" s="169"/>
      <c r="H550" s="169"/>
      <c r="I550" s="170"/>
      <c r="J550" s="169"/>
      <c r="K550" s="169"/>
      <c r="L550" s="170"/>
      <c r="M550" s="169"/>
      <c r="N550" s="169"/>
      <c r="O550" s="161"/>
      <c r="P550" s="154">
        <f t="shared" si="11"/>
        <v>0</v>
      </c>
      <c r="Q550" s="154">
        <f t="shared" si="11"/>
        <v>0</v>
      </c>
      <c r="R550" s="106"/>
      <c r="S550" s="106"/>
      <c r="T550" s="106"/>
      <c r="U550" s="106"/>
      <c r="V550" s="106"/>
      <c r="W550" s="106"/>
      <c r="X550" s="106"/>
      <c r="Y550" s="106"/>
      <c r="Z550" s="106"/>
      <c r="AA550" s="106"/>
      <c r="AB550" s="106"/>
      <c r="AC550" s="106"/>
      <c r="AD550" s="106"/>
      <c r="AE550" s="106"/>
      <c r="AF550" s="106"/>
      <c r="AG550" s="106"/>
      <c r="AH550" s="106"/>
      <c r="AI550" s="106"/>
      <c r="AJ550" s="106"/>
      <c r="AK550" s="106"/>
      <c r="AL550" s="106"/>
      <c r="AM550" s="106"/>
      <c r="AN550" s="106"/>
      <c r="AO550" s="106"/>
      <c r="AP550" s="106"/>
      <c r="AQ550" s="106"/>
      <c r="AR550" s="106"/>
      <c r="AS550" s="106"/>
      <c r="AT550" s="106"/>
      <c r="AU550" s="106"/>
      <c r="AV550" s="106"/>
      <c r="AW550" s="106"/>
      <c r="AX550" s="106"/>
      <c r="AY550" s="106"/>
      <c r="AZ550" s="106"/>
      <c r="BA550" s="106"/>
      <c r="BB550" s="106"/>
      <c r="BC550" s="106"/>
      <c r="BD550" s="106"/>
      <c r="BE550" s="106"/>
      <c r="BF550" s="106"/>
      <c r="BG550" s="106"/>
      <c r="BH550" s="106"/>
      <c r="BI550" s="106"/>
      <c r="BJ550" s="106"/>
      <c r="BK550" s="106"/>
      <c r="BL550" s="106"/>
      <c r="BM550" s="106"/>
      <c r="BN550" s="106"/>
      <c r="BO550" s="106"/>
      <c r="BP550" s="106"/>
    </row>
    <row r="551" spans="1:68" s="105" customFormat="1">
      <c r="B551" s="168" t="s">
        <v>177</v>
      </c>
      <c r="C551" s="168" t="s">
        <v>111</v>
      </c>
      <c r="D551" s="169"/>
      <c r="E551" s="169"/>
      <c r="F551" s="170"/>
      <c r="G551" s="169"/>
      <c r="H551" s="169"/>
      <c r="I551" s="170"/>
      <c r="J551" s="169"/>
      <c r="K551" s="169"/>
      <c r="L551" s="170"/>
      <c r="M551" s="169">
        <f>+D480</f>
        <v>200.655</v>
      </c>
      <c r="N551" s="169">
        <f>+E480</f>
        <v>1859328</v>
      </c>
      <c r="O551" s="161"/>
      <c r="P551" s="154">
        <f t="shared" si="11"/>
        <v>200.655</v>
      </c>
      <c r="Q551" s="154">
        <f t="shared" si="11"/>
        <v>1859328</v>
      </c>
      <c r="R551" s="106"/>
      <c r="S551" s="106"/>
      <c r="T551" s="106"/>
      <c r="U551" s="106"/>
      <c r="V551" s="106"/>
      <c r="W551" s="106"/>
      <c r="X551" s="106"/>
      <c r="Y551" s="106"/>
      <c r="Z551" s="106"/>
      <c r="AA551" s="106"/>
      <c r="AB551" s="106"/>
      <c r="AC551" s="106"/>
      <c r="AD551" s="106"/>
      <c r="AE551" s="106"/>
      <c r="AF551" s="106"/>
      <c r="AG551" s="106"/>
      <c r="AH551" s="106"/>
      <c r="AI551" s="106"/>
      <c r="AJ551" s="106"/>
      <c r="AK551" s="106"/>
      <c r="AL551" s="106"/>
      <c r="AM551" s="106"/>
      <c r="AN551" s="106"/>
      <c r="AO551" s="106"/>
      <c r="AP551" s="106"/>
      <c r="AQ551" s="106"/>
      <c r="AR551" s="106"/>
      <c r="AS551" s="106"/>
      <c r="AT551" s="106"/>
      <c r="AU551" s="106"/>
      <c r="AV551" s="106"/>
      <c r="AW551" s="106"/>
      <c r="AX551" s="106"/>
      <c r="AY551" s="106"/>
      <c r="AZ551" s="106"/>
      <c r="BA551" s="106"/>
      <c r="BB551" s="106"/>
      <c r="BC551" s="106"/>
      <c r="BD551" s="106"/>
      <c r="BE551" s="106"/>
      <c r="BF551" s="106"/>
      <c r="BG551" s="106"/>
      <c r="BH551" s="106"/>
      <c r="BI551" s="106"/>
      <c r="BJ551" s="106"/>
      <c r="BK551" s="106"/>
      <c r="BL551" s="106"/>
      <c r="BM551" s="106"/>
      <c r="BN551" s="106"/>
      <c r="BO551" s="106"/>
      <c r="BP551" s="106"/>
    </row>
    <row r="552" spans="1:68" s="105" customFormat="1">
      <c r="B552" s="168" t="s">
        <v>163</v>
      </c>
      <c r="C552" s="168" t="s">
        <v>111</v>
      </c>
      <c r="D552" s="169">
        <f>+D34+D106</f>
        <v>17.788</v>
      </c>
      <c r="E552" s="169">
        <f>+E34+H34+K34+N34+E106+H106+K106+N106</f>
        <v>436376.25199999998</v>
      </c>
      <c r="F552" s="170"/>
      <c r="G552" s="169"/>
      <c r="H552" s="169"/>
      <c r="I552" s="170"/>
      <c r="J552" s="169"/>
      <c r="K552" s="169"/>
      <c r="L552" s="170"/>
      <c r="M552" s="169"/>
      <c r="N552" s="169"/>
      <c r="O552" s="161"/>
      <c r="P552" s="154">
        <f t="shared" si="11"/>
        <v>17.788</v>
      </c>
      <c r="Q552" s="154">
        <f t="shared" si="11"/>
        <v>436376.25199999998</v>
      </c>
      <c r="R552" s="106"/>
      <c r="S552" s="106"/>
      <c r="T552" s="106"/>
      <c r="U552" s="106"/>
      <c r="V552" s="106"/>
      <c r="W552" s="106"/>
      <c r="X552" s="106"/>
      <c r="Y552" s="106"/>
      <c r="Z552" s="106"/>
      <c r="AA552" s="106"/>
      <c r="AB552" s="106"/>
      <c r="AC552" s="106"/>
      <c r="AD552" s="106"/>
      <c r="AE552" s="106"/>
      <c r="AF552" s="106"/>
      <c r="AG552" s="106"/>
      <c r="AH552" s="106"/>
      <c r="AI552" s="106"/>
      <c r="AJ552" s="106"/>
      <c r="AK552" s="106"/>
      <c r="AL552" s="106"/>
      <c r="AM552" s="106"/>
      <c r="AN552" s="106"/>
      <c r="AO552" s="106"/>
      <c r="AP552" s="106"/>
      <c r="AQ552" s="106"/>
      <c r="AR552" s="106"/>
      <c r="AS552" s="106"/>
      <c r="AT552" s="106"/>
      <c r="AU552" s="106"/>
      <c r="AV552" s="106"/>
      <c r="AW552" s="106"/>
      <c r="AX552" s="106"/>
      <c r="AY552" s="106"/>
      <c r="AZ552" s="106"/>
      <c r="BA552" s="106"/>
      <c r="BB552" s="106"/>
      <c r="BC552" s="106"/>
      <c r="BD552" s="106"/>
      <c r="BE552" s="106"/>
      <c r="BF552" s="106"/>
      <c r="BG552" s="106"/>
      <c r="BH552" s="106"/>
      <c r="BI552" s="106"/>
      <c r="BJ552" s="106"/>
      <c r="BK552" s="106"/>
      <c r="BL552" s="106"/>
      <c r="BM552" s="106"/>
      <c r="BN552" s="106"/>
      <c r="BO552" s="106"/>
      <c r="BP552" s="106"/>
    </row>
    <row r="553" spans="1:68" s="105" customFormat="1">
      <c r="B553" s="168" t="s">
        <v>105</v>
      </c>
      <c r="C553" s="168" t="s">
        <v>111</v>
      </c>
      <c r="D553" s="169"/>
      <c r="E553" s="169"/>
      <c r="F553" s="170"/>
      <c r="G553" s="169"/>
      <c r="H553" s="169">
        <f>+E183+H183+K183+N183+E256+H256+K256+N256</f>
        <v>39974.449999999997</v>
      </c>
      <c r="I553" s="170"/>
      <c r="J553" s="169"/>
      <c r="K553" s="169">
        <f>+E333+H333+K333+N333+E406+H406+K406+N406</f>
        <v>35206.74</v>
      </c>
      <c r="L553" s="170"/>
      <c r="M553" s="169">
        <f>+D482</f>
        <v>1546.1479999999999</v>
      </c>
      <c r="N553" s="169"/>
      <c r="O553" s="161"/>
      <c r="P553" s="154">
        <f t="shared" si="11"/>
        <v>1546.1479999999999</v>
      </c>
      <c r="Q553" s="154">
        <f t="shared" si="11"/>
        <v>75181.19</v>
      </c>
      <c r="R553" s="106"/>
      <c r="S553" s="106"/>
      <c r="T553" s="106"/>
      <c r="U553" s="106"/>
      <c r="V553" s="106"/>
      <c r="W553" s="106"/>
      <c r="X553" s="106"/>
      <c r="Y553" s="106"/>
      <c r="Z553" s="106"/>
      <c r="AA553" s="106"/>
      <c r="AB553" s="106"/>
      <c r="AC553" s="106"/>
      <c r="AD553" s="106"/>
      <c r="AE553" s="106"/>
      <c r="AF553" s="106"/>
      <c r="AG553" s="106"/>
      <c r="AH553" s="106"/>
      <c r="AI553" s="106"/>
      <c r="AJ553" s="106"/>
      <c r="AK553" s="106"/>
      <c r="AL553" s="106"/>
      <c r="AM553" s="106"/>
      <c r="AN553" s="106"/>
      <c r="AO553" s="106"/>
      <c r="AP553" s="106"/>
      <c r="AQ553" s="106"/>
      <c r="AR553" s="106"/>
      <c r="AS553" s="106"/>
      <c r="AT553" s="106"/>
      <c r="AU553" s="106"/>
      <c r="AV553" s="106"/>
      <c r="AW553" s="106"/>
      <c r="AX553" s="106"/>
      <c r="AY553" s="106"/>
      <c r="AZ553" s="106"/>
      <c r="BA553" s="106"/>
      <c r="BB553" s="106"/>
      <c r="BC553" s="106"/>
      <c r="BD553" s="106"/>
      <c r="BE553" s="106"/>
      <c r="BF553" s="106"/>
      <c r="BG553" s="106"/>
      <c r="BH553" s="106"/>
      <c r="BI553" s="106"/>
      <c r="BJ553" s="106"/>
      <c r="BK553" s="106"/>
      <c r="BL553" s="106"/>
      <c r="BM553" s="106"/>
      <c r="BN553" s="106"/>
      <c r="BO553" s="106"/>
      <c r="BP553" s="106"/>
    </row>
    <row r="554" spans="1:68" s="105" customFormat="1">
      <c r="A554" s="167"/>
      <c r="B554" s="172" t="s">
        <v>178</v>
      </c>
      <c r="C554" s="173"/>
      <c r="D554" s="174">
        <f>SUM(D549:D553)</f>
        <v>17.788</v>
      </c>
      <c r="E554" s="174">
        <f>SUM(E549:E553)</f>
        <v>436376.25199999998</v>
      </c>
      <c r="F554" s="176"/>
      <c r="G554" s="174">
        <f>SUM(G549:G553)</f>
        <v>0</v>
      </c>
      <c r="H554" s="174">
        <f>SUM(H549:H553)</f>
        <v>39974.449999999997</v>
      </c>
      <c r="I554" s="176"/>
      <c r="J554" s="174">
        <f>SUM(J549:J553)</f>
        <v>0</v>
      </c>
      <c r="K554" s="174">
        <f>SUM(K549:K553)</f>
        <v>35206.74</v>
      </c>
      <c r="L554" s="176"/>
      <c r="M554" s="174">
        <f>SUM(M549:M553)</f>
        <v>1746.8029999999999</v>
      </c>
      <c r="N554" s="174">
        <f>SUM(N549:N553)</f>
        <v>1859328</v>
      </c>
      <c r="O554" s="161"/>
      <c r="P554" s="134">
        <f t="shared" si="11"/>
        <v>1764.5909999999999</v>
      </c>
      <c r="Q554" s="134">
        <f t="shared" si="11"/>
        <v>2370885.4419999998</v>
      </c>
      <c r="R554" s="106"/>
      <c r="S554" s="106"/>
      <c r="T554" s="106"/>
      <c r="U554" s="106"/>
      <c r="V554" s="106"/>
      <c r="W554" s="106"/>
      <c r="X554" s="106"/>
      <c r="Y554" s="106"/>
      <c r="Z554" s="106"/>
      <c r="AA554" s="106"/>
      <c r="AB554" s="106"/>
      <c r="AC554" s="106"/>
      <c r="AD554" s="106"/>
      <c r="AE554" s="106"/>
      <c r="AF554" s="106"/>
      <c r="AG554" s="106"/>
      <c r="AH554" s="106"/>
      <c r="AI554" s="106"/>
      <c r="AJ554" s="106"/>
      <c r="AK554" s="106"/>
      <c r="AL554" s="106"/>
      <c r="AM554" s="106"/>
      <c r="AN554" s="106"/>
      <c r="AO554" s="106"/>
      <c r="AP554" s="106"/>
      <c r="AQ554" s="106"/>
      <c r="AR554" s="106"/>
      <c r="AS554" s="106"/>
      <c r="AT554" s="106"/>
      <c r="AU554" s="106"/>
      <c r="AV554" s="106"/>
      <c r="AW554" s="106"/>
      <c r="AX554" s="106"/>
      <c r="AY554" s="106"/>
      <c r="AZ554" s="106"/>
      <c r="BA554" s="106"/>
      <c r="BB554" s="106"/>
      <c r="BC554" s="106"/>
      <c r="BD554" s="106"/>
      <c r="BE554" s="106"/>
      <c r="BF554" s="106"/>
      <c r="BG554" s="106"/>
      <c r="BH554" s="106"/>
      <c r="BI554" s="106"/>
      <c r="BJ554" s="106"/>
      <c r="BK554" s="106"/>
      <c r="BL554" s="106"/>
      <c r="BM554" s="106"/>
      <c r="BN554" s="106"/>
      <c r="BO554" s="106"/>
      <c r="BP554" s="106"/>
    </row>
    <row r="555" spans="1:68" s="105" customFormat="1" ht="15" thickBot="1">
      <c r="C555" s="163"/>
      <c r="D555" s="163"/>
      <c r="E555" s="163"/>
      <c r="F555" s="163"/>
      <c r="G555" s="163"/>
      <c r="H555" s="163"/>
      <c r="I555" s="163"/>
      <c r="J555" s="163"/>
      <c r="K555" s="163"/>
      <c r="L555" s="163"/>
      <c r="M555" s="163"/>
      <c r="N555" s="163"/>
      <c r="P555" s="144"/>
      <c r="R555" s="106"/>
      <c r="S555" s="106"/>
      <c r="T555" s="106"/>
      <c r="U555" s="106"/>
      <c r="V555" s="106"/>
      <c r="W555" s="106"/>
      <c r="X555" s="106"/>
      <c r="Y555" s="106"/>
      <c r="Z555" s="106"/>
      <c r="AA555" s="106"/>
      <c r="AB555" s="106"/>
      <c r="AC555" s="106"/>
      <c r="AD555" s="106"/>
      <c r="AE555" s="106"/>
      <c r="AF555" s="106"/>
      <c r="AG555" s="106"/>
      <c r="AH555" s="106"/>
      <c r="AI555" s="106"/>
      <c r="AJ555" s="106"/>
      <c r="AK555" s="106"/>
      <c r="AL555" s="106"/>
      <c r="AM555" s="106"/>
      <c r="AN555" s="106"/>
      <c r="AO555" s="106"/>
      <c r="AP555" s="106"/>
      <c r="AQ555" s="106"/>
      <c r="AR555" s="106"/>
      <c r="AS555" s="106"/>
      <c r="AT555" s="106"/>
      <c r="AU555" s="106"/>
      <c r="AV555" s="106"/>
      <c r="AW555" s="106"/>
      <c r="AX555" s="106"/>
      <c r="AY555" s="106"/>
      <c r="AZ555" s="106"/>
      <c r="BA555" s="106"/>
      <c r="BB555" s="106"/>
      <c r="BC555" s="106"/>
      <c r="BD555" s="106"/>
      <c r="BE555" s="106"/>
      <c r="BF555" s="106"/>
      <c r="BG555" s="106"/>
      <c r="BH555" s="106"/>
      <c r="BI555" s="106"/>
      <c r="BJ555" s="106"/>
      <c r="BK555" s="106"/>
      <c r="BL555" s="106"/>
      <c r="BM555" s="106"/>
      <c r="BN555" s="106"/>
      <c r="BO555" s="106"/>
      <c r="BP555" s="106"/>
    </row>
    <row r="556" spans="1:68" s="105" customFormat="1" ht="15" thickBot="1">
      <c r="A556" s="160"/>
      <c r="B556" s="164" t="s">
        <v>179</v>
      </c>
      <c r="C556" s="165"/>
      <c r="D556" s="166"/>
      <c r="E556" s="166"/>
      <c r="F556" s="166"/>
      <c r="G556" s="166"/>
      <c r="H556" s="166"/>
      <c r="I556" s="166"/>
      <c r="J556" s="166"/>
      <c r="K556" s="166"/>
      <c r="L556" s="166"/>
      <c r="M556" s="166"/>
      <c r="N556" s="166"/>
      <c r="O556" s="161"/>
      <c r="R556" s="106"/>
      <c r="S556" s="106"/>
      <c r="T556" s="106"/>
      <c r="U556" s="106"/>
      <c r="V556" s="106"/>
      <c r="W556" s="106"/>
      <c r="X556" s="106"/>
      <c r="Y556" s="106"/>
      <c r="Z556" s="106"/>
      <c r="AA556" s="106"/>
      <c r="AB556" s="106"/>
      <c r="AC556" s="106"/>
      <c r="AD556" s="106"/>
      <c r="AE556" s="106"/>
      <c r="AF556" s="106"/>
      <c r="AG556" s="106"/>
      <c r="AH556" s="106"/>
      <c r="AI556" s="106"/>
      <c r="AJ556" s="106"/>
      <c r="AK556" s="106"/>
      <c r="AL556" s="106"/>
      <c r="AM556" s="106"/>
      <c r="AN556" s="106"/>
      <c r="AO556" s="106"/>
      <c r="AP556" s="106"/>
      <c r="AQ556" s="106"/>
      <c r="AR556" s="106"/>
      <c r="AS556" s="106"/>
      <c r="AT556" s="106"/>
      <c r="AU556" s="106"/>
      <c r="AV556" s="106"/>
      <c r="AW556" s="106"/>
      <c r="AX556" s="106"/>
      <c r="AY556" s="106"/>
      <c r="AZ556" s="106"/>
      <c r="BA556" s="106"/>
      <c r="BB556" s="106"/>
      <c r="BC556" s="106"/>
      <c r="BD556" s="106"/>
      <c r="BE556" s="106"/>
      <c r="BF556" s="106"/>
      <c r="BG556" s="106"/>
      <c r="BH556" s="106"/>
      <c r="BI556" s="106"/>
      <c r="BJ556" s="106"/>
      <c r="BK556" s="106"/>
      <c r="BL556" s="106"/>
      <c r="BM556" s="106"/>
      <c r="BN556" s="106"/>
      <c r="BO556" s="106"/>
      <c r="BP556" s="106"/>
    </row>
    <row r="557" spans="1:68" s="105" customFormat="1">
      <c r="B557" s="168" t="s">
        <v>179</v>
      </c>
      <c r="C557" s="168" t="s">
        <v>152</v>
      </c>
      <c r="D557" s="169"/>
      <c r="E557" s="169"/>
      <c r="F557" s="170"/>
      <c r="G557" s="169"/>
      <c r="H557" s="169"/>
      <c r="I557" s="170"/>
      <c r="J557" s="169">
        <f>+D337+D410</f>
        <v>8.697000000000001</v>
      </c>
      <c r="K557" s="169">
        <f>+E337+H337+K337+N337+E410+H410+K410+N410</f>
        <v>237743.61180000001</v>
      </c>
      <c r="L557" s="170"/>
      <c r="M557" s="169">
        <f>+D486</f>
        <v>8.3219999999999992</v>
      </c>
      <c r="N557" s="169">
        <f>+E486</f>
        <v>113069.713</v>
      </c>
      <c r="O557" s="161"/>
      <c r="P557" s="154">
        <f>+D557+G557+J557+M557</f>
        <v>17.018999999999998</v>
      </c>
      <c r="Q557" s="154">
        <f>+E557+H557+K557+N557</f>
        <v>350813.3248</v>
      </c>
      <c r="R557" s="106"/>
      <c r="S557" s="106"/>
      <c r="T557" s="106"/>
      <c r="U557" s="106"/>
      <c r="V557" s="106"/>
      <c r="W557" s="106"/>
      <c r="X557" s="106"/>
      <c r="Y557" s="106"/>
      <c r="Z557" s="106"/>
      <c r="AA557" s="106"/>
      <c r="AB557" s="106"/>
      <c r="AC557" s="106"/>
      <c r="AD557" s="106"/>
      <c r="AE557" s="106"/>
      <c r="AF557" s="106"/>
      <c r="AG557" s="106"/>
      <c r="AH557" s="106"/>
      <c r="AI557" s="106"/>
      <c r="AJ557" s="106"/>
      <c r="AK557" s="106"/>
      <c r="AL557" s="106"/>
      <c r="AM557" s="106"/>
      <c r="AN557" s="106"/>
      <c r="AO557" s="106"/>
      <c r="AP557" s="106"/>
      <c r="AQ557" s="106"/>
      <c r="AR557" s="106"/>
      <c r="AS557" s="106"/>
      <c r="AT557" s="106"/>
      <c r="AU557" s="106"/>
      <c r="AV557" s="106"/>
      <c r="AW557" s="106"/>
      <c r="AX557" s="106"/>
      <c r="AY557" s="106"/>
      <c r="AZ557" s="106"/>
      <c r="BA557" s="106"/>
      <c r="BB557" s="106"/>
      <c r="BC557" s="106"/>
      <c r="BD557" s="106"/>
      <c r="BE557" s="106"/>
      <c r="BF557" s="106"/>
      <c r="BG557" s="106"/>
      <c r="BH557" s="106"/>
      <c r="BI557" s="106"/>
      <c r="BJ557" s="106"/>
      <c r="BK557" s="106"/>
      <c r="BL557" s="106"/>
      <c r="BM557" s="106"/>
      <c r="BN557" s="106"/>
      <c r="BO557" s="106"/>
      <c r="BP557" s="106"/>
    </row>
    <row r="558" spans="1:68" s="105" customFormat="1">
      <c r="A558" s="167"/>
      <c r="B558" s="172" t="s">
        <v>180</v>
      </c>
      <c r="C558" s="173"/>
      <c r="D558" s="174">
        <f>SUM(D557)</f>
        <v>0</v>
      </c>
      <c r="E558" s="174">
        <f>SUM(E557)</f>
        <v>0</v>
      </c>
      <c r="F558" s="176"/>
      <c r="G558" s="174">
        <f>SUM(G557)</f>
        <v>0</v>
      </c>
      <c r="H558" s="174">
        <f>SUM(H557)</f>
        <v>0</v>
      </c>
      <c r="I558" s="176"/>
      <c r="J558" s="174">
        <f>SUM(J557)</f>
        <v>8.697000000000001</v>
      </c>
      <c r="K558" s="174">
        <f>SUM(K557)</f>
        <v>237743.61180000001</v>
      </c>
      <c r="L558" s="176"/>
      <c r="M558" s="174">
        <f>SUM(M557)</f>
        <v>8.3219999999999992</v>
      </c>
      <c r="N558" s="174">
        <f>SUM(N557)</f>
        <v>113069.713</v>
      </c>
      <c r="O558" s="161"/>
      <c r="P558" s="134">
        <f>+D558+G558+J558+M558</f>
        <v>17.018999999999998</v>
      </c>
      <c r="Q558" s="134">
        <f>+E558+H558+K558+N558</f>
        <v>350813.3248</v>
      </c>
      <c r="R558" s="106"/>
      <c r="S558" s="106"/>
      <c r="T558" s="106"/>
      <c r="U558" s="106"/>
      <c r="V558" s="106"/>
      <c r="W558" s="106"/>
      <c r="X558" s="106"/>
      <c r="Y558" s="106"/>
      <c r="Z558" s="106"/>
      <c r="AA558" s="106"/>
      <c r="AB558" s="106"/>
      <c r="AC558" s="106"/>
      <c r="AD558" s="106"/>
      <c r="AE558" s="106"/>
      <c r="AF558" s="106"/>
      <c r="AG558" s="106"/>
      <c r="AH558" s="106"/>
      <c r="AI558" s="106"/>
      <c r="AJ558" s="106"/>
      <c r="AK558" s="106"/>
      <c r="AL558" s="106"/>
      <c r="AM558" s="106"/>
      <c r="AN558" s="106"/>
      <c r="AO558" s="106"/>
      <c r="AP558" s="106"/>
      <c r="AQ558" s="106"/>
      <c r="AR558" s="106"/>
      <c r="AS558" s="106"/>
      <c r="AT558" s="106"/>
      <c r="AU558" s="106"/>
      <c r="AV558" s="106"/>
      <c r="AW558" s="106"/>
      <c r="AX558" s="106"/>
      <c r="AY558" s="106"/>
      <c r="AZ558" s="106"/>
      <c r="BA558" s="106"/>
      <c r="BB558" s="106"/>
      <c r="BC558" s="106"/>
      <c r="BD558" s="106"/>
      <c r="BE558" s="106"/>
      <c r="BF558" s="106"/>
      <c r="BG558" s="106"/>
      <c r="BH558" s="106"/>
      <c r="BI558" s="106"/>
      <c r="BJ558" s="106"/>
      <c r="BK558" s="106"/>
      <c r="BL558" s="106"/>
      <c r="BM558" s="106"/>
      <c r="BN558" s="106"/>
      <c r="BO558" s="106"/>
      <c r="BP558" s="106"/>
    </row>
    <row r="559" spans="1:68" s="105" customFormat="1" ht="15" thickBot="1">
      <c r="C559" s="163"/>
      <c r="D559" s="163"/>
      <c r="E559" s="163"/>
      <c r="F559" s="163"/>
      <c r="G559" s="163"/>
      <c r="H559" s="163"/>
      <c r="I559" s="163"/>
      <c r="J559" s="163"/>
      <c r="K559" s="163"/>
      <c r="L559" s="163"/>
      <c r="M559" s="163"/>
      <c r="N559" s="163"/>
      <c r="P559" s="144"/>
      <c r="R559" s="106"/>
      <c r="S559" s="106"/>
      <c r="T559" s="106"/>
      <c r="U559" s="106"/>
      <c r="V559" s="106"/>
      <c r="W559" s="106"/>
      <c r="X559" s="106"/>
      <c r="Y559" s="106"/>
      <c r="Z559" s="106"/>
      <c r="AA559" s="106"/>
      <c r="AB559" s="106"/>
      <c r="AC559" s="106"/>
      <c r="AD559" s="106"/>
      <c r="AE559" s="106"/>
      <c r="AF559" s="106"/>
      <c r="AG559" s="106"/>
      <c r="AH559" s="106"/>
      <c r="AI559" s="106"/>
      <c r="AJ559" s="106"/>
      <c r="AK559" s="106"/>
      <c r="AL559" s="106"/>
      <c r="AM559" s="106"/>
      <c r="AN559" s="106"/>
      <c r="AO559" s="106"/>
      <c r="AP559" s="106"/>
      <c r="AQ559" s="106"/>
      <c r="AR559" s="106"/>
      <c r="AS559" s="106"/>
      <c r="AT559" s="106"/>
      <c r="AU559" s="106"/>
      <c r="AV559" s="106"/>
      <c r="AW559" s="106"/>
      <c r="AX559" s="106"/>
      <c r="AY559" s="106"/>
      <c r="AZ559" s="106"/>
      <c r="BA559" s="106"/>
      <c r="BB559" s="106"/>
      <c r="BC559" s="106"/>
      <c r="BD559" s="106"/>
      <c r="BE559" s="106"/>
      <c r="BF559" s="106"/>
      <c r="BG559" s="106"/>
      <c r="BH559" s="106"/>
      <c r="BI559" s="106"/>
      <c r="BJ559" s="106"/>
      <c r="BK559" s="106"/>
      <c r="BL559" s="106"/>
      <c r="BM559" s="106"/>
      <c r="BN559" s="106"/>
      <c r="BO559" s="106"/>
      <c r="BP559" s="106"/>
    </row>
    <row r="560" spans="1:68" s="105" customFormat="1" ht="15" thickBot="1">
      <c r="A560" s="160"/>
      <c r="B560" s="164" t="s">
        <v>181</v>
      </c>
      <c r="C560" s="165"/>
      <c r="D560" s="166"/>
      <c r="E560" s="166"/>
      <c r="F560" s="166"/>
      <c r="G560" s="166"/>
      <c r="H560" s="166"/>
      <c r="I560" s="166"/>
      <c r="J560" s="166"/>
      <c r="K560" s="166"/>
      <c r="L560" s="166"/>
      <c r="M560" s="166"/>
      <c r="N560" s="166"/>
      <c r="O560" s="161"/>
      <c r="R560" s="106"/>
      <c r="S560" s="106"/>
      <c r="T560" s="106"/>
      <c r="U560" s="106"/>
      <c r="V560" s="106"/>
      <c r="W560" s="106"/>
      <c r="X560" s="106"/>
      <c r="Y560" s="106"/>
      <c r="Z560" s="106"/>
      <c r="AA560" s="106"/>
      <c r="AB560" s="106"/>
      <c r="AC560" s="106"/>
      <c r="AD560" s="106"/>
      <c r="AE560" s="106"/>
      <c r="AF560" s="106"/>
      <c r="AG560" s="106"/>
      <c r="AH560" s="106"/>
      <c r="AI560" s="106"/>
      <c r="AJ560" s="106"/>
      <c r="AK560" s="106"/>
      <c r="AL560" s="106"/>
      <c r="AM560" s="106"/>
      <c r="AN560" s="106"/>
      <c r="AO560" s="106"/>
      <c r="AP560" s="106"/>
      <c r="AQ560" s="106"/>
      <c r="AR560" s="106"/>
      <c r="AS560" s="106"/>
      <c r="AT560" s="106"/>
      <c r="AU560" s="106"/>
      <c r="AV560" s="106"/>
      <c r="AW560" s="106"/>
      <c r="AX560" s="106"/>
      <c r="AY560" s="106"/>
      <c r="AZ560" s="106"/>
      <c r="BA560" s="106"/>
      <c r="BB560" s="106"/>
      <c r="BC560" s="106"/>
      <c r="BD560" s="106"/>
      <c r="BE560" s="106"/>
      <c r="BF560" s="106"/>
      <c r="BG560" s="106"/>
      <c r="BH560" s="106"/>
      <c r="BI560" s="106"/>
      <c r="BJ560" s="106"/>
      <c r="BK560" s="106"/>
      <c r="BL560" s="106"/>
      <c r="BM560" s="106"/>
      <c r="BN560" s="106"/>
      <c r="BO560" s="106"/>
      <c r="BP560" s="106"/>
    </row>
    <row r="561" spans="1:68" s="105" customFormat="1">
      <c r="B561" s="168" t="s">
        <v>179</v>
      </c>
      <c r="C561" s="168"/>
      <c r="D561" s="169"/>
      <c r="E561" s="169"/>
      <c r="F561" s="170"/>
      <c r="G561" s="169"/>
      <c r="H561" s="169"/>
      <c r="I561" s="170"/>
      <c r="J561" s="169"/>
      <c r="K561" s="169"/>
      <c r="L561" s="170"/>
      <c r="M561" s="169"/>
      <c r="N561" s="169"/>
      <c r="O561" s="161"/>
      <c r="P561" s="154">
        <f t="shared" ref="P561:Q563" si="12">+D561+G561+J561+M561</f>
        <v>0</v>
      </c>
      <c r="Q561" s="154">
        <f t="shared" si="12"/>
        <v>0</v>
      </c>
      <c r="R561" s="106"/>
      <c r="S561" s="106"/>
      <c r="T561" s="106"/>
      <c r="U561" s="106"/>
      <c r="V561" s="106"/>
      <c r="W561" s="106"/>
      <c r="X561" s="106"/>
      <c r="Y561" s="106"/>
      <c r="Z561" s="106"/>
      <c r="AA561" s="106"/>
      <c r="AB561" s="106"/>
      <c r="AC561" s="106"/>
      <c r="AD561" s="106"/>
      <c r="AE561" s="106"/>
      <c r="AF561" s="106"/>
      <c r="AG561" s="106"/>
      <c r="AH561" s="106"/>
      <c r="AI561" s="106"/>
      <c r="AJ561" s="106"/>
      <c r="AK561" s="106"/>
      <c r="AL561" s="106"/>
      <c r="AM561" s="106"/>
      <c r="AN561" s="106"/>
      <c r="AO561" s="106"/>
      <c r="AP561" s="106"/>
      <c r="AQ561" s="106"/>
      <c r="AR561" s="106"/>
      <c r="AS561" s="106"/>
      <c r="AT561" s="106"/>
      <c r="AU561" s="106"/>
      <c r="AV561" s="106"/>
      <c r="AW561" s="106"/>
      <c r="AX561" s="106"/>
      <c r="AY561" s="106"/>
      <c r="AZ561" s="106"/>
      <c r="BA561" s="106"/>
      <c r="BB561" s="106"/>
      <c r="BC561" s="106"/>
      <c r="BD561" s="106"/>
      <c r="BE561" s="106"/>
      <c r="BF561" s="106"/>
      <c r="BG561" s="106"/>
      <c r="BH561" s="106"/>
      <c r="BI561" s="106"/>
      <c r="BJ561" s="106"/>
      <c r="BK561" s="106"/>
      <c r="BL561" s="106"/>
      <c r="BM561" s="106"/>
      <c r="BN561" s="106"/>
      <c r="BO561" s="106"/>
      <c r="BP561" s="106"/>
    </row>
    <row r="562" spans="1:68" s="105" customFormat="1">
      <c r="B562" s="168" t="s">
        <v>167</v>
      </c>
      <c r="C562" s="168"/>
      <c r="D562" s="169"/>
      <c r="E562" s="169"/>
      <c r="F562" s="170"/>
      <c r="G562" s="169"/>
      <c r="H562" s="169"/>
      <c r="I562" s="170"/>
      <c r="J562" s="169"/>
      <c r="K562" s="169"/>
      <c r="L562" s="170"/>
      <c r="M562" s="169"/>
      <c r="N562" s="169"/>
      <c r="O562" s="161"/>
      <c r="P562" s="154">
        <f t="shared" si="12"/>
        <v>0</v>
      </c>
      <c r="Q562" s="154">
        <f t="shared" si="12"/>
        <v>0</v>
      </c>
      <c r="R562" s="106"/>
      <c r="S562" s="106"/>
      <c r="T562" s="106"/>
      <c r="U562" s="106"/>
      <c r="V562" s="106"/>
      <c r="W562" s="106"/>
      <c r="X562" s="106"/>
      <c r="Y562" s="106"/>
      <c r="Z562" s="106"/>
      <c r="AA562" s="106"/>
      <c r="AB562" s="106"/>
      <c r="AC562" s="106"/>
      <c r="AD562" s="106"/>
      <c r="AE562" s="106"/>
      <c r="AF562" s="106"/>
      <c r="AG562" s="106"/>
      <c r="AH562" s="106"/>
      <c r="AI562" s="106"/>
      <c r="AJ562" s="106"/>
      <c r="AK562" s="106"/>
      <c r="AL562" s="106"/>
      <c r="AM562" s="106"/>
      <c r="AN562" s="106"/>
      <c r="AO562" s="106"/>
      <c r="AP562" s="106"/>
      <c r="AQ562" s="106"/>
      <c r="AR562" s="106"/>
      <c r="AS562" s="106"/>
      <c r="AT562" s="106"/>
      <c r="AU562" s="106"/>
      <c r="AV562" s="106"/>
      <c r="AW562" s="106"/>
      <c r="AX562" s="106"/>
      <c r="AY562" s="106"/>
      <c r="AZ562" s="106"/>
      <c r="BA562" s="106"/>
      <c r="BB562" s="106"/>
      <c r="BC562" s="106"/>
      <c r="BD562" s="106"/>
      <c r="BE562" s="106"/>
      <c r="BF562" s="106"/>
      <c r="BG562" s="106"/>
      <c r="BH562" s="106"/>
      <c r="BI562" s="106"/>
      <c r="BJ562" s="106"/>
      <c r="BK562" s="106"/>
      <c r="BL562" s="106"/>
      <c r="BM562" s="106"/>
      <c r="BN562" s="106"/>
      <c r="BO562" s="106"/>
      <c r="BP562" s="106"/>
    </row>
    <row r="563" spans="1:68" s="105" customFormat="1">
      <c r="A563" s="167"/>
      <c r="B563" s="172" t="s">
        <v>182</v>
      </c>
      <c r="C563" s="173"/>
      <c r="D563" s="174">
        <f>SUM(D561:D562)</f>
        <v>0</v>
      </c>
      <c r="E563" s="174">
        <f>SUM(E561:E562)</f>
        <v>0</v>
      </c>
      <c r="F563" s="176"/>
      <c r="G563" s="174">
        <f>SUM(G561:G562)</f>
        <v>0</v>
      </c>
      <c r="H563" s="174">
        <f>SUM(H561:H562)</f>
        <v>0</v>
      </c>
      <c r="I563" s="176"/>
      <c r="J563" s="174">
        <f>SUM(J561:J562)</f>
        <v>0</v>
      </c>
      <c r="K563" s="174">
        <f>SUM(K561:K562)</f>
        <v>0</v>
      </c>
      <c r="L563" s="176"/>
      <c r="M563" s="174">
        <f>SUM(M561:M562)</f>
        <v>0</v>
      </c>
      <c r="N563" s="174">
        <f>SUM(N561:N562)</f>
        <v>0</v>
      </c>
      <c r="O563" s="161"/>
      <c r="P563" s="134">
        <f t="shared" si="12"/>
        <v>0</v>
      </c>
      <c r="Q563" s="134">
        <f t="shared" si="12"/>
        <v>0</v>
      </c>
      <c r="R563" s="106"/>
      <c r="S563" s="106"/>
      <c r="T563" s="106"/>
      <c r="U563" s="106"/>
      <c r="V563" s="106"/>
      <c r="W563" s="106"/>
      <c r="X563" s="106"/>
      <c r="Y563" s="106"/>
      <c r="Z563" s="106"/>
      <c r="AA563" s="106"/>
      <c r="AB563" s="106"/>
      <c r="AC563" s="106"/>
      <c r="AD563" s="106"/>
      <c r="AE563" s="106"/>
      <c r="AF563" s="106"/>
      <c r="AG563" s="106"/>
      <c r="AH563" s="106"/>
      <c r="AI563" s="106"/>
      <c r="AJ563" s="106"/>
      <c r="AK563" s="106"/>
      <c r="AL563" s="106"/>
      <c r="AM563" s="106"/>
      <c r="AN563" s="106"/>
      <c r="AO563" s="106"/>
      <c r="AP563" s="106"/>
      <c r="AQ563" s="106"/>
      <c r="AR563" s="106"/>
      <c r="AS563" s="106"/>
      <c r="AT563" s="106"/>
      <c r="AU563" s="106"/>
      <c r="AV563" s="106"/>
      <c r="AW563" s="106"/>
      <c r="AX563" s="106"/>
      <c r="AY563" s="106"/>
      <c r="AZ563" s="106"/>
      <c r="BA563" s="106"/>
      <c r="BB563" s="106"/>
      <c r="BC563" s="106"/>
      <c r="BD563" s="106"/>
      <c r="BE563" s="106"/>
      <c r="BF563" s="106"/>
      <c r="BG563" s="106"/>
      <c r="BH563" s="106"/>
      <c r="BI563" s="106"/>
      <c r="BJ563" s="106"/>
      <c r="BK563" s="106"/>
      <c r="BL563" s="106"/>
      <c r="BM563" s="106"/>
      <c r="BN563" s="106"/>
      <c r="BO563" s="106"/>
      <c r="BP563" s="106"/>
    </row>
    <row r="564" spans="1:68" s="105" customFormat="1" ht="15" thickBot="1">
      <c r="C564" s="163"/>
      <c r="D564" s="163"/>
      <c r="E564" s="163"/>
      <c r="F564" s="163"/>
      <c r="G564" s="163"/>
      <c r="H564" s="163"/>
      <c r="I564" s="163"/>
      <c r="J564" s="163"/>
      <c r="K564" s="163"/>
      <c r="L564" s="163"/>
      <c r="M564" s="163"/>
      <c r="N564" s="163"/>
      <c r="R564" s="106"/>
      <c r="S564" s="106"/>
      <c r="T564" s="106"/>
      <c r="U564" s="106"/>
      <c r="V564" s="106"/>
      <c r="W564" s="106"/>
      <c r="X564" s="106"/>
      <c r="Y564" s="106"/>
      <c r="Z564" s="106"/>
      <c r="AA564" s="106"/>
      <c r="AB564" s="106"/>
      <c r="AC564" s="106"/>
      <c r="AD564" s="106"/>
      <c r="AE564" s="106"/>
      <c r="AF564" s="106"/>
      <c r="AG564" s="106"/>
      <c r="AH564" s="106"/>
      <c r="AI564" s="106"/>
      <c r="AJ564" s="106"/>
      <c r="AK564" s="106"/>
      <c r="AL564" s="106"/>
      <c r="AM564" s="106"/>
      <c r="AN564" s="106"/>
      <c r="AO564" s="106"/>
      <c r="AP564" s="106"/>
      <c r="AQ564" s="106"/>
      <c r="AR564" s="106"/>
      <c r="AS564" s="106"/>
      <c r="AT564" s="106"/>
      <c r="AU564" s="106"/>
      <c r="AV564" s="106"/>
      <c r="AW564" s="106"/>
      <c r="AX564" s="106"/>
      <c r="AY564" s="106"/>
      <c r="AZ564" s="106"/>
      <c r="BA564" s="106"/>
      <c r="BB564" s="106"/>
      <c r="BC564" s="106"/>
      <c r="BD564" s="106"/>
      <c r="BE564" s="106"/>
      <c r="BF564" s="106"/>
      <c r="BG564" s="106"/>
      <c r="BH564" s="106"/>
      <c r="BI564" s="106"/>
      <c r="BJ564" s="106"/>
      <c r="BK564" s="106"/>
      <c r="BL564" s="106"/>
      <c r="BM564" s="106"/>
      <c r="BN564" s="106"/>
      <c r="BO564" s="106"/>
      <c r="BP564" s="106"/>
    </row>
    <row r="565" spans="1:68" s="105" customFormat="1" ht="15" thickBot="1">
      <c r="A565" s="160"/>
      <c r="B565" s="164" t="s">
        <v>183</v>
      </c>
      <c r="C565" s="165"/>
      <c r="D565" s="166"/>
      <c r="E565" s="166"/>
      <c r="F565" s="166"/>
      <c r="G565" s="166"/>
      <c r="H565" s="166"/>
      <c r="I565" s="166"/>
      <c r="J565" s="166"/>
      <c r="K565" s="166"/>
      <c r="L565" s="166"/>
      <c r="M565" s="166"/>
      <c r="N565" s="166"/>
      <c r="O565" s="161"/>
      <c r="R565" s="106"/>
      <c r="S565" s="106"/>
      <c r="T565" s="106"/>
      <c r="U565" s="106"/>
      <c r="V565" s="106"/>
      <c r="W565" s="106"/>
      <c r="X565" s="106"/>
      <c r="Y565" s="106"/>
      <c r="Z565" s="106"/>
      <c r="AA565" s="106"/>
      <c r="AB565" s="106"/>
      <c r="AC565" s="106"/>
      <c r="AD565" s="106"/>
      <c r="AE565" s="106"/>
      <c r="AF565" s="106"/>
      <c r="AG565" s="106"/>
      <c r="AH565" s="106"/>
      <c r="AI565" s="106"/>
      <c r="AJ565" s="106"/>
      <c r="AK565" s="106"/>
      <c r="AL565" s="106"/>
      <c r="AM565" s="106"/>
      <c r="AN565" s="106"/>
      <c r="AO565" s="106"/>
      <c r="AP565" s="106"/>
      <c r="AQ565" s="106"/>
      <c r="AR565" s="106"/>
      <c r="AS565" s="106"/>
      <c r="AT565" s="106"/>
      <c r="AU565" s="106"/>
      <c r="AV565" s="106"/>
      <c r="AW565" s="106"/>
      <c r="AX565" s="106"/>
      <c r="AY565" s="106"/>
      <c r="AZ565" s="106"/>
      <c r="BA565" s="106"/>
      <c r="BB565" s="106"/>
      <c r="BC565" s="106"/>
      <c r="BD565" s="106"/>
      <c r="BE565" s="106"/>
      <c r="BF565" s="106"/>
      <c r="BG565" s="106"/>
      <c r="BH565" s="106"/>
      <c r="BI565" s="106"/>
      <c r="BJ565" s="106"/>
      <c r="BK565" s="106"/>
      <c r="BL565" s="106"/>
      <c r="BM565" s="106"/>
      <c r="BN565" s="106"/>
      <c r="BO565" s="106"/>
      <c r="BP565" s="106"/>
    </row>
    <row r="566" spans="1:68" s="105" customFormat="1">
      <c r="B566" s="168" t="s">
        <v>184</v>
      </c>
      <c r="C566" s="168" t="s">
        <v>165</v>
      </c>
      <c r="D566" s="169">
        <f>+D48+D120</f>
        <v>14.683</v>
      </c>
      <c r="E566" s="169">
        <f>+E48+H48+K48+N48+E120+H120+K120+N120</f>
        <v>341266.31599999999</v>
      </c>
      <c r="F566" s="170"/>
      <c r="G566" s="169">
        <f>+D196+D269</f>
        <v>0</v>
      </c>
      <c r="H566" s="169">
        <f>+E196+H196+K196+N196+E269+H269+K269+N269</f>
        <v>0</v>
      </c>
      <c r="I566" s="170"/>
      <c r="J566" s="169"/>
      <c r="K566" s="169"/>
      <c r="L566" s="170"/>
      <c r="M566" s="169"/>
      <c r="N566" s="169"/>
      <c r="O566" s="161"/>
      <c r="P566" s="154">
        <f t="shared" ref="P566:Q571" si="13">+D566+G566+J566+M566</f>
        <v>14.683</v>
      </c>
      <c r="Q566" s="154">
        <f t="shared" si="13"/>
        <v>341266.31599999999</v>
      </c>
      <c r="R566" s="106"/>
      <c r="S566" s="106"/>
      <c r="T566" s="106"/>
      <c r="U566" s="106"/>
      <c r="V566" s="106"/>
      <c r="W566" s="106"/>
      <c r="X566" s="106"/>
      <c r="Y566" s="106"/>
      <c r="Z566" s="106"/>
      <c r="AA566" s="106"/>
      <c r="AB566" s="106"/>
      <c r="AC566" s="106"/>
      <c r="AD566" s="106"/>
      <c r="AE566" s="106"/>
      <c r="AF566" s="106"/>
      <c r="AG566" s="106"/>
      <c r="AH566" s="106"/>
      <c r="AI566" s="106"/>
      <c r="AJ566" s="106"/>
      <c r="AK566" s="106"/>
      <c r="AL566" s="106"/>
      <c r="AM566" s="106"/>
      <c r="AN566" s="106"/>
      <c r="AO566" s="106"/>
      <c r="AP566" s="106"/>
      <c r="AQ566" s="106"/>
      <c r="AR566" s="106"/>
      <c r="AS566" s="106"/>
      <c r="AT566" s="106"/>
      <c r="AU566" s="106"/>
      <c r="AV566" s="106"/>
      <c r="AW566" s="106"/>
      <c r="AX566" s="106"/>
      <c r="AY566" s="106"/>
      <c r="AZ566" s="106"/>
      <c r="BA566" s="106"/>
      <c r="BB566" s="106"/>
      <c r="BC566" s="106"/>
      <c r="BD566" s="106"/>
      <c r="BE566" s="106"/>
      <c r="BF566" s="106"/>
      <c r="BG566" s="106"/>
      <c r="BH566" s="106"/>
      <c r="BI566" s="106"/>
      <c r="BJ566" s="106"/>
      <c r="BK566" s="106"/>
      <c r="BL566" s="106"/>
      <c r="BM566" s="106"/>
      <c r="BN566" s="106"/>
      <c r="BO566" s="106"/>
      <c r="BP566" s="106"/>
    </row>
    <row r="567" spans="1:68" s="105" customFormat="1">
      <c r="B567" s="168" t="s">
        <v>103</v>
      </c>
      <c r="C567" s="168" t="s">
        <v>165</v>
      </c>
      <c r="D567" s="169">
        <f>+D49+D121</f>
        <v>0.53100000000000003</v>
      </c>
      <c r="E567" s="169">
        <f>+E49+H49+K49+N49+E121+H121+K121+N121</f>
        <v>10906.252</v>
      </c>
      <c r="F567" s="170"/>
      <c r="G567" s="169">
        <f>+D197+D270</f>
        <v>38.786999999999999</v>
      </c>
      <c r="H567" s="169">
        <f>+E197+H197+K197+N197+E270+H270+K270+N270</f>
        <v>105843.402</v>
      </c>
      <c r="I567" s="170"/>
      <c r="J567" s="169"/>
      <c r="K567" s="169"/>
      <c r="L567" s="170"/>
      <c r="M567" s="169"/>
      <c r="N567" s="169"/>
      <c r="O567" s="161"/>
      <c r="P567" s="154">
        <f t="shared" si="13"/>
        <v>39.317999999999998</v>
      </c>
      <c r="Q567" s="154">
        <f t="shared" si="13"/>
        <v>116749.65400000001</v>
      </c>
      <c r="R567" s="106"/>
      <c r="S567" s="106"/>
      <c r="T567" s="106"/>
      <c r="U567" s="106"/>
      <c r="V567" s="106"/>
      <c r="W567" s="106"/>
      <c r="X567" s="106"/>
      <c r="Y567" s="106"/>
      <c r="Z567" s="106"/>
      <c r="AA567" s="106"/>
      <c r="AB567" s="106"/>
      <c r="AC567" s="106"/>
      <c r="AD567" s="106"/>
      <c r="AE567" s="106"/>
      <c r="AF567" s="106"/>
      <c r="AG567" s="106"/>
      <c r="AH567" s="106"/>
      <c r="AI567" s="106"/>
      <c r="AJ567" s="106"/>
      <c r="AK567" s="106"/>
      <c r="AL567" s="106"/>
      <c r="AM567" s="106"/>
      <c r="AN567" s="106"/>
      <c r="AO567" s="106"/>
      <c r="AP567" s="106"/>
      <c r="AQ567" s="106"/>
      <c r="AR567" s="106"/>
      <c r="AS567" s="106"/>
      <c r="AT567" s="106"/>
      <c r="AU567" s="106"/>
      <c r="AV567" s="106"/>
      <c r="AW567" s="106"/>
      <c r="AX567" s="106"/>
      <c r="AY567" s="106"/>
      <c r="AZ567" s="106"/>
      <c r="BA567" s="106"/>
      <c r="BB567" s="106"/>
      <c r="BC567" s="106"/>
      <c r="BD567" s="106"/>
      <c r="BE567" s="106"/>
      <c r="BF567" s="106"/>
      <c r="BG567" s="106"/>
      <c r="BH567" s="106"/>
      <c r="BI567" s="106"/>
      <c r="BJ567" s="106"/>
      <c r="BK567" s="106"/>
      <c r="BL567" s="106"/>
      <c r="BM567" s="106"/>
      <c r="BN567" s="106"/>
      <c r="BO567" s="106"/>
      <c r="BP567" s="106"/>
    </row>
    <row r="568" spans="1:68" s="105" customFormat="1">
      <c r="B568" s="168" t="s">
        <v>185</v>
      </c>
      <c r="C568" s="168"/>
      <c r="D568" s="169"/>
      <c r="E568" s="169"/>
      <c r="F568" s="170"/>
      <c r="G568" s="169"/>
      <c r="H568" s="169"/>
      <c r="I568" s="170"/>
      <c r="J568" s="169"/>
      <c r="K568" s="169"/>
      <c r="L568" s="170"/>
      <c r="M568" s="169"/>
      <c r="N568" s="169"/>
      <c r="O568" s="161"/>
      <c r="P568" s="154">
        <f t="shared" si="13"/>
        <v>0</v>
      </c>
      <c r="Q568" s="154">
        <f t="shared" si="13"/>
        <v>0</v>
      </c>
      <c r="R568" s="106"/>
      <c r="S568" s="106"/>
      <c r="T568" s="106"/>
      <c r="U568" s="106"/>
      <c r="V568" s="106"/>
      <c r="W568" s="106"/>
      <c r="X568" s="106"/>
      <c r="Y568" s="106"/>
      <c r="Z568" s="106"/>
      <c r="AA568" s="106"/>
      <c r="AB568" s="106"/>
      <c r="AC568" s="106"/>
      <c r="AD568" s="106"/>
      <c r="AE568" s="106"/>
      <c r="AF568" s="106"/>
      <c r="AG568" s="106"/>
      <c r="AH568" s="106"/>
      <c r="AI568" s="106"/>
      <c r="AJ568" s="106"/>
      <c r="AK568" s="106"/>
      <c r="AL568" s="106"/>
      <c r="AM568" s="106"/>
      <c r="AN568" s="106"/>
      <c r="AO568" s="106"/>
      <c r="AP568" s="106"/>
      <c r="AQ568" s="106"/>
      <c r="AR568" s="106"/>
      <c r="AS568" s="106"/>
      <c r="AT568" s="106"/>
      <c r="AU568" s="106"/>
      <c r="AV568" s="106"/>
      <c r="AW568" s="106"/>
      <c r="AX568" s="106"/>
      <c r="AY568" s="106"/>
      <c r="AZ568" s="106"/>
      <c r="BA568" s="106"/>
      <c r="BB568" s="106"/>
      <c r="BC568" s="106"/>
      <c r="BD568" s="106"/>
      <c r="BE568" s="106"/>
      <c r="BF568" s="106"/>
      <c r="BG568" s="106"/>
      <c r="BH568" s="106"/>
      <c r="BI568" s="106"/>
      <c r="BJ568" s="106"/>
      <c r="BK568" s="106"/>
      <c r="BL568" s="106"/>
      <c r="BM568" s="106"/>
      <c r="BN568" s="106"/>
      <c r="BO568" s="106"/>
      <c r="BP568" s="106"/>
    </row>
    <row r="569" spans="1:68" s="105" customFormat="1">
      <c r="B569" s="168" t="s">
        <v>186</v>
      </c>
      <c r="C569" s="168"/>
      <c r="D569" s="169"/>
      <c r="E569" s="169"/>
      <c r="F569" s="170"/>
      <c r="G569" s="169"/>
      <c r="H569" s="169"/>
      <c r="I569" s="170"/>
      <c r="J569" s="169"/>
      <c r="K569" s="169"/>
      <c r="L569" s="170"/>
      <c r="M569" s="169"/>
      <c r="N569" s="169"/>
      <c r="O569" s="161"/>
      <c r="P569" s="154">
        <f t="shared" si="13"/>
        <v>0</v>
      </c>
      <c r="Q569" s="154">
        <f t="shared" si="13"/>
        <v>0</v>
      </c>
      <c r="R569" s="106"/>
      <c r="S569" s="106"/>
      <c r="T569" s="106"/>
      <c r="U569" s="106"/>
      <c r="V569" s="106"/>
      <c r="W569" s="106"/>
      <c r="X569" s="106"/>
      <c r="Y569" s="106"/>
      <c r="Z569" s="106"/>
      <c r="AA569" s="106"/>
      <c r="AB569" s="106"/>
      <c r="AC569" s="106"/>
      <c r="AD569" s="106"/>
      <c r="AE569" s="106"/>
      <c r="AF569" s="106"/>
      <c r="AG569" s="106"/>
      <c r="AH569" s="106"/>
      <c r="AI569" s="106"/>
      <c r="AJ569" s="106"/>
      <c r="AK569" s="106"/>
      <c r="AL569" s="106"/>
      <c r="AM569" s="106"/>
      <c r="AN569" s="106"/>
      <c r="AO569" s="106"/>
      <c r="AP569" s="106"/>
      <c r="AQ569" s="106"/>
      <c r="AR569" s="106"/>
      <c r="AS569" s="106"/>
      <c r="AT569" s="106"/>
      <c r="AU569" s="106"/>
      <c r="AV569" s="106"/>
      <c r="AW569" s="106"/>
      <c r="AX569" s="106"/>
      <c r="AY569" s="106"/>
      <c r="AZ569" s="106"/>
      <c r="BA569" s="106"/>
      <c r="BB569" s="106"/>
      <c r="BC569" s="106"/>
      <c r="BD569" s="106"/>
      <c r="BE569" s="106"/>
      <c r="BF569" s="106"/>
      <c r="BG569" s="106"/>
      <c r="BH569" s="106"/>
      <c r="BI569" s="106"/>
      <c r="BJ569" s="106"/>
      <c r="BK569" s="106"/>
      <c r="BL569" s="106"/>
      <c r="BM569" s="106"/>
      <c r="BN569" s="106"/>
      <c r="BO569" s="106"/>
      <c r="BP569" s="106"/>
    </row>
    <row r="570" spans="1:68" s="105" customFormat="1">
      <c r="B570" s="168" t="s">
        <v>187</v>
      </c>
      <c r="C570" s="168"/>
      <c r="D570" s="169"/>
      <c r="E570" s="169"/>
      <c r="F570" s="170"/>
      <c r="G570" s="169"/>
      <c r="H570" s="169"/>
      <c r="I570" s="170"/>
      <c r="J570" s="169"/>
      <c r="K570" s="169"/>
      <c r="L570" s="170"/>
      <c r="M570" s="169"/>
      <c r="N570" s="169"/>
      <c r="O570" s="161"/>
      <c r="P570" s="154">
        <f t="shared" si="13"/>
        <v>0</v>
      </c>
      <c r="Q570" s="154">
        <f t="shared" si="13"/>
        <v>0</v>
      </c>
      <c r="R570" s="106"/>
      <c r="S570" s="106"/>
      <c r="T570" s="106"/>
      <c r="U570" s="106"/>
      <c r="V570" s="106"/>
      <c r="W570" s="106"/>
      <c r="X570" s="106"/>
      <c r="Y570" s="106"/>
      <c r="Z570" s="106"/>
      <c r="AA570" s="106"/>
      <c r="AB570" s="106"/>
      <c r="AC570" s="106"/>
      <c r="AD570" s="106"/>
      <c r="AE570" s="106"/>
      <c r="AF570" s="106"/>
      <c r="AG570" s="106"/>
      <c r="AH570" s="106"/>
      <c r="AI570" s="106"/>
      <c r="AJ570" s="106"/>
      <c r="AK570" s="106"/>
      <c r="AL570" s="106"/>
      <c r="AM570" s="106"/>
      <c r="AN570" s="106"/>
      <c r="AO570" s="106"/>
      <c r="AP570" s="106"/>
      <c r="AQ570" s="106"/>
      <c r="AR570" s="106"/>
      <c r="AS570" s="106"/>
      <c r="AT570" s="106"/>
      <c r="AU570" s="106"/>
      <c r="AV570" s="106"/>
      <c r="AW570" s="106"/>
      <c r="AX570" s="106"/>
      <c r="AY570" s="106"/>
      <c r="AZ570" s="106"/>
      <c r="BA570" s="106"/>
      <c r="BB570" s="106"/>
      <c r="BC570" s="106"/>
      <c r="BD570" s="106"/>
      <c r="BE570" s="106"/>
      <c r="BF570" s="106"/>
      <c r="BG570" s="106"/>
      <c r="BH570" s="106"/>
      <c r="BI570" s="106"/>
      <c r="BJ570" s="106"/>
      <c r="BK570" s="106"/>
      <c r="BL570" s="106"/>
      <c r="BM570" s="106"/>
      <c r="BN570" s="106"/>
      <c r="BO570" s="106"/>
      <c r="BP570" s="106"/>
    </row>
    <row r="571" spans="1:68" s="105" customFormat="1">
      <c r="A571" s="167"/>
      <c r="B571" s="172" t="s">
        <v>188</v>
      </c>
      <c r="C571" s="173"/>
      <c r="D571" s="174">
        <f>SUM(D566:D570)</f>
        <v>15.214</v>
      </c>
      <c r="E571" s="174">
        <f>SUM(E566:E570)</f>
        <v>352172.56799999997</v>
      </c>
      <c r="F571" s="176"/>
      <c r="G571" s="174">
        <f>SUM(G566:G570)</f>
        <v>38.786999999999999</v>
      </c>
      <c r="H571" s="174">
        <f>SUM(H566:H570)</f>
        <v>105843.402</v>
      </c>
      <c r="I571" s="176"/>
      <c r="J571" s="174">
        <f>SUM(J566:J570)</f>
        <v>0</v>
      </c>
      <c r="K571" s="174">
        <f>SUM(K566:K570)</f>
        <v>0</v>
      </c>
      <c r="L571" s="176"/>
      <c r="M571" s="174">
        <f>SUM(M566:M570)</f>
        <v>0</v>
      </c>
      <c r="N571" s="174">
        <f>SUM(N566:N570)</f>
        <v>0</v>
      </c>
      <c r="O571" s="161"/>
      <c r="P571" s="134">
        <f t="shared" si="13"/>
        <v>54.000999999999998</v>
      </c>
      <c r="Q571" s="134">
        <f t="shared" si="13"/>
        <v>458015.97</v>
      </c>
      <c r="R571" s="106"/>
      <c r="S571" s="106"/>
      <c r="T571" s="106"/>
      <c r="U571" s="106"/>
      <c r="V571" s="106"/>
      <c r="W571" s="106"/>
      <c r="X571" s="106"/>
      <c r="Y571" s="106"/>
      <c r="Z571" s="106"/>
      <c r="AA571" s="106"/>
      <c r="AB571" s="106"/>
      <c r="AC571" s="106"/>
      <c r="AD571" s="106"/>
      <c r="AE571" s="106"/>
      <c r="AF571" s="106"/>
      <c r="AG571" s="106"/>
      <c r="AH571" s="106"/>
      <c r="AI571" s="106"/>
      <c r="AJ571" s="106"/>
      <c r="AK571" s="106"/>
      <c r="AL571" s="106"/>
      <c r="AM571" s="106"/>
      <c r="AN571" s="106"/>
      <c r="AO571" s="106"/>
      <c r="AP571" s="106"/>
      <c r="AQ571" s="106"/>
      <c r="AR571" s="106"/>
      <c r="AS571" s="106"/>
      <c r="AT571" s="106"/>
      <c r="AU571" s="106"/>
      <c r="AV571" s="106"/>
      <c r="AW571" s="106"/>
      <c r="AX571" s="106"/>
      <c r="AY571" s="106"/>
      <c r="AZ571" s="106"/>
      <c r="BA571" s="106"/>
      <c r="BB571" s="106"/>
      <c r="BC571" s="106"/>
      <c r="BD571" s="106"/>
      <c r="BE571" s="106"/>
      <c r="BF571" s="106"/>
      <c r="BG571" s="106"/>
      <c r="BH571" s="106"/>
      <c r="BI571" s="106"/>
      <c r="BJ571" s="106"/>
      <c r="BK571" s="106"/>
      <c r="BL571" s="106"/>
      <c r="BM571" s="106"/>
      <c r="BN571" s="106"/>
      <c r="BO571" s="106"/>
      <c r="BP571" s="106"/>
    </row>
    <row r="572" spans="1:68" s="105" customFormat="1" ht="15" thickBot="1">
      <c r="C572" s="163"/>
      <c r="D572" s="163"/>
      <c r="E572" s="163"/>
      <c r="F572" s="163"/>
      <c r="G572" s="163"/>
      <c r="H572" s="163"/>
      <c r="I572" s="163"/>
      <c r="J572" s="163"/>
      <c r="K572" s="163"/>
      <c r="L572" s="163"/>
      <c r="M572" s="163"/>
      <c r="N572" s="163"/>
      <c r="P572" s="144"/>
      <c r="R572" s="106"/>
      <c r="S572" s="106"/>
      <c r="T572" s="106"/>
      <c r="U572" s="106"/>
      <c r="V572" s="106"/>
      <c r="W572" s="106"/>
      <c r="X572" s="106"/>
      <c r="Y572" s="106"/>
      <c r="Z572" s="106"/>
      <c r="AA572" s="106"/>
      <c r="AB572" s="106"/>
      <c r="AC572" s="106"/>
      <c r="AD572" s="106"/>
      <c r="AE572" s="106"/>
      <c r="AF572" s="106"/>
      <c r="AG572" s="106"/>
      <c r="AH572" s="106"/>
      <c r="AI572" s="106"/>
      <c r="AJ572" s="106"/>
      <c r="AK572" s="106"/>
      <c r="AL572" s="106"/>
      <c r="AM572" s="106"/>
      <c r="AN572" s="106"/>
      <c r="AO572" s="106"/>
      <c r="AP572" s="106"/>
      <c r="AQ572" s="106"/>
      <c r="AR572" s="106"/>
      <c r="AS572" s="106"/>
      <c r="AT572" s="106"/>
      <c r="AU572" s="106"/>
      <c r="AV572" s="106"/>
      <c r="AW572" s="106"/>
      <c r="AX572" s="106"/>
      <c r="AY572" s="106"/>
      <c r="AZ572" s="106"/>
      <c r="BA572" s="106"/>
      <c r="BB572" s="106"/>
      <c r="BC572" s="106"/>
      <c r="BD572" s="106"/>
      <c r="BE572" s="106"/>
      <c r="BF572" s="106"/>
      <c r="BG572" s="106"/>
      <c r="BH572" s="106"/>
      <c r="BI572" s="106"/>
      <c r="BJ572" s="106"/>
      <c r="BK572" s="106"/>
      <c r="BL572" s="106"/>
      <c r="BM572" s="106"/>
      <c r="BN572" s="106"/>
      <c r="BO572" s="106"/>
      <c r="BP572" s="106"/>
    </row>
    <row r="573" spans="1:68" s="105" customFormat="1" ht="15" thickBot="1">
      <c r="A573" s="160"/>
      <c r="B573" s="164" t="s">
        <v>189</v>
      </c>
      <c r="C573" s="165"/>
      <c r="D573" s="166"/>
      <c r="E573" s="166"/>
      <c r="F573" s="166"/>
      <c r="G573" s="166"/>
      <c r="H573" s="166"/>
      <c r="I573" s="166"/>
      <c r="J573" s="166"/>
      <c r="K573" s="166"/>
      <c r="L573" s="166"/>
      <c r="M573" s="166"/>
      <c r="N573" s="166"/>
      <c r="O573" s="161"/>
      <c r="R573" s="106"/>
      <c r="S573" s="106"/>
      <c r="T573" s="106"/>
      <c r="U573" s="106"/>
      <c r="V573" s="106"/>
      <c r="W573" s="106"/>
      <c r="X573" s="106"/>
      <c r="Y573" s="106"/>
      <c r="Z573" s="106"/>
      <c r="AA573" s="106"/>
      <c r="AB573" s="106"/>
      <c r="AC573" s="106"/>
      <c r="AD573" s="106"/>
      <c r="AE573" s="106"/>
      <c r="AF573" s="106"/>
      <c r="AG573" s="106"/>
      <c r="AH573" s="106"/>
      <c r="AI573" s="106"/>
      <c r="AJ573" s="106"/>
      <c r="AK573" s="106"/>
      <c r="AL573" s="106"/>
      <c r="AM573" s="106"/>
      <c r="AN573" s="106"/>
      <c r="AO573" s="106"/>
      <c r="AP573" s="106"/>
      <c r="AQ573" s="106"/>
      <c r="AR573" s="106"/>
      <c r="AS573" s="106"/>
      <c r="AT573" s="106"/>
      <c r="AU573" s="106"/>
      <c r="AV573" s="106"/>
      <c r="AW573" s="106"/>
      <c r="AX573" s="106"/>
      <c r="AY573" s="106"/>
      <c r="AZ573" s="106"/>
      <c r="BA573" s="106"/>
      <c r="BB573" s="106"/>
      <c r="BC573" s="106"/>
      <c r="BD573" s="106"/>
      <c r="BE573" s="106"/>
      <c r="BF573" s="106"/>
      <c r="BG573" s="106"/>
      <c r="BH573" s="106"/>
      <c r="BI573" s="106"/>
      <c r="BJ573" s="106"/>
      <c r="BK573" s="106"/>
      <c r="BL573" s="106"/>
      <c r="BM573" s="106"/>
      <c r="BN573" s="106"/>
      <c r="BO573" s="106"/>
      <c r="BP573" s="106"/>
    </row>
    <row r="574" spans="1:68" s="105" customFormat="1">
      <c r="B574" s="168" t="s">
        <v>190</v>
      </c>
      <c r="C574" s="168" t="s">
        <v>165</v>
      </c>
      <c r="D574" s="169"/>
      <c r="E574" s="169"/>
      <c r="F574" s="170"/>
      <c r="G574" s="169">
        <f>+D204+D277</f>
        <v>54.521999999999998</v>
      </c>
      <c r="H574" s="169">
        <f>+E204+H204+K204+N204+E277+H277+K277+N277</f>
        <v>142934.51999999999</v>
      </c>
      <c r="I574" s="170"/>
      <c r="J574" s="169">
        <f>+D354+D427</f>
        <v>152.761</v>
      </c>
      <c r="K574" s="169">
        <f>+E354+H354+K354+N354+E427+H427+K427+N427</f>
        <v>2641903.84</v>
      </c>
      <c r="L574" s="170"/>
      <c r="M574" s="169"/>
      <c r="N574" s="169">
        <f>+E503</f>
        <v>1629539</v>
      </c>
      <c r="P574" s="154">
        <f t="shared" ref="P574:Q577" si="14">+D574+G574+J574+M574</f>
        <v>207.28299999999999</v>
      </c>
      <c r="Q574" s="154">
        <f t="shared" si="14"/>
        <v>4414377.3599999994</v>
      </c>
      <c r="R574" s="106"/>
      <c r="S574" s="106"/>
      <c r="T574" s="106"/>
      <c r="U574" s="106"/>
      <c r="V574" s="106"/>
      <c r="W574" s="106"/>
      <c r="X574" s="106"/>
      <c r="Y574" s="106"/>
      <c r="Z574" s="106"/>
      <c r="AA574" s="106"/>
      <c r="AB574" s="106"/>
      <c r="AC574" s="106"/>
      <c r="AD574" s="106"/>
      <c r="AE574" s="106"/>
      <c r="AF574" s="106"/>
      <c r="AG574" s="106"/>
      <c r="AH574" s="106"/>
      <c r="AI574" s="106"/>
      <c r="AJ574" s="106"/>
      <c r="AK574" s="106"/>
      <c r="AL574" s="106"/>
      <c r="AM574" s="106"/>
      <c r="AN574" s="106"/>
      <c r="AO574" s="106"/>
      <c r="AP574" s="106"/>
      <c r="AQ574" s="106"/>
      <c r="AR574" s="106"/>
      <c r="AS574" s="106"/>
      <c r="AT574" s="106"/>
      <c r="AU574" s="106"/>
      <c r="AV574" s="106"/>
      <c r="AW574" s="106"/>
      <c r="AX574" s="106"/>
      <c r="AY574" s="106"/>
      <c r="AZ574" s="106"/>
      <c r="BA574" s="106"/>
      <c r="BB574" s="106"/>
      <c r="BC574" s="106"/>
      <c r="BD574" s="106"/>
      <c r="BE574" s="106"/>
      <c r="BF574" s="106"/>
      <c r="BG574" s="106"/>
      <c r="BH574" s="106"/>
      <c r="BI574" s="106"/>
      <c r="BJ574" s="106"/>
      <c r="BK574" s="106"/>
      <c r="BL574" s="106"/>
      <c r="BM574" s="106"/>
      <c r="BN574" s="106"/>
      <c r="BO574" s="106"/>
      <c r="BP574" s="106"/>
    </row>
    <row r="575" spans="1:68" s="105" customFormat="1">
      <c r="B575" s="168" t="s">
        <v>191</v>
      </c>
      <c r="C575" s="168" t="s">
        <v>192</v>
      </c>
      <c r="D575" s="169"/>
      <c r="E575" s="169"/>
      <c r="F575" s="170"/>
      <c r="G575" s="169"/>
      <c r="H575" s="169"/>
      <c r="I575" s="170"/>
      <c r="J575" s="169"/>
      <c r="K575" s="169"/>
      <c r="L575" s="170"/>
      <c r="M575" s="169">
        <f>+D504</f>
        <v>349.36200000000002</v>
      </c>
      <c r="N575" s="169"/>
      <c r="P575" s="154">
        <f t="shared" si="14"/>
        <v>349.36200000000002</v>
      </c>
      <c r="Q575" s="154">
        <f t="shared" si="14"/>
        <v>0</v>
      </c>
      <c r="R575" s="106"/>
      <c r="S575" s="106"/>
      <c r="T575" s="106"/>
      <c r="U575" s="106"/>
      <c r="V575" s="106"/>
      <c r="W575" s="106"/>
      <c r="X575" s="106"/>
      <c r="Y575" s="106"/>
      <c r="Z575" s="106"/>
      <c r="AA575" s="106"/>
      <c r="AB575" s="106"/>
      <c r="AC575" s="106"/>
      <c r="AD575" s="106"/>
      <c r="AE575" s="106"/>
      <c r="AF575" s="106"/>
      <c r="AG575" s="106"/>
      <c r="AH575" s="106"/>
      <c r="AI575" s="106"/>
      <c r="AJ575" s="106"/>
      <c r="AK575" s="106"/>
      <c r="AL575" s="106"/>
      <c r="AM575" s="106"/>
      <c r="AN575" s="106"/>
      <c r="AO575" s="106"/>
      <c r="AP575" s="106"/>
      <c r="AQ575" s="106"/>
      <c r="AR575" s="106"/>
      <c r="AS575" s="106"/>
      <c r="AT575" s="106"/>
      <c r="AU575" s="106"/>
      <c r="AV575" s="106"/>
      <c r="AW575" s="106"/>
      <c r="AX575" s="106"/>
      <c r="AY575" s="106"/>
      <c r="AZ575" s="106"/>
      <c r="BA575" s="106"/>
      <c r="BB575" s="106"/>
      <c r="BC575" s="106"/>
      <c r="BD575" s="106"/>
      <c r="BE575" s="106"/>
      <c r="BF575" s="106"/>
      <c r="BG575" s="106"/>
      <c r="BH575" s="106"/>
      <c r="BI575" s="106"/>
      <c r="BJ575" s="106"/>
      <c r="BK575" s="106"/>
      <c r="BL575" s="106"/>
      <c r="BM575" s="106"/>
      <c r="BN575" s="106"/>
      <c r="BO575" s="106"/>
      <c r="BP575" s="106"/>
    </row>
    <row r="576" spans="1:68" s="105" customFormat="1">
      <c r="B576" s="168" t="s">
        <v>193</v>
      </c>
      <c r="C576" s="168"/>
      <c r="D576" s="169"/>
      <c r="E576" s="169"/>
      <c r="F576" s="170"/>
      <c r="G576" s="169"/>
      <c r="H576" s="169"/>
      <c r="I576" s="170"/>
      <c r="J576" s="169"/>
      <c r="K576" s="169"/>
      <c r="L576" s="170"/>
      <c r="M576" s="169"/>
      <c r="N576" s="169"/>
      <c r="P576" s="154">
        <f t="shared" si="14"/>
        <v>0</v>
      </c>
      <c r="Q576" s="154">
        <f t="shared" si="14"/>
        <v>0</v>
      </c>
      <c r="R576" s="106"/>
      <c r="S576" s="106"/>
      <c r="T576" s="106"/>
      <c r="U576" s="106"/>
      <c r="V576" s="106"/>
      <c r="W576" s="106"/>
      <c r="X576" s="106"/>
      <c r="Y576" s="106"/>
      <c r="Z576" s="106"/>
      <c r="AA576" s="106"/>
      <c r="AB576" s="106"/>
      <c r="AC576" s="106"/>
      <c r="AD576" s="106"/>
      <c r="AE576" s="106"/>
      <c r="AF576" s="106"/>
      <c r="AG576" s="106"/>
      <c r="AH576" s="106"/>
      <c r="AI576" s="106"/>
      <c r="AJ576" s="106"/>
      <c r="AK576" s="106"/>
      <c r="AL576" s="106"/>
      <c r="AM576" s="106"/>
      <c r="AN576" s="106"/>
      <c r="AO576" s="106"/>
      <c r="AP576" s="106"/>
      <c r="AQ576" s="106"/>
      <c r="AR576" s="106"/>
      <c r="AS576" s="106"/>
      <c r="AT576" s="106"/>
      <c r="AU576" s="106"/>
      <c r="AV576" s="106"/>
      <c r="AW576" s="106"/>
      <c r="AX576" s="106"/>
      <c r="AY576" s="106"/>
      <c r="AZ576" s="106"/>
      <c r="BA576" s="106"/>
      <c r="BB576" s="106"/>
      <c r="BC576" s="106"/>
      <c r="BD576" s="106"/>
      <c r="BE576" s="106"/>
      <c r="BF576" s="106"/>
      <c r="BG576" s="106"/>
      <c r="BH576" s="106"/>
      <c r="BI576" s="106"/>
      <c r="BJ576" s="106"/>
      <c r="BK576" s="106"/>
      <c r="BL576" s="106"/>
      <c r="BM576" s="106"/>
      <c r="BN576" s="106"/>
      <c r="BO576" s="106"/>
      <c r="BP576" s="106"/>
    </row>
    <row r="577" spans="1:68" s="105" customFormat="1">
      <c r="A577" s="167"/>
      <c r="B577" s="172" t="s">
        <v>194</v>
      </c>
      <c r="C577" s="173"/>
      <c r="D577" s="174">
        <f>SUM(D574:D576)</f>
        <v>0</v>
      </c>
      <c r="E577" s="174">
        <f>SUM(E574:E576)</f>
        <v>0</v>
      </c>
      <c r="F577" s="176"/>
      <c r="G577" s="174">
        <f>SUM(G574:G576)</f>
        <v>54.521999999999998</v>
      </c>
      <c r="H577" s="174">
        <f>SUM(H574:H576)</f>
        <v>142934.51999999999</v>
      </c>
      <c r="I577" s="176"/>
      <c r="J577" s="174">
        <f>SUM(J574:J576)</f>
        <v>152.761</v>
      </c>
      <c r="K577" s="174">
        <f>SUM(K574:K576)</f>
        <v>2641903.84</v>
      </c>
      <c r="L577" s="176"/>
      <c r="M577" s="174">
        <f>SUM(M574:M576)</f>
        <v>349.36200000000002</v>
      </c>
      <c r="N577" s="174">
        <f>SUM(N574:N576)</f>
        <v>1629539</v>
      </c>
      <c r="O577" s="161"/>
      <c r="P577" s="134">
        <f t="shared" si="14"/>
        <v>556.64499999999998</v>
      </c>
      <c r="Q577" s="134">
        <f t="shared" si="14"/>
        <v>4414377.3599999994</v>
      </c>
      <c r="R577" s="106"/>
      <c r="S577" s="106"/>
      <c r="T577" s="106"/>
      <c r="U577" s="106"/>
      <c r="V577" s="106"/>
      <c r="W577" s="106"/>
      <c r="X577" s="106"/>
      <c r="Y577" s="106"/>
      <c r="Z577" s="106"/>
      <c r="AA577" s="106"/>
      <c r="AB577" s="106"/>
      <c r="AC577" s="106"/>
      <c r="AD577" s="106"/>
      <c r="AE577" s="106"/>
      <c r="AF577" s="106"/>
      <c r="AG577" s="106"/>
      <c r="AH577" s="106"/>
      <c r="AI577" s="106"/>
      <c r="AJ577" s="106"/>
      <c r="AK577" s="106"/>
      <c r="AL577" s="106"/>
      <c r="AM577" s="106"/>
      <c r="AN577" s="106"/>
      <c r="AO577" s="106"/>
      <c r="AP577" s="106"/>
      <c r="AQ577" s="106"/>
      <c r="AR577" s="106"/>
      <c r="AS577" s="106"/>
      <c r="AT577" s="106"/>
      <c r="AU577" s="106"/>
      <c r="AV577" s="106"/>
      <c r="AW577" s="106"/>
      <c r="AX577" s="106"/>
      <c r="AY577" s="106"/>
      <c r="AZ577" s="106"/>
      <c r="BA577" s="106"/>
      <c r="BB577" s="106"/>
      <c r="BC577" s="106"/>
      <c r="BD577" s="106"/>
      <c r="BE577" s="106"/>
      <c r="BF577" s="106"/>
      <c r="BG577" s="106"/>
      <c r="BH577" s="106"/>
      <c r="BI577" s="106"/>
      <c r="BJ577" s="106"/>
      <c r="BK577" s="106"/>
      <c r="BL577" s="106"/>
      <c r="BM577" s="106"/>
      <c r="BN577" s="106"/>
      <c r="BO577" s="106"/>
      <c r="BP577" s="106"/>
    </row>
    <row r="578" spans="1:68" s="105" customFormat="1" ht="8.25" customHeight="1">
      <c r="B578" s="180"/>
      <c r="D578" s="144"/>
      <c r="G578" s="144"/>
      <c r="J578" s="144"/>
      <c r="M578" s="144"/>
      <c r="R578" s="106"/>
      <c r="S578" s="106"/>
      <c r="T578" s="106"/>
      <c r="U578" s="106"/>
      <c r="V578" s="106"/>
      <c r="W578" s="106"/>
      <c r="X578" s="106"/>
      <c r="Y578" s="106"/>
      <c r="Z578" s="106"/>
      <c r="AA578" s="106"/>
      <c r="AB578" s="106"/>
      <c r="AC578" s="106"/>
      <c r="AD578" s="106"/>
      <c r="AE578" s="106"/>
      <c r="AF578" s="106"/>
      <c r="AG578" s="106"/>
      <c r="AH578" s="106"/>
      <c r="AI578" s="106"/>
      <c r="AJ578" s="106"/>
      <c r="AK578" s="106"/>
      <c r="AL578" s="106"/>
      <c r="AM578" s="106"/>
      <c r="AN578" s="106"/>
      <c r="AO578" s="106"/>
      <c r="AP578" s="106"/>
      <c r="AQ578" s="106"/>
      <c r="AR578" s="106"/>
      <c r="AS578" s="106"/>
      <c r="AT578" s="106"/>
      <c r="AU578" s="106"/>
      <c r="AV578" s="106"/>
      <c r="AW578" s="106"/>
      <c r="AX578" s="106"/>
      <c r="AY578" s="106"/>
      <c r="AZ578" s="106"/>
      <c r="BA578" s="106"/>
      <c r="BB578" s="106"/>
      <c r="BC578" s="106"/>
      <c r="BD578" s="106"/>
      <c r="BE578" s="106"/>
      <c r="BF578" s="106"/>
      <c r="BG578" s="106"/>
      <c r="BH578" s="106"/>
      <c r="BI578" s="106"/>
      <c r="BJ578" s="106"/>
      <c r="BK578" s="106"/>
      <c r="BL578" s="106"/>
      <c r="BM578" s="106"/>
      <c r="BN578" s="106"/>
      <c r="BO578" s="106"/>
      <c r="BP578" s="106"/>
    </row>
    <row r="579" spans="1:68" s="105" customFormat="1" ht="15.75" thickBot="1">
      <c r="D579" s="181">
        <f>+D532+D546+D554+D558+D563+D571+D577</f>
        <v>439.14600000000002</v>
      </c>
      <c r="E579" s="181">
        <f>+E532+E546+E554+E558+E563+E571+E577</f>
        <v>8695840.1119999997</v>
      </c>
      <c r="F579" s="182"/>
      <c r="G579" s="181">
        <f>+G532+G546+G554+G558+G563+G571+G577</f>
        <v>747.02100000000007</v>
      </c>
      <c r="H579" s="181">
        <f>+H532+H546+H554+H558+H563+H571+H577</f>
        <v>8508252.5969999973</v>
      </c>
      <c r="I579" s="182"/>
      <c r="J579" s="181">
        <f>+J532+J546+J554+J558+J563+J571+J577</f>
        <v>1234.1429999999998</v>
      </c>
      <c r="K579" s="181">
        <f>+K532+K546+K554+K558+K563+K571+K577</f>
        <v>18169831.200514399</v>
      </c>
      <c r="L579" s="182"/>
      <c r="M579" s="181">
        <f>+M532+M546+M554+M558+M563+M571+M577</f>
        <v>3509.4030000000002</v>
      </c>
      <c r="N579" s="181">
        <f>+N532+N546+N554+N558+N563+N571+N577</f>
        <v>11624661.737</v>
      </c>
      <c r="O579" s="182"/>
      <c r="P579" s="138">
        <f>+P577+P571+P563+P558+P554+P546+P532</f>
        <v>5929.7130000000006</v>
      </c>
      <c r="Q579" s="138">
        <f>+Q577+Q571+Q563+Q558+Q554+Q546+Q532</f>
        <v>46998585.646514401</v>
      </c>
      <c r="R579" s="106"/>
      <c r="S579" s="106"/>
      <c r="T579" s="106"/>
      <c r="U579" s="106"/>
      <c r="V579" s="106"/>
      <c r="W579" s="106"/>
      <c r="X579" s="106"/>
      <c r="Y579" s="106"/>
      <c r="Z579" s="106"/>
      <c r="AA579" s="106"/>
      <c r="AB579" s="106"/>
      <c r="AC579" s="106"/>
      <c r="AD579" s="106"/>
      <c r="AE579" s="106"/>
      <c r="AF579" s="106"/>
      <c r="AG579" s="106"/>
      <c r="AH579" s="106"/>
      <c r="AI579" s="106"/>
      <c r="AJ579" s="106"/>
      <c r="AK579" s="106"/>
      <c r="AL579" s="106"/>
      <c r="AM579" s="106"/>
      <c r="AN579" s="106"/>
      <c r="AO579" s="106"/>
      <c r="AP579" s="106"/>
      <c r="AQ579" s="106"/>
      <c r="AR579" s="106"/>
      <c r="AS579" s="106"/>
      <c r="AT579" s="106"/>
      <c r="AU579" s="106"/>
      <c r="AV579" s="106"/>
      <c r="AW579" s="106"/>
      <c r="AX579" s="106"/>
      <c r="AY579" s="106"/>
      <c r="AZ579" s="106"/>
      <c r="BA579" s="106"/>
      <c r="BB579" s="106"/>
      <c r="BC579" s="106"/>
      <c r="BD579" s="106"/>
      <c r="BE579" s="106"/>
      <c r="BF579" s="106"/>
      <c r="BG579" s="106"/>
      <c r="BH579" s="106"/>
      <c r="BI579" s="106"/>
      <c r="BJ579" s="106"/>
      <c r="BK579" s="106"/>
      <c r="BL579" s="106"/>
      <c r="BM579" s="106"/>
      <c r="BN579" s="106"/>
      <c r="BO579" s="106"/>
      <c r="BP579" s="106"/>
    </row>
    <row r="580" spans="1:68" s="105" customFormat="1" ht="18.75" thickTop="1">
      <c r="A580" s="183" t="s">
        <v>240</v>
      </c>
      <c r="R580" s="106"/>
      <c r="S580" s="106"/>
      <c r="T580" s="106"/>
      <c r="U580" s="106"/>
      <c r="V580" s="106"/>
      <c r="W580" s="106"/>
      <c r="X580" s="106"/>
      <c r="Y580" s="106"/>
      <c r="Z580" s="106"/>
      <c r="AA580" s="106"/>
      <c r="AB580" s="106"/>
      <c r="AC580" s="106"/>
      <c r="AD580" s="106"/>
      <c r="AE580" s="106"/>
      <c r="AF580" s="106"/>
      <c r="AG580" s="106"/>
      <c r="AH580" s="106"/>
      <c r="AI580" s="106"/>
      <c r="AJ580" s="106"/>
      <c r="AK580" s="106"/>
      <c r="AL580" s="106"/>
      <c r="AM580" s="106"/>
      <c r="AN580" s="106"/>
      <c r="AO580" s="106"/>
      <c r="AP580" s="106"/>
      <c r="AQ580" s="106"/>
      <c r="AR580" s="106"/>
      <c r="AS580" s="106"/>
      <c r="AT580" s="106"/>
      <c r="AU580" s="106"/>
      <c r="AV580" s="106"/>
      <c r="AW580" s="106"/>
      <c r="AX580" s="106"/>
      <c r="AY580" s="106"/>
      <c r="AZ580" s="106"/>
      <c r="BA580" s="106"/>
      <c r="BB580" s="106"/>
      <c r="BC580" s="106"/>
      <c r="BD580" s="106"/>
      <c r="BE580" s="106"/>
      <c r="BF580" s="106"/>
      <c r="BG580" s="106"/>
      <c r="BH580" s="106"/>
      <c r="BI580" s="106"/>
      <c r="BJ580" s="106"/>
      <c r="BK580" s="106"/>
      <c r="BL580" s="106"/>
      <c r="BM580" s="106"/>
      <c r="BN580" s="106"/>
      <c r="BO580" s="106"/>
      <c r="BP580" s="106"/>
    </row>
    <row r="581" spans="1:68" s="105" customFormat="1">
      <c r="E581" s="184"/>
      <c r="F581" s="185"/>
      <c r="G581" s="186" t="s">
        <v>120</v>
      </c>
      <c r="H581" s="184"/>
      <c r="I581" s="185"/>
      <c r="J581" s="185"/>
      <c r="K581" s="186" t="s">
        <v>120</v>
      </c>
      <c r="L581" s="184"/>
      <c r="M581" s="185"/>
      <c r="N581" s="186" t="s">
        <v>120</v>
      </c>
      <c r="P581" s="144">
        <f>5930-P579</f>
        <v>0.28699999999935244</v>
      </c>
      <c r="Q581" s="154">
        <f>46998586-Q579</f>
        <v>0.3534855991601944</v>
      </c>
      <c r="R581" s="106"/>
      <c r="S581" s="106"/>
      <c r="T581" s="106"/>
      <c r="U581" s="106"/>
      <c r="V581" s="106"/>
      <c r="W581" s="106"/>
      <c r="X581" s="106"/>
      <c r="Y581" s="106"/>
      <c r="Z581" s="106"/>
      <c r="AA581" s="106"/>
      <c r="AB581" s="106"/>
      <c r="AC581" s="106"/>
      <c r="AD581" s="106"/>
      <c r="AE581" s="106"/>
      <c r="AF581" s="106"/>
      <c r="AG581" s="106"/>
      <c r="AH581" s="106"/>
      <c r="AI581" s="106"/>
      <c r="AJ581" s="106"/>
      <c r="AK581" s="106"/>
      <c r="AL581" s="106"/>
      <c r="AM581" s="106"/>
      <c r="AN581" s="106"/>
      <c r="AO581" s="106"/>
      <c r="AP581" s="106"/>
      <c r="AQ581" s="106"/>
      <c r="AR581" s="106"/>
      <c r="AS581" s="106"/>
      <c r="AT581" s="106"/>
      <c r="AU581" s="106"/>
      <c r="AV581" s="106"/>
      <c r="AW581" s="106"/>
      <c r="AX581" s="106"/>
      <c r="AY581" s="106"/>
      <c r="AZ581" s="106"/>
      <c r="BA581" s="106"/>
      <c r="BB581" s="106"/>
      <c r="BC581" s="106"/>
      <c r="BD581" s="106"/>
      <c r="BE581" s="106"/>
      <c r="BF581" s="106"/>
      <c r="BG581" s="106"/>
      <c r="BH581" s="106"/>
      <c r="BI581" s="106"/>
      <c r="BJ581" s="106"/>
      <c r="BK581" s="106"/>
      <c r="BL581" s="106"/>
      <c r="BM581" s="106"/>
      <c r="BN581" s="106"/>
      <c r="BO581" s="106"/>
      <c r="BP581" s="106"/>
    </row>
    <row r="582" spans="1:68" s="105" customFormat="1">
      <c r="E582" s="187"/>
      <c r="F582" s="188"/>
      <c r="G582" s="189" t="s">
        <v>241</v>
      </c>
      <c r="H582" s="187"/>
      <c r="I582" s="188"/>
      <c r="J582" s="188"/>
      <c r="K582" s="189" t="s">
        <v>242</v>
      </c>
      <c r="L582" s="187"/>
      <c r="M582" s="188"/>
      <c r="N582" s="189" t="s">
        <v>243</v>
      </c>
      <c r="R582" s="106"/>
      <c r="S582" s="106"/>
      <c r="T582" s="106"/>
      <c r="U582" s="106"/>
      <c r="V582" s="106"/>
      <c r="W582" s="106"/>
      <c r="X582" s="106"/>
      <c r="Y582" s="106"/>
      <c r="Z582" s="106"/>
      <c r="AA582" s="106"/>
      <c r="AB582" s="106"/>
      <c r="AC582" s="106"/>
      <c r="AD582" s="106"/>
      <c r="AE582" s="106"/>
      <c r="AF582" s="106"/>
      <c r="AG582" s="106"/>
      <c r="AH582" s="106"/>
      <c r="AI582" s="106"/>
      <c r="AJ582" s="106"/>
      <c r="AK582" s="106"/>
      <c r="AL582" s="106"/>
      <c r="AM582" s="106"/>
      <c r="AN582" s="106"/>
      <c r="AO582" s="106"/>
      <c r="AP582" s="106"/>
      <c r="AQ582" s="106"/>
      <c r="AR582" s="106"/>
      <c r="AS582" s="106"/>
      <c r="AT582" s="106"/>
      <c r="AU582" s="106"/>
      <c r="AV582" s="106"/>
      <c r="AW582" s="106"/>
      <c r="AX582" s="106"/>
      <c r="AY582" s="106"/>
      <c r="AZ582" s="106"/>
      <c r="BA582" s="106"/>
      <c r="BB582" s="106"/>
      <c r="BC582" s="106"/>
      <c r="BD582" s="106"/>
      <c r="BE582" s="106"/>
      <c r="BF582" s="106"/>
      <c r="BG582" s="106"/>
      <c r="BH582" s="106"/>
      <c r="BI582" s="106"/>
      <c r="BJ582" s="106"/>
      <c r="BK582" s="106"/>
      <c r="BL582" s="106"/>
      <c r="BM582" s="106"/>
      <c r="BN582" s="106"/>
      <c r="BO582" s="106"/>
      <c r="BP582" s="106"/>
    </row>
    <row r="583" spans="1:68" s="105" customFormat="1" ht="5.25" customHeight="1">
      <c r="E583" s="187"/>
      <c r="F583" s="188"/>
      <c r="G583" s="189" t="s">
        <v>244</v>
      </c>
      <c r="H583" s="187"/>
      <c r="I583" s="188"/>
      <c r="J583" s="188"/>
      <c r="K583" s="190" t="s">
        <v>244</v>
      </c>
      <c r="L583" s="187"/>
      <c r="M583" s="188"/>
      <c r="N583" s="189" t="s">
        <v>245</v>
      </c>
      <c r="R583" s="106"/>
      <c r="S583" s="106"/>
      <c r="T583" s="106"/>
      <c r="U583" s="106"/>
      <c r="V583" s="106"/>
      <c r="W583" s="106"/>
      <c r="X583" s="106"/>
      <c r="Y583" s="106"/>
      <c r="Z583" s="106"/>
      <c r="AA583" s="106"/>
      <c r="AB583" s="106"/>
      <c r="AC583" s="106"/>
      <c r="AD583" s="106"/>
      <c r="AE583" s="106"/>
      <c r="AF583" s="106"/>
      <c r="AG583" s="106"/>
      <c r="AH583" s="106"/>
      <c r="AI583" s="106"/>
      <c r="AJ583" s="106"/>
      <c r="AK583" s="106"/>
      <c r="AL583" s="106"/>
      <c r="AM583" s="106"/>
      <c r="AN583" s="106"/>
      <c r="AO583" s="106"/>
      <c r="AP583" s="106"/>
      <c r="AQ583" s="106"/>
      <c r="AR583" s="106"/>
      <c r="AS583" s="106"/>
      <c r="AT583" s="106"/>
      <c r="AU583" s="106"/>
      <c r="AV583" s="106"/>
      <c r="AW583" s="106"/>
      <c r="AX583" s="106"/>
      <c r="AY583" s="106"/>
      <c r="AZ583" s="106"/>
      <c r="BA583" s="106"/>
      <c r="BB583" s="106"/>
      <c r="BC583" s="106"/>
      <c r="BD583" s="106"/>
      <c r="BE583" s="106"/>
      <c r="BF583" s="106"/>
      <c r="BG583" s="106"/>
      <c r="BH583" s="106"/>
      <c r="BI583" s="106"/>
      <c r="BJ583" s="106"/>
      <c r="BK583" s="106"/>
      <c r="BL583" s="106"/>
      <c r="BM583" s="106"/>
      <c r="BN583" s="106"/>
      <c r="BO583" s="106"/>
      <c r="BP583" s="106"/>
    </row>
    <row r="584" spans="1:68" s="105" customFormat="1" ht="15">
      <c r="B584" s="191" t="s">
        <v>120</v>
      </c>
      <c r="E584" s="187"/>
      <c r="F584" s="188"/>
      <c r="G584" s="192">
        <f>-126458-4</f>
        <v>-126462</v>
      </c>
      <c r="H584" s="193"/>
      <c r="I584" s="194"/>
      <c r="J584" s="194"/>
      <c r="K584" s="192">
        <f>SUM(K587:K588)</f>
        <v>-7298</v>
      </c>
      <c r="L584" s="193"/>
      <c r="M584" s="194"/>
      <c r="N584" s="192">
        <v>-71710</v>
      </c>
      <c r="R584" s="106"/>
      <c r="S584" s="106"/>
      <c r="T584" s="106"/>
      <c r="U584" s="106"/>
      <c r="V584" s="106"/>
      <c r="W584" s="106"/>
      <c r="X584" s="106"/>
      <c r="Y584" s="106"/>
      <c r="Z584" s="106"/>
      <c r="AA584" s="106"/>
      <c r="AB584" s="106"/>
      <c r="AC584" s="106"/>
      <c r="AD584" s="106"/>
      <c r="AE584" s="106"/>
      <c r="AF584" s="106"/>
      <c r="AG584" s="106"/>
      <c r="AH584" s="106"/>
      <c r="AI584" s="106"/>
      <c r="AJ584" s="106"/>
      <c r="AK584" s="106"/>
      <c r="AL584" s="106"/>
      <c r="AM584" s="106"/>
      <c r="AN584" s="106"/>
      <c r="AO584" s="106"/>
      <c r="AP584" s="106"/>
      <c r="AQ584" s="106"/>
      <c r="AR584" s="106"/>
      <c r="AS584" s="106"/>
      <c r="AT584" s="106"/>
      <c r="AU584" s="106"/>
      <c r="AV584" s="106"/>
      <c r="AW584" s="106"/>
      <c r="AX584" s="106"/>
      <c r="AY584" s="106"/>
      <c r="AZ584" s="106"/>
      <c r="BA584" s="106"/>
      <c r="BB584" s="106"/>
      <c r="BC584" s="106"/>
      <c r="BD584" s="106"/>
      <c r="BE584" s="106"/>
      <c r="BF584" s="106"/>
      <c r="BG584" s="106"/>
      <c r="BH584" s="106"/>
      <c r="BI584" s="106"/>
      <c r="BJ584" s="106"/>
      <c r="BK584" s="106"/>
      <c r="BL584" s="106"/>
      <c r="BM584" s="106"/>
      <c r="BN584" s="106"/>
      <c r="BO584" s="106"/>
      <c r="BP584" s="106"/>
    </row>
    <row r="585" spans="1:68" s="105" customFormat="1" ht="15">
      <c r="B585" s="191"/>
      <c r="E585" s="187"/>
      <c r="F585" s="188"/>
      <c r="G585" s="192"/>
      <c r="H585" s="193"/>
      <c r="I585" s="194"/>
      <c r="J585" s="194"/>
      <c r="K585" s="195"/>
      <c r="L585" s="193"/>
      <c r="M585" s="194"/>
      <c r="N585" s="192"/>
      <c r="R585" s="106"/>
      <c r="S585" s="106"/>
      <c r="T585" s="106"/>
      <c r="U585" s="106"/>
      <c r="V585" s="106"/>
      <c r="W585" s="106"/>
      <c r="X585" s="106"/>
      <c r="Y585" s="106"/>
      <c r="Z585" s="106"/>
      <c r="AA585" s="106"/>
      <c r="AB585" s="106"/>
      <c r="AC585" s="106"/>
      <c r="AD585" s="106"/>
      <c r="AE585" s="106"/>
      <c r="AF585" s="106"/>
      <c r="AG585" s="106"/>
      <c r="AH585" s="106"/>
      <c r="AI585" s="106"/>
      <c r="AJ585" s="106"/>
      <c r="AK585" s="106"/>
      <c r="AL585" s="106"/>
      <c r="AM585" s="106"/>
      <c r="AN585" s="106"/>
      <c r="AO585" s="106"/>
      <c r="AP585" s="106"/>
      <c r="AQ585" s="106"/>
      <c r="AR585" s="106"/>
      <c r="AS585" s="106"/>
      <c r="AT585" s="106"/>
      <c r="AU585" s="106"/>
      <c r="AV585" s="106"/>
      <c r="AW585" s="106"/>
      <c r="AX585" s="106"/>
      <c r="AY585" s="106"/>
      <c r="AZ585" s="106"/>
      <c r="BA585" s="106"/>
      <c r="BB585" s="106"/>
      <c r="BC585" s="106"/>
      <c r="BD585" s="106"/>
      <c r="BE585" s="106"/>
      <c r="BF585" s="106"/>
      <c r="BG585" s="106"/>
      <c r="BH585" s="106"/>
      <c r="BI585" s="106"/>
      <c r="BJ585" s="106"/>
      <c r="BK585" s="106"/>
      <c r="BL585" s="106"/>
      <c r="BM585" s="106"/>
      <c r="BN585" s="106"/>
      <c r="BO585" s="106"/>
      <c r="BP585" s="106"/>
    </row>
    <row r="586" spans="1:68" s="105" customFormat="1">
      <c r="B586" s="196" t="s">
        <v>74</v>
      </c>
      <c r="C586" s="197">
        <v>5369511.4000000004</v>
      </c>
      <c r="D586" s="198">
        <f t="shared" ref="D586:D592" si="15">C586/$C$593</f>
        <v>0.35521270947913086</v>
      </c>
      <c r="E586" s="199" t="s">
        <v>152</v>
      </c>
      <c r="F586" s="188"/>
      <c r="G586" s="200">
        <f>0.5*G584</f>
        <v>-63231</v>
      </c>
      <c r="H586" s="187"/>
      <c r="I586" s="188"/>
      <c r="J586" s="188"/>
      <c r="K586" s="189"/>
      <c r="L586" s="187"/>
      <c r="M586" s="201" t="s">
        <v>152</v>
      </c>
      <c r="N586" s="200">
        <f>0.5*N584</f>
        <v>-35855</v>
      </c>
      <c r="R586" s="106"/>
      <c r="S586" s="106"/>
      <c r="T586" s="106"/>
      <c r="U586" s="106"/>
      <c r="V586" s="106"/>
      <c r="W586" s="106"/>
      <c r="X586" s="106"/>
      <c r="Y586" s="106"/>
      <c r="Z586" s="106"/>
      <c r="AA586" s="106"/>
      <c r="AB586" s="106"/>
      <c r="AC586" s="106"/>
      <c r="AD586" s="106"/>
      <c r="AE586" s="106"/>
      <c r="AF586" s="106"/>
      <c r="AG586" s="106"/>
      <c r="AH586" s="106"/>
      <c r="AI586" s="106"/>
      <c r="AJ586" s="106"/>
      <c r="AK586" s="106"/>
      <c r="AL586" s="106"/>
      <c r="AM586" s="106"/>
      <c r="AN586" s="106"/>
      <c r="AO586" s="106"/>
      <c r="AP586" s="106"/>
      <c r="AQ586" s="106"/>
      <c r="AR586" s="106"/>
      <c r="AS586" s="106"/>
      <c r="AT586" s="106"/>
      <c r="AU586" s="106"/>
      <c r="AV586" s="106"/>
      <c r="AW586" s="106"/>
      <c r="AX586" s="106"/>
      <c r="AY586" s="106"/>
      <c r="AZ586" s="106"/>
      <c r="BA586" s="106"/>
      <c r="BB586" s="106"/>
      <c r="BC586" s="106"/>
      <c r="BD586" s="106"/>
      <c r="BE586" s="106"/>
      <c r="BF586" s="106"/>
      <c r="BG586" s="106"/>
      <c r="BH586" s="106"/>
      <c r="BI586" s="106"/>
      <c r="BJ586" s="106"/>
      <c r="BK586" s="106"/>
      <c r="BL586" s="106"/>
      <c r="BM586" s="106"/>
      <c r="BN586" s="106"/>
      <c r="BO586" s="106"/>
      <c r="BP586" s="106"/>
    </row>
    <row r="587" spans="1:68" s="105" customFormat="1">
      <c r="B587" s="196" t="s">
        <v>246</v>
      </c>
      <c r="C587" s="197">
        <v>2076931</v>
      </c>
      <c r="D587" s="198">
        <f t="shared" si="15"/>
        <v>0.13739654001129428</v>
      </c>
      <c r="E587" s="202" t="s">
        <v>247</v>
      </c>
      <c r="F587" s="203"/>
      <c r="G587" s="204">
        <f>+G586</f>
        <v>-63231</v>
      </c>
      <c r="H587" s="187" t="s">
        <v>248</v>
      </c>
      <c r="I587" s="188"/>
      <c r="J587" s="188"/>
      <c r="K587" s="200">
        <v>-3824</v>
      </c>
      <c r="L587" s="187"/>
      <c r="M587" s="201" t="s">
        <v>164</v>
      </c>
      <c r="N587" s="200">
        <f>+N586</f>
        <v>-35855</v>
      </c>
      <c r="R587" s="106"/>
      <c r="S587" s="106"/>
      <c r="T587" s="106"/>
      <c r="U587" s="106"/>
      <c r="V587" s="106"/>
      <c r="W587" s="106"/>
      <c r="X587" s="106"/>
      <c r="Y587" s="106"/>
      <c r="Z587" s="106"/>
      <c r="AA587" s="106"/>
      <c r="AB587" s="106"/>
      <c r="AC587" s="106"/>
      <c r="AD587" s="106"/>
      <c r="AE587" s="106"/>
      <c r="AF587" s="106"/>
      <c r="AG587" s="106"/>
      <c r="AH587" s="106"/>
      <c r="AI587" s="106"/>
      <c r="AJ587" s="106"/>
      <c r="AK587" s="106"/>
      <c r="AL587" s="106"/>
      <c r="AM587" s="106"/>
      <c r="AN587" s="106"/>
      <c r="AO587" s="106"/>
      <c r="AP587" s="106"/>
      <c r="AQ587" s="106"/>
      <c r="AR587" s="106"/>
      <c r="AS587" s="106"/>
      <c r="AT587" s="106"/>
      <c r="AU587" s="106"/>
      <c r="AV587" s="106"/>
      <c r="AW587" s="106"/>
      <c r="AX587" s="106"/>
      <c r="AY587" s="106"/>
      <c r="AZ587" s="106"/>
      <c r="BA587" s="106"/>
      <c r="BB587" s="106"/>
      <c r="BC587" s="106"/>
      <c r="BD587" s="106"/>
      <c r="BE587" s="106"/>
      <c r="BF587" s="106"/>
      <c r="BG587" s="106"/>
      <c r="BH587" s="106"/>
      <c r="BI587" s="106"/>
      <c r="BJ587" s="106"/>
      <c r="BK587" s="106"/>
      <c r="BL587" s="106"/>
      <c r="BM587" s="106"/>
      <c r="BN587" s="106"/>
      <c r="BO587" s="106"/>
      <c r="BP587" s="106"/>
    </row>
    <row r="588" spans="1:68" s="105" customFormat="1">
      <c r="B588" s="196" t="s">
        <v>249</v>
      </c>
      <c r="C588" s="197">
        <v>4558323.4000000004</v>
      </c>
      <c r="D588" s="198">
        <f t="shared" si="15"/>
        <v>0.30154967276838712</v>
      </c>
      <c r="E588" s="205"/>
      <c r="F588" s="205"/>
      <c r="G588" s="205"/>
      <c r="H588" s="206" t="s">
        <v>248</v>
      </c>
      <c r="I588" s="203"/>
      <c r="J588" s="203"/>
      <c r="K588" s="204">
        <v>-3474</v>
      </c>
      <c r="L588" s="206"/>
      <c r="M588" s="203"/>
      <c r="N588" s="207"/>
      <c r="R588" s="106"/>
      <c r="S588" s="106"/>
      <c r="T588" s="106"/>
      <c r="U588" s="106"/>
      <c r="V588" s="106"/>
      <c r="W588" s="106"/>
      <c r="X588" s="106"/>
      <c r="Y588" s="106"/>
      <c r="Z588" s="106"/>
      <c r="AA588" s="106"/>
      <c r="AB588" s="106"/>
      <c r="AC588" s="106"/>
      <c r="AD588" s="106"/>
      <c r="AE588" s="106"/>
      <c r="AF588" s="106"/>
      <c r="AG588" s="106"/>
      <c r="AH588" s="106"/>
      <c r="AI588" s="106"/>
      <c r="AJ588" s="106"/>
      <c r="AK588" s="106"/>
      <c r="AL588" s="106"/>
      <c r="AM588" s="106"/>
      <c r="AN588" s="106"/>
      <c r="AO588" s="106"/>
      <c r="AP588" s="106"/>
      <c r="AQ588" s="106"/>
      <c r="AR588" s="106"/>
      <c r="AS588" s="106"/>
      <c r="AT588" s="106"/>
      <c r="AU588" s="106"/>
      <c r="AV588" s="106"/>
      <c r="AW588" s="106"/>
      <c r="AX588" s="106"/>
      <c r="AY588" s="106"/>
      <c r="AZ588" s="106"/>
      <c r="BA588" s="106"/>
      <c r="BB588" s="106"/>
      <c r="BC588" s="106"/>
      <c r="BD588" s="106"/>
      <c r="BE588" s="106"/>
      <c r="BF588" s="106"/>
      <c r="BG588" s="106"/>
      <c r="BH588" s="106"/>
      <c r="BI588" s="106"/>
      <c r="BJ588" s="106"/>
      <c r="BK588" s="106"/>
      <c r="BL588" s="106"/>
      <c r="BM588" s="106"/>
      <c r="BN588" s="106"/>
      <c r="BO588" s="106"/>
      <c r="BP588" s="106"/>
    </row>
    <row r="589" spans="1:68" s="105" customFormat="1">
      <c r="B589" s="196" t="s">
        <v>250</v>
      </c>
      <c r="C589" s="197">
        <v>2900856</v>
      </c>
      <c r="D589" s="198">
        <f t="shared" si="15"/>
        <v>0.19190217559996123</v>
      </c>
      <c r="E589" s="205"/>
      <c r="F589" s="205"/>
      <c r="G589" s="205"/>
      <c r="H589" s="205"/>
      <c r="I589" s="205"/>
      <c r="J589" s="205"/>
      <c r="K589" s="205"/>
      <c r="L589" s="205"/>
      <c r="M589" s="205"/>
      <c r="N589" s="205"/>
      <c r="R589" s="106"/>
      <c r="S589" s="106"/>
      <c r="T589" s="106"/>
      <c r="U589" s="106"/>
      <c r="V589" s="106"/>
      <c r="W589" s="106"/>
      <c r="X589" s="106"/>
      <c r="Y589" s="106"/>
      <c r="Z589" s="106"/>
      <c r="AA589" s="106"/>
      <c r="AB589" s="106"/>
      <c r="AC589" s="106"/>
      <c r="AD589" s="106"/>
      <c r="AE589" s="106"/>
      <c r="AF589" s="106"/>
      <c r="AG589" s="106"/>
      <c r="AH589" s="106"/>
      <c r="AI589" s="106"/>
      <c r="AJ589" s="106"/>
      <c r="AK589" s="106"/>
      <c r="AL589" s="106"/>
      <c r="AM589" s="106"/>
      <c r="AN589" s="106"/>
      <c r="AO589" s="106"/>
      <c r="AP589" s="106"/>
      <c r="AQ589" s="106"/>
      <c r="AR589" s="106"/>
      <c r="AS589" s="106"/>
      <c r="AT589" s="106"/>
      <c r="AU589" s="106"/>
      <c r="AV589" s="106"/>
      <c r="AW589" s="106"/>
      <c r="AX589" s="106"/>
      <c r="AY589" s="106"/>
      <c r="AZ589" s="106"/>
      <c r="BA589" s="106"/>
      <c r="BB589" s="106"/>
      <c r="BC589" s="106"/>
      <c r="BD589" s="106"/>
      <c r="BE589" s="106"/>
      <c r="BF589" s="106"/>
      <c r="BG589" s="106"/>
      <c r="BH589" s="106"/>
      <c r="BI589" s="106"/>
      <c r="BJ589" s="106"/>
      <c r="BK589" s="106"/>
      <c r="BL589" s="106"/>
      <c r="BM589" s="106"/>
      <c r="BN589" s="106"/>
      <c r="BO589" s="106"/>
      <c r="BP589" s="106"/>
    </row>
    <row r="590" spans="1:68" s="105" customFormat="1">
      <c r="B590" s="196" t="s">
        <v>251</v>
      </c>
      <c r="C590" s="197">
        <v>32005</v>
      </c>
      <c r="D590" s="198">
        <f t="shared" si="15"/>
        <v>2.1172471608645032E-3</v>
      </c>
      <c r="E590" s="205"/>
      <c r="F590" s="205"/>
      <c r="G590" s="205"/>
      <c r="H590" s="205"/>
      <c r="I590" s="205"/>
      <c r="J590" s="184"/>
      <c r="K590" s="185"/>
      <c r="L590" s="185"/>
      <c r="M590" s="185"/>
      <c r="N590" s="208"/>
      <c r="R590" s="106"/>
      <c r="S590" s="106"/>
      <c r="T590" s="106"/>
      <c r="U590" s="106"/>
      <c r="V590" s="106"/>
      <c r="W590" s="106"/>
      <c r="X590" s="106"/>
      <c r="Y590" s="106"/>
      <c r="Z590" s="106"/>
      <c r="AA590" s="106"/>
      <c r="AB590" s="106"/>
      <c r="AC590" s="106"/>
      <c r="AD590" s="106"/>
      <c r="AE590" s="106"/>
      <c r="AF590" s="106"/>
      <c r="AG590" s="106"/>
      <c r="AH590" s="106"/>
      <c r="AI590" s="106"/>
      <c r="AJ590" s="106"/>
      <c r="AK590" s="106"/>
      <c r="AL590" s="106"/>
      <c r="AM590" s="106"/>
      <c r="AN590" s="106"/>
      <c r="AO590" s="106"/>
      <c r="AP590" s="106"/>
      <c r="AQ590" s="106"/>
      <c r="AR590" s="106"/>
      <c r="AS590" s="106"/>
      <c r="AT590" s="106"/>
      <c r="AU590" s="106"/>
      <c r="AV590" s="106"/>
      <c r="AW590" s="106"/>
      <c r="AX590" s="106"/>
      <c r="AY590" s="106"/>
      <c r="AZ590" s="106"/>
      <c r="BA590" s="106"/>
      <c r="BB590" s="106"/>
      <c r="BC590" s="106"/>
      <c r="BD590" s="106"/>
      <c r="BE590" s="106"/>
      <c r="BF590" s="106"/>
      <c r="BG590" s="106"/>
      <c r="BH590" s="106"/>
      <c r="BI590" s="106"/>
      <c r="BJ590" s="106"/>
      <c r="BK590" s="106"/>
      <c r="BL590" s="106"/>
      <c r="BM590" s="106"/>
      <c r="BN590" s="106"/>
      <c r="BO590" s="106"/>
      <c r="BP590" s="106"/>
    </row>
    <row r="591" spans="1:68" s="105" customFormat="1">
      <c r="B591" s="196" t="s">
        <v>75</v>
      </c>
      <c r="C591" s="197">
        <v>1936</v>
      </c>
      <c r="D591" s="198">
        <f t="shared" si="15"/>
        <v>1.2807344175702791E-4</v>
      </c>
      <c r="E591" s="205"/>
      <c r="F591" s="205"/>
      <c r="G591" s="205"/>
      <c r="H591" s="205"/>
      <c r="I591" s="205"/>
      <c r="J591" s="187"/>
      <c r="K591" s="188"/>
      <c r="L591" s="188"/>
      <c r="M591" s="188"/>
      <c r="N591" s="189"/>
      <c r="R591" s="106"/>
      <c r="S591" s="106"/>
      <c r="T591" s="106"/>
      <c r="U591" s="106"/>
      <c r="V591" s="106"/>
      <c r="W591" s="106"/>
      <c r="X591" s="106"/>
      <c r="Y591" s="106"/>
      <c r="Z591" s="106"/>
      <c r="AA591" s="106"/>
      <c r="AB591" s="106"/>
      <c r="AC591" s="106"/>
      <c r="AD591" s="106"/>
      <c r="AE591" s="106"/>
      <c r="AF591" s="106"/>
      <c r="AG591" s="106"/>
      <c r="AH591" s="106"/>
      <c r="AI591" s="106"/>
      <c r="AJ591" s="106"/>
      <c r="AK591" s="106"/>
      <c r="AL591" s="106"/>
      <c r="AM591" s="106"/>
      <c r="AN591" s="106"/>
      <c r="AO591" s="106"/>
      <c r="AP591" s="106"/>
      <c r="AQ591" s="106"/>
      <c r="AR591" s="106"/>
      <c r="AS591" s="106"/>
      <c r="AT591" s="106"/>
      <c r="AU591" s="106"/>
      <c r="AV591" s="106"/>
      <c r="AW591" s="106"/>
      <c r="AX591" s="106"/>
      <c r="AY591" s="106"/>
      <c r="AZ591" s="106"/>
      <c r="BA591" s="106"/>
      <c r="BB591" s="106"/>
      <c r="BC591" s="106"/>
      <c r="BD591" s="106"/>
      <c r="BE591" s="106"/>
      <c r="BF591" s="106"/>
      <c r="BG591" s="106"/>
      <c r="BH591" s="106"/>
      <c r="BI591" s="106"/>
      <c r="BJ591" s="106"/>
      <c r="BK591" s="106"/>
      <c r="BL591" s="106"/>
      <c r="BM591" s="106"/>
      <c r="BN591" s="106"/>
      <c r="BO591" s="106"/>
      <c r="BP591" s="106"/>
    </row>
    <row r="592" spans="1:68" s="105" customFormat="1">
      <c r="A592" s="105" t="s">
        <v>252</v>
      </c>
      <c r="B592" s="196" t="s">
        <v>253</v>
      </c>
      <c r="C592" s="197">
        <v>176764</v>
      </c>
      <c r="D592" s="198">
        <f t="shared" si="15"/>
        <v>1.1693581538604999E-2</v>
      </c>
      <c r="E592" s="205"/>
      <c r="F592" s="205"/>
      <c r="G592" s="205"/>
      <c r="H592" s="205"/>
      <c r="I592" s="205"/>
      <c r="J592" s="184"/>
      <c r="K592" s="185" t="s">
        <v>254</v>
      </c>
      <c r="L592" s="185"/>
      <c r="M592" s="185"/>
      <c r="N592" s="209">
        <v>-606</v>
      </c>
      <c r="R592" s="106"/>
      <c r="S592" s="106"/>
      <c r="T592" s="106"/>
      <c r="U592" s="106"/>
      <c r="V592" s="106"/>
      <c r="W592" s="106"/>
      <c r="X592" s="106"/>
      <c r="Y592" s="106"/>
      <c r="Z592" s="106"/>
      <c r="AA592" s="106"/>
      <c r="AB592" s="106"/>
      <c r="AC592" s="106"/>
      <c r="AD592" s="106"/>
      <c r="AE592" s="106"/>
      <c r="AF592" s="106"/>
      <c r="AG592" s="106"/>
      <c r="AH592" s="106"/>
      <c r="AI592" s="106"/>
      <c r="AJ592" s="106"/>
      <c r="AK592" s="106"/>
      <c r="AL592" s="106"/>
      <c r="AM592" s="106"/>
      <c r="AN592" s="106"/>
      <c r="AO592" s="106"/>
      <c r="AP592" s="106"/>
      <c r="AQ592" s="106"/>
      <c r="AR592" s="106"/>
      <c r="AS592" s="106"/>
      <c r="AT592" s="106"/>
      <c r="AU592" s="106"/>
      <c r="AV592" s="106"/>
      <c r="AW592" s="106"/>
      <c r="AX592" s="106"/>
      <c r="AY592" s="106"/>
      <c r="AZ592" s="106"/>
      <c r="BA592" s="106"/>
      <c r="BB592" s="106"/>
      <c r="BC592" s="106"/>
      <c r="BD592" s="106"/>
      <c r="BE592" s="106"/>
      <c r="BF592" s="106"/>
      <c r="BG592" s="106"/>
      <c r="BH592" s="106"/>
      <c r="BI592" s="106"/>
      <c r="BJ592" s="106"/>
      <c r="BK592" s="106"/>
      <c r="BL592" s="106"/>
      <c r="BM592" s="106"/>
      <c r="BN592" s="106"/>
      <c r="BO592" s="106"/>
      <c r="BP592" s="106"/>
    </row>
    <row r="593" spans="1:68" s="105" customFormat="1" ht="15" thickBot="1">
      <c r="B593" s="210"/>
      <c r="C593" s="210">
        <f>SUM(C586:C592)</f>
        <v>15116326.800000001</v>
      </c>
      <c r="D593" s="211"/>
      <c r="E593" s="205"/>
      <c r="F593" s="205"/>
      <c r="G593" s="184" t="s">
        <v>255</v>
      </c>
      <c r="H593" s="185"/>
      <c r="I593" s="185"/>
      <c r="J593" s="185"/>
      <c r="K593" s="185"/>
      <c r="L593" s="185"/>
      <c r="M593" s="208"/>
      <c r="N593" s="205"/>
      <c r="R593" s="106"/>
      <c r="S593" s="106"/>
      <c r="T593" s="106"/>
      <c r="U593" s="106"/>
      <c r="V593" s="106"/>
      <c r="W593" s="106"/>
      <c r="X593" s="106"/>
      <c r="Y593" s="106"/>
      <c r="Z593" s="106"/>
      <c r="AA593" s="106"/>
      <c r="AB593" s="106"/>
      <c r="AC593" s="106"/>
      <c r="AD593" s="106"/>
      <c r="AE593" s="106"/>
      <c r="AF593" s="106"/>
      <c r="AG593" s="106"/>
      <c r="AH593" s="106"/>
      <c r="AI593" s="106"/>
      <c r="AJ593" s="106"/>
      <c r="AK593" s="106"/>
      <c r="AL593" s="106"/>
      <c r="AM593" s="106"/>
      <c r="AN593" s="106"/>
      <c r="AO593" s="106"/>
      <c r="AP593" s="106"/>
      <c r="AQ593" s="106"/>
      <c r="AR593" s="106"/>
      <c r="AS593" s="106"/>
      <c r="AT593" s="106"/>
      <c r="AU593" s="106"/>
      <c r="AV593" s="106"/>
      <c r="AW593" s="106"/>
      <c r="AX593" s="106"/>
      <c r="AY593" s="106"/>
      <c r="AZ593" s="106"/>
      <c r="BA593" s="106"/>
      <c r="BB593" s="106"/>
      <c r="BC593" s="106"/>
      <c r="BD593" s="106"/>
      <c r="BE593" s="106"/>
      <c r="BF593" s="106"/>
      <c r="BG593" s="106"/>
      <c r="BH593" s="106"/>
      <c r="BI593" s="106"/>
      <c r="BJ593" s="106"/>
      <c r="BK593" s="106"/>
      <c r="BL593" s="106"/>
      <c r="BM593" s="106"/>
      <c r="BN593" s="106"/>
      <c r="BO593" s="106"/>
      <c r="BP593" s="106"/>
    </row>
    <row r="594" spans="1:68" s="105" customFormat="1" ht="15" thickTop="1">
      <c r="E594" s="205"/>
      <c r="F594" s="205"/>
      <c r="G594" s="206" t="s">
        <v>256</v>
      </c>
      <c r="H594" s="203"/>
      <c r="I594" s="203"/>
      <c r="J594" s="203"/>
      <c r="K594" s="203"/>
      <c r="L594" s="203"/>
      <c r="M594" s="207"/>
      <c r="N594" s="205"/>
      <c r="R594" s="106"/>
      <c r="S594" s="106"/>
      <c r="T594" s="106"/>
      <c r="U594" s="106"/>
      <c r="V594" s="106"/>
      <c r="W594" s="106"/>
      <c r="X594" s="106"/>
      <c r="Y594" s="106"/>
      <c r="Z594" s="106"/>
      <c r="AA594" s="106"/>
      <c r="AB594" s="106"/>
      <c r="AC594" s="106"/>
      <c r="AD594" s="106"/>
      <c r="AE594" s="106"/>
      <c r="AF594" s="106"/>
      <c r="AG594" s="106"/>
      <c r="AH594" s="106"/>
      <c r="AI594" s="106"/>
      <c r="AJ594" s="106"/>
      <c r="AK594" s="106"/>
      <c r="AL594" s="106"/>
      <c r="AM594" s="106"/>
      <c r="AN594" s="106"/>
      <c r="AO594" s="106"/>
      <c r="AP594" s="106"/>
      <c r="AQ594" s="106"/>
      <c r="AR594" s="106"/>
      <c r="AS594" s="106"/>
      <c r="AT594" s="106"/>
      <c r="AU594" s="106"/>
      <c r="AV594" s="106"/>
      <c r="AW594" s="106"/>
      <c r="AX594" s="106"/>
      <c r="AY594" s="106"/>
      <c r="AZ594" s="106"/>
      <c r="BA594" s="106"/>
      <c r="BB594" s="106"/>
      <c r="BC594" s="106"/>
      <c r="BD594" s="106"/>
      <c r="BE594" s="106"/>
      <c r="BF594" s="106"/>
      <c r="BG594" s="106"/>
      <c r="BH594" s="106"/>
      <c r="BI594" s="106"/>
      <c r="BJ594" s="106"/>
      <c r="BK594" s="106"/>
      <c r="BL594" s="106"/>
      <c r="BM594" s="106"/>
      <c r="BN594" s="106"/>
      <c r="BO594" s="106"/>
      <c r="BP594" s="106"/>
    </row>
    <row r="595" spans="1:68" s="105" customFormat="1">
      <c r="A595" s="106"/>
      <c r="B595" s="106"/>
      <c r="C595" s="106"/>
      <c r="D595" s="106"/>
      <c r="E595" s="106"/>
      <c r="F595" s="106"/>
      <c r="G595" s="106"/>
      <c r="H595" s="106"/>
      <c r="I595" s="106"/>
      <c r="J595" s="106"/>
      <c r="K595" s="106"/>
      <c r="L595" s="106"/>
      <c r="M595" s="106"/>
      <c r="N595" s="106"/>
      <c r="O595" s="106"/>
      <c r="P595" s="106"/>
      <c r="Q595" s="106"/>
      <c r="R595" s="106"/>
      <c r="S595" s="106"/>
      <c r="T595" s="106"/>
      <c r="U595" s="106"/>
      <c r="V595" s="106"/>
      <c r="W595" s="106"/>
      <c r="X595" s="106"/>
      <c r="Y595" s="106"/>
      <c r="Z595" s="106"/>
      <c r="AA595" s="106"/>
      <c r="AB595" s="106"/>
      <c r="AC595" s="106"/>
      <c r="AD595" s="106"/>
      <c r="AE595" s="106"/>
      <c r="AF595" s="106"/>
      <c r="AG595" s="106"/>
      <c r="AH595" s="106"/>
      <c r="AI595" s="106"/>
      <c r="AJ595" s="106"/>
      <c r="AK595" s="106"/>
      <c r="AL595" s="106"/>
      <c r="AM595" s="106"/>
      <c r="AN595" s="106"/>
      <c r="AO595" s="106"/>
      <c r="AP595" s="106"/>
      <c r="AQ595" s="106"/>
      <c r="AR595" s="106"/>
      <c r="AS595" s="106"/>
      <c r="AT595" s="106"/>
      <c r="AU595" s="106"/>
      <c r="AV595" s="106"/>
      <c r="AW595" s="106"/>
      <c r="AX595" s="106"/>
      <c r="AY595" s="106"/>
      <c r="AZ595" s="106"/>
      <c r="BA595" s="106"/>
      <c r="BB595" s="106"/>
      <c r="BC595" s="106"/>
      <c r="BD595" s="106"/>
      <c r="BE595" s="106"/>
      <c r="BF595" s="106"/>
      <c r="BG595" s="106"/>
      <c r="BH595" s="106"/>
      <c r="BI595" s="106"/>
      <c r="BJ595" s="106"/>
      <c r="BK595" s="106"/>
      <c r="BL595" s="106"/>
      <c r="BM595" s="106"/>
      <c r="BN595" s="106"/>
      <c r="BO595" s="106"/>
      <c r="BP595" s="106"/>
    </row>
    <row r="596" spans="1:68" s="105" customFormat="1">
      <c r="A596" s="106"/>
      <c r="B596" s="106"/>
      <c r="C596" s="106"/>
      <c r="D596" s="106"/>
      <c r="E596" s="106"/>
      <c r="F596" s="106"/>
      <c r="G596" s="106"/>
      <c r="H596" s="106"/>
      <c r="I596" s="106"/>
      <c r="J596" s="106"/>
      <c r="K596" s="106"/>
      <c r="L596" s="106"/>
      <c r="M596" s="106"/>
      <c r="N596" s="106"/>
      <c r="O596" s="106"/>
      <c r="P596" s="106" t="s">
        <v>120</v>
      </c>
      <c r="Q596" s="106" t="s">
        <v>391</v>
      </c>
      <c r="R596" s="106"/>
      <c r="S596" s="106"/>
      <c r="T596" s="106"/>
      <c r="U596" s="106"/>
      <c r="V596" s="106"/>
      <c r="W596" s="106"/>
      <c r="X596" s="106"/>
      <c r="Y596" s="106"/>
      <c r="Z596" s="106"/>
      <c r="AA596" s="106"/>
      <c r="AB596" s="106"/>
      <c r="AC596" s="106"/>
      <c r="AD596" s="106"/>
      <c r="AE596" s="106"/>
      <c r="AF596" s="106"/>
      <c r="AG596" s="106"/>
      <c r="AH596" s="106"/>
      <c r="AI596" s="106"/>
      <c r="AJ596" s="106"/>
      <c r="AK596" s="106"/>
      <c r="AL596" s="106"/>
      <c r="AM596" s="106"/>
      <c r="AN596" s="106"/>
      <c r="AO596" s="106"/>
      <c r="AP596" s="106"/>
      <c r="AQ596" s="106"/>
      <c r="AR596" s="106"/>
      <c r="AS596" s="106"/>
      <c r="AT596" s="106"/>
      <c r="AU596" s="106"/>
      <c r="AV596" s="106"/>
      <c r="AW596" s="106"/>
      <c r="AX596" s="106"/>
      <c r="AY596" s="106"/>
      <c r="AZ596" s="106"/>
      <c r="BA596" s="106"/>
      <c r="BB596" s="106"/>
      <c r="BC596" s="106"/>
      <c r="BD596" s="106"/>
      <c r="BE596" s="106"/>
      <c r="BF596" s="106"/>
      <c r="BG596" s="106"/>
      <c r="BH596" s="106"/>
      <c r="BI596" s="106"/>
      <c r="BJ596" s="106"/>
      <c r="BK596" s="106"/>
      <c r="BL596" s="106"/>
      <c r="BM596" s="106"/>
      <c r="BN596" s="106"/>
      <c r="BO596" s="106"/>
      <c r="BP596" s="106"/>
    </row>
    <row r="597" spans="1:68" s="105" customFormat="1">
      <c r="A597" s="106"/>
      <c r="B597" s="106"/>
      <c r="C597" s="106"/>
      <c r="D597" s="106"/>
      <c r="E597" s="106"/>
      <c r="F597" s="106"/>
      <c r="G597" s="106"/>
      <c r="H597" s="106"/>
      <c r="I597" s="106"/>
      <c r="J597" s="106"/>
      <c r="K597" s="106"/>
      <c r="L597" s="106"/>
      <c r="M597" s="106"/>
      <c r="N597" s="106" t="s">
        <v>436</v>
      </c>
      <c r="O597" s="106"/>
      <c r="P597" s="522">
        <f>+Q532+Q557</f>
        <v>8994276.5305144005</v>
      </c>
      <c r="Q597" s="106"/>
      <c r="R597" s="106"/>
      <c r="S597" s="106"/>
      <c r="T597" s="106"/>
      <c r="U597" s="106"/>
      <c r="V597" s="106"/>
      <c r="W597" s="106"/>
      <c r="X597" s="106"/>
      <c r="Y597" s="106"/>
      <c r="Z597" s="106"/>
      <c r="AA597" s="106"/>
      <c r="AB597" s="106"/>
      <c r="AC597" s="106"/>
      <c r="AD597" s="106"/>
      <c r="AE597" s="106"/>
      <c r="AF597" s="106"/>
      <c r="AG597" s="106"/>
      <c r="AH597" s="106"/>
      <c r="AI597" s="106"/>
      <c r="AJ597" s="106"/>
      <c r="AK597" s="106"/>
      <c r="AL597" s="106"/>
      <c r="AM597" s="106"/>
      <c r="AN597" s="106"/>
      <c r="AO597" s="106"/>
      <c r="AP597" s="106"/>
      <c r="AQ597" s="106"/>
      <c r="AR597" s="106"/>
      <c r="AS597" s="106"/>
      <c r="AT597" s="106"/>
      <c r="AU597" s="106"/>
      <c r="AV597" s="106"/>
      <c r="AW597" s="106"/>
      <c r="AX597" s="106"/>
      <c r="AY597" s="106"/>
      <c r="AZ597" s="106"/>
      <c r="BA597" s="106"/>
      <c r="BB597" s="106"/>
      <c r="BC597" s="106"/>
      <c r="BD597" s="106"/>
      <c r="BE597" s="106"/>
      <c r="BF597" s="106"/>
      <c r="BG597" s="106"/>
      <c r="BH597" s="106"/>
      <c r="BI597" s="106"/>
      <c r="BJ597" s="106"/>
      <c r="BK597" s="106"/>
      <c r="BL597" s="106"/>
      <c r="BM597" s="106"/>
      <c r="BN597" s="106"/>
      <c r="BO597" s="106"/>
      <c r="BP597" s="106"/>
    </row>
    <row r="598" spans="1:68" s="105" customFormat="1">
      <c r="A598" s="106"/>
      <c r="B598" s="106"/>
      <c r="C598" s="106"/>
      <c r="D598" s="106"/>
      <c r="E598" s="106"/>
      <c r="F598" s="106"/>
      <c r="G598" s="106"/>
      <c r="H598" s="106"/>
      <c r="I598" s="106"/>
      <c r="J598" s="106"/>
      <c r="K598" s="106"/>
      <c r="L598" s="106"/>
      <c r="M598" s="106"/>
      <c r="N598" s="106" t="s">
        <v>437</v>
      </c>
      <c r="O598" s="106"/>
      <c r="P598" s="523">
        <f>+Q535+Q539</f>
        <v>9877413.7361937035</v>
      </c>
      <c r="Q598" s="106"/>
      <c r="R598" s="106"/>
      <c r="S598" s="106"/>
      <c r="T598" s="106"/>
      <c r="U598" s="106"/>
      <c r="V598" s="106"/>
      <c r="W598" s="106"/>
      <c r="X598" s="106"/>
      <c r="Y598" s="106"/>
      <c r="Z598" s="106"/>
      <c r="AA598" s="106"/>
      <c r="AB598" s="106"/>
      <c r="AC598" s="106"/>
      <c r="AD598" s="106"/>
      <c r="AE598" s="106"/>
      <c r="AF598" s="106"/>
      <c r="AG598" s="106"/>
      <c r="AH598" s="106"/>
      <c r="AI598" s="106"/>
      <c r="AJ598" s="106"/>
      <c r="AK598" s="106"/>
      <c r="AL598" s="106"/>
      <c r="AM598" s="106"/>
      <c r="AN598" s="106"/>
      <c r="AO598" s="106"/>
      <c r="AP598" s="106"/>
      <c r="AQ598" s="106"/>
      <c r="AR598" s="106"/>
      <c r="AS598" s="106"/>
      <c r="AT598" s="106"/>
      <c r="AU598" s="106"/>
      <c r="AV598" s="106"/>
      <c r="AW598" s="106"/>
      <c r="AX598" s="106"/>
      <c r="AY598" s="106"/>
      <c r="AZ598" s="106"/>
      <c r="BA598" s="106"/>
      <c r="BB598" s="106"/>
      <c r="BC598" s="106"/>
      <c r="BD598" s="106"/>
      <c r="BE598" s="106"/>
      <c r="BF598" s="106"/>
      <c r="BG598" s="106"/>
      <c r="BH598" s="106"/>
      <c r="BI598" s="106"/>
      <c r="BJ598" s="106"/>
      <c r="BK598" s="106"/>
      <c r="BL598" s="106"/>
      <c r="BM598" s="106"/>
      <c r="BN598" s="106"/>
      <c r="BO598" s="106"/>
      <c r="BP598" s="106"/>
    </row>
    <row r="599" spans="1:68" s="105" customFormat="1">
      <c r="A599" s="106"/>
      <c r="B599" s="106"/>
      <c r="C599" s="106"/>
      <c r="D599" s="106"/>
      <c r="E599" s="106"/>
      <c r="F599" s="106"/>
      <c r="G599" s="106"/>
      <c r="H599" s="106"/>
      <c r="I599" s="106"/>
      <c r="J599" s="106"/>
      <c r="K599" s="106"/>
      <c r="L599" s="106"/>
      <c r="M599" s="106"/>
      <c r="N599" s="106" t="s">
        <v>438</v>
      </c>
      <c r="O599" s="106"/>
      <c r="P599" s="522">
        <f>+Q536+Q541+Q542+Q543+Q566+Q567+Q574</f>
        <v>12393592.66553721</v>
      </c>
      <c r="Q599" s="106"/>
      <c r="R599" s="106"/>
      <c r="S599" s="106"/>
      <c r="T599" s="106"/>
      <c r="U599" s="106"/>
      <c r="V599" s="106"/>
      <c r="W599" s="106"/>
      <c r="X599" s="106"/>
      <c r="Y599" s="106"/>
      <c r="Z599" s="106"/>
      <c r="AA599" s="106"/>
      <c r="AB599" s="106"/>
      <c r="AC599" s="106"/>
      <c r="AD599" s="106"/>
      <c r="AE599" s="106"/>
      <c r="AF599" s="106"/>
      <c r="AG599" s="106"/>
      <c r="AH599" s="106"/>
      <c r="AI599" s="106"/>
      <c r="AJ599" s="106"/>
      <c r="AK599" s="106"/>
      <c r="AL599" s="106"/>
      <c r="AM599" s="106"/>
      <c r="AN599" s="106"/>
      <c r="AO599" s="106"/>
      <c r="AP599" s="106"/>
      <c r="AQ599" s="106"/>
      <c r="AR599" s="106"/>
      <c r="AS599" s="106"/>
      <c r="AT599" s="106"/>
      <c r="AU599" s="106"/>
      <c r="AV599" s="106"/>
      <c r="AW599" s="106"/>
      <c r="AX599" s="106"/>
      <c r="AY599" s="106"/>
      <c r="AZ599" s="106"/>
      <c r="BA599" s="106"/>
      <c r="BB599" s="106"/>
      <c r="BC599" s="106"/>
      <c r="BD599" s="106"/>
      <c r="BE599" s="106"/>
      <c r="BF599" s="106"/>
      <c r="BG599" s="106"/>
      <c r="BH599" s="106"/>
      <c r="BI599" s="106"/>
      <c r="BJ599" s="106"/>
      <c r="BK599" s="106"/>
      <c r="BL599" s="106"/>
      <c r="BM599" s="106"/>
      <c r="BN599" s="106"/>
      <c r="BO599" s="106"/>
      <c r="BP599" s="106"/>
    </row>
    <row r="600" spans="1:68" s="105" customFormat="1">
      <c r="A600" s="106"/>
      <c r="B600" s="106"/>
      <c r="C600" s="106"/>
      <c r="D600" s="106"/>
      <c r="E600" s="106"/>
      <c r="F600" s="106"/>
      <c r="G600" s="106"/>
      <c r="H600" s="106"/>
      <c r="I600" s="106"/>
      <c r="J600" s="106"/>
      <c r="K600" s="106"/>
      <c r="L600" s="106"/>
      <c r="M600" s="106"/>
      <c r="N600" s="106" t="s">
        <v>439</v>
      </c>
      <c r="O600" s="106"/>
      <c r="P600" s="522">
        <f>Q537++Q551+Q552+Q553</f>
        <v>15471816.11692006</v>
      </c>
      <c r="Q600" s="106"/>
      <c r="R600" s="106"/>
      <c r="S600" s="106"/>
      <c r="T600" s="106"/>
      <c r="U600" s="106"/>
      <c r="V600" s="106"/>
      <c r="W600" s="106"/>
      <c r="X600" s="106"/>
      <c r="Y600" s="106"/>
      <c r="Z600" s="106"/>
      <c r="AA600" s="106"/>
      <c r="AB600" s="106"/>
      <c r="AC600" s="106"/>
      <c r="AD600" s="106"/>
      <c r="AE600" s="106"/>
      <c r="AF600" s="106"/>
      <c r="AG600" s="106"/>
      <c r="AH600" s="106"/>
      <c r="AI600" s="106"/>
      <c r="AJ600" s="106"/>
      <c r="AK600" s="106"/>
      <c r="AL600" s="106"/>
      <c r="AM600" s="106"/>
      <c r="AN600" s="106"/>
      <c r="AO600" s="106"/>
      <c r="AP600" s="106"/>
      <c r="AQ600" s="106"/>
      <c r="AR600" s="106"/>
      <c r="AS600" s="106"/>
      <c r="AT600" s="106"/>
      <c r="AU600" s="106"/>
      <c r="AV600" s="106"/>
      <c r="AW600" s="106"/>
      <c r="AX600" s="106"/>
      <c r="AY600" s="106"/>
      <c r="AZ600" s="106"/>
      <c r="BA600" s="106"/>
      <c r="BB600" s="106"/>
      <c r="BC600" s="106"/>
      <c r="BD600" s="106"/>
      <c r="BE600" s="106"/>
      <c r="BF600" s="106"/>
      <c r="BG600" s="106"/>
      <c r="BH600" s="106"/>
      <c r="BI600" s="106"/>
      <c r="BJ600" s="106"/>
      <c r="BK600" s="106"/>
      <c r="BL600" s="106"/>
      <c r="BM600" s="106"/>
      <c r="BN600" s="106"/>
      <c r="BO600" s="106"/>
      <c r="BP600" s="106"/>
    </row>
    <row r="601" spans="1:68">
      <c r="A601" s="106"/>
      <c r="B601" s="106"/>
      <c r="C601" s="106"/>
      <c r="D601" s="106"/>
      <c r="E601" s="106"/>
      <c r="F601" s="106"/>
      <c r="G601" s="106"/>
      <c r="H601" s="106"/>
      <c r="I601" s="106"/>
      <c r="J601" s="106"/>
      <c r="K601" s="106"/>
      <c r="L601" s="106"/>
      <c r="M601" s="106"/>
      <c r="N601" s="106" t="s">
        <v>166</v>
      </c>
      <c r="O601" s="106"/>
      <c r="P601" s="522">
        <f>+Q538</f>
        <v>261486.59734902583</v>
      </c>
      <c r="Q601" s="106"/>
    </row>
    <row r="602" spans="1:68">
      <c r="A602" s="106"/>
      <c r="B602" s="106"/>
      <c r="C602" s="106"/>
      <c r="D602" s="106"/>
      <c r="E602" s="106"/>
      <c r="F602" s="106"/>
      <c r="G602" s="106"/>
      <c r="H602" s="106"/>
      <c r="I602" s="106"/>
      <c r="J602" s="106"/>
      <c r="K602" s="106"/>
      <c r="L602" s="106"/>
      <c r="M602" s="106"/>
      <c r="N602" s="106"/>
      <c r="O602" s="106"/>
      <c r="P602" s="522">
        <f>SUM(P597:P601)</f>
        <v>46998585.646514401</v>
      </c>
      <c r="Q602" s="106"/>
    </row>
    <row r="603" spans="1:68">
      <c r="A603" s="106"/>
      <c r="B603" s="106"/>
      <c r="C603" s="106"/>
      <c r="D603" s="106"/>
      <c r="E603" s="106"/>
      <c r="F603" s="106"/>
      <c r="G603" s="106"/>
      <c r="H603" s="106"/>
      <c r="I603" s="106"/>
      <c r="J603" s="106"/>
      <c r="K603" s="106"/>
      <c r="L603" s="106"/>
      <c r="M603" s="106"/>
      <c r="N603" s="106"/>
      <c r="O603" s="106"/>
      <c r="P603" s="522">
        <f>Q579-P602</f>
        <v>0</v>
      </c>
      <c r="Q603" s="106"/>
    </row>
    <row r="604" spans="1:68">
      <c r="A604" s="106"/>
      <c r="B604" s="106"/>
      <c r="C604" s="106"/>
      <c r="D604" s="106"/>
      <c r="E604" s="106"/>
      <c r="F604" s="106"/>
      <c r="G604" s="106"/>
      <c r="H604" s="106"/>
      <c r="I604" s="106"/>
      <c r="J604" s="106"/>
      <c r="K604" s="106"/>
      <c r="L604" s="106"/>
      <c r="M604" s="106"/>
      <c r="N604" s="106"/>
      <c r="O604" s="106"/>
      <c r="P604" s="106"/>
      <c r="Q604" s="106"/>
    </row>
    <row r="605" spans="1:68" s="106" customFormat="1"/>
    <row r="606" spans="1:68" s="106" customFormat="1"/>
    <row r="607" spans="1:68" s="106" customFormat="1"/>
    <row r="608" spans="1:68" s="106" customFormat="1"/>
    <row r="609" s="106" customFormat="1"/>
    <row r="610" s="106" customFormat="1"/>
    <row r="611" s="106" customFormat="1"/>
    <row r="612" s="106" customFormat="1"/>
  </sheetData>
  <mergeCells count="54">
    <mergeCell ref="D72:E72"/>
    <mergeCell ref="G72:N72"/>
    <mergeCell ref="D3:E3"/>
    <mergeCell ref="G3:H3"/>
    <mergeCell ref="J3:K3"/>
    <mergeCell ref="M3:N3"/>
    <mergeCell ref="D4:E4"/>
    <mergeCell ref="G4:N4"/>
    <mergeCell ref="P5:Q5"/>
    <mergeCell ref="D71:E71"/>
    <mergeCell ref="G71:H71"/>
    <mergeCell ref="J71:K71"/>
    <mergeCell ref="M71:N71"/>
    <mergeCell ref="D221:E221"/>
    <mergeCell ref="G221:N221"/>
    <mergeCell ref="P73:Q73"/>
    <mergeCell ref="D147:E147"/>
    <mergeCell ref="G147:H147"/>
    <mergeCell ref="J147:K147"/>
    <mergeCell ref="M147:N147"/>
    <mergeCell ref="D148:E148"/>
    <mergeCell ref="G148:N148"/>
    <mergeCell ref="P149:Q149"/>
    <mergeCell ref="D220:E220"/>
    <mergeCell ref="G220:H220"/>
    <mergeCell ref="J220:K220"/>
    <mergeCell ref="M220:N220"/>
    <mergeCell ref="D371:E371"/>
    <mergeCell ref="G371:N371"/>
    <mergeCell ref="P222:Q222"/>
    <mergeCell ref="D297:E297"/>
    <mergeCell ref="G297:H297"/>
    <mergeCell ref="J297:K297"/>
    <mergeCell ref="M297:N297"/>
    <mergeCell ref="D298:E298"/>
    <mergeCell ref="G298:N298"/>
    <mergeCell ref="P299:Q299"/>
    <mergeCell ref="D370:E370"/>
    <mergeCell ref="G370:H370"/>
    <mergeCell ref="J370:K370"/>
    <mergeCell ref="M370:N370"/>
    <mergeCell ref="P519:Q519"/>
    <mergeCell ref="P372:Q372"/>
    <mergeCell ref="D446:E446"/>
    <mergeCell ref="G446:H446"/>
    <mergeCell ref="J446:K446"/>
    <mergeCell ref="M446:N446"/>
    <mergeCell ref="D447:E447"/>
    <mergeCell ref="G447:N447"/>
    <mergeCell ref="P448:Q448"/>
    <mergeCell ref="D518:E518"/>
    <mergeCell ref="G518:H518"/>
    <mergeCell ref="J518:K518"/>
    <mergeCell ref="M518:N518"/>
  </mergeCells>
  <printOptions horizontalCentered="1" headings="1"/>
  <pageMargins left="0.45" right="0.45" top="0.75" bottom="0.75" header="0" footer="0.3"/>
  <pageSetup paperSize="3" scale="78" fitToHeight="0" orientation="portrait" r:id="rId1"/>
  <headerFooter>
    <oddHeader>&amp;R&amp;"-,Bold"&amp;22&amp;KFF0000L 3&amp;14&amp;KFF0000
Source Document: 
A - IESO Report        &amp;  
A1 - IESO Adjustment Report</oddHeader>
    <oddFooter>&amp;L&amp;Z&amp;F
&amp;A</oddFooter>
  </headerFooter>
  <rowBreaks count="7" manualBreakCount="7">
    <brk id="68" max="16383" man="1"/>
    <brk id="144" max="16383" man="1"/>
    <brk id="217" max="16383" man="1"/>
    <brk id="294" max="16383" man="1"/>
    <brk id="367" max="16383" man="1"/>
    <brk id="443" max="16383" man="1"/>
    <brk id="51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3"/>
  <sheetViews>
    <sheetView topLeftCell="A180" workbookViewId="0">
      <selection activeCell="C302" sqref="C183:C302"/>
    </sheetView>
  </sheetViews>
  <sheetFormatPr defaultRowHeight="12.75"/>
  <cols>
    <col min="1" max="1" width="12.140625" customWidth="1"/>
    <col min="2" max="2" width="11.7109375" style="1" customWidth="1"/>
    <col min="3" max="3" width="13.42578125" style="99" customWidth="1"/>
  </cols>
  <sheetData>
    <row r="1" spans="1:3">
      <c r="B1" s="99"/>
    </row>
    <row r="2" spans="1:3" ht="25.5">
      <c r="B2" s="11" t="s">
        <v>1</v>
      </c>
      <c r="C2" s="11" t="s">
        <v>2</v>
      </c>
    </row>
    <row r="3" spans="1:3">
      <c r="A3" s="2">
        <v>33239</v>
      </c>
      <c r="B3" s="24">
        <v>1091.9000000000001</v>
      </c>
      <c r="C3" s="24">
        <v>0</v>
      </c>
    </row>
    <row r="4" spans="1:3">
      <c r="A4" s="2">
        <v>33270</v>
      </c>
      <c r="B4" s="24">
        <v>781.6</v>
      </c>
      <c r="C4" s="24">
        <v>0</v>
      </c>
    </row>
    <row r="5" spans="1:3">
      <c r="A5" s="2">
        <v>33298</v>
      </c>
      <c r="B5" s="24">
        <v>716.7</v>
      </c>
      <c r="C5" s="24">
        <v>0</v>
      </c>
    </row>
    <row r="6" spans="1:3">
      <c r="A6" s="2">
        <v>33329</v>
      </c>
      <c r="B6" s="24">
        <v>397.2</v>
      </c>
      <c r="C6" s="24">
        <v>0</v>
      </c>
    </row>
    <row r="7" spans="1:3">
      <c r="A7" s="2">
        <v>33359</v>
      </c>
      <c r="B7" s="24">
        <v>220.5</v>
      </c>
      <c r="C7" s="24">
        <v>5</v>
      </c>
    </row>
    <row r="8" spans="1:3">
      <c r="A8" s="2">
        <v>33390</v>
      </c>
      <c r="B8" s="24">
        <v>70.099999999999994</v>
      </c>
      <c r="C8" s="24">
        <v>11.6</v>
      </c>
    </row>
    <row r="9" spans="1:3">
      <c r="A9" s="2">
        <v>33420</v>
      </c>
      <c r="B9" s="24">
        <v>51</v>
      </c>
      <c r="C9" s="24">
        <v>33.200000000000003</v>
      </c>
    </row>
    <row r="10" spans="1:3">
      <c r="A10" s="2">
        <v>33451</v>
      </c>
      <c r="B10" s="24">
        <v>48.1</v>
      </c>
      <c r="C10" s="24">
        <v>57.5</v>
      </c>
    </row>
    <row r="11" spans="1:3">
      <c r="A11" s="2">
        <v>33482</v>
      </c>
      <c r="B11" s="24">
        <v>235.8</v>
      </c>
      <c r="C11" s="24">
        <v>1.8</v>
      </c>
    </row>
    <row r="12" spans="1:3">
      <c r="A12" s="2">
        <v>33512</v>
      </c>
      <c r="B12" s="24">
        <v>454.1</v>
      </c>
      <c r="C12" s="24">
        <v>0</v>
      </c>
    </row>
    <row r="13" spans="1:3">
      <c r="A13" s="2">
        <v>33543</v>
      </c>
      <c r="B13" s="24">
        <v>702</v>
      </c>
      <c r="C13" s="24">
        <v>0</v>
      </c>
    </row>
    <row r="14" spans="1:3">
      <c r="A14" s="2">
        <v>33573</v>
      </c>
      <c r="B14" s="24">
        <v>875.9</v>
      </c>
      <c r="C14" s="24">
        <v>0</v>
      </c>
    </row>
    <row r="15" spans="1:3">
      <c r="A15" s="2">
        <v>33604</v>
      </c>
      <c r="B15" s="24">
        <v>910.1</v>
      </c>
      <c r="C15" s="24">
        <v>0</v>
      </c>
    </row>
    <row r="16" spans="1:3">
      <c r="A16" s="2">
        <v>33635</v>
      </c>
      <c r="B16" s="24">
        <v>795.7</v>
      </c>
      <c r="C16" s="24">
        <v>0</v>
      </c>
    </row>
    <row r="17" spans="1:3">
      <c r="A17" s="2">
        <v>33664</v>
      </c>
      <c r="B17" s="24">
        <v>730.7</v>
      </c>
      <c r="C17" s="24">
        <v>0</v>
      </c>
    </row>
    <row r="18" spans="1:3">
      <c r="A18" s="2">
        <v>33695</v>
      </c>
      <c r="B18" s="24">
        <v>505.5</v>
      </c>
      <c r="C18" s="24">
        <v>0</v>
      </c>
    </row>
    <row r="19" spans="1:3">
      <c r="A19" s="2">
        <v>33725</v>
      </c>
      <c r="B19" s="24">
        <v>247.9</v>
      </c>
      <c r="C19" s="24">
        <v>1.1000000000000001</v>
      </c>
    </row>
    <row r="20" spans="1:3">
      <c r="A20" s="2">
        <v>33756</v>
      </c>
      <c r="B20" s="24">
        <v>175.5</v>
      </c>
      <c r="C20" s="24">
        <v>3.5</v>
      </c>
    </row>
    <row r="21" spans="1:3">
      <c r="A21" s="2">
        <v>33786</v>
      </c>
      <c r="B21" s="24">
        <v>114.6</v>
      </c>
      <c r="C21" s="24">
        <v>0.2</v>
      </c>
    </row>
    <row r="22" spans="1:3">
      <c r="A22" s="2">
        <v>33817</v>
      </c>
      <c r="B22" s="24">
        <v>105.6</v>
      </c>
      <c r="C22" s="24">
        <v>5.8</v>
      </c>
    </row>
    <row r="23" spans="1:3">
      <c r="A23" s="2">
        <v>33848</v>
      </c>
      <c r="B23" s="24">
        <v>200.2</v>
      </c>
      <c r="C23" s="24">
        <v>1.4</v>
      </c>
    </row>
    <row r="24" spans="1:3">
      <c r="A24" s="2">
        <v>33878</v>
      </c>
      <c r="B24" s="24">
        <v>427.4</v>
      </c>
      <c r="C24" s="24">
        <v>0</v>
      </c>
    </row>
    <row r="25" spans="1:3">
      <c r="A25" s="2">
        <v>33909</v>
      </c>
      <c r="B25" s="24">
        <v>635.29999999999995</v>
      </c>
      <c r="C25" s="24">
        <v>0</v>
      </c>
    </row>
    <row r="26" spans="1:3">
      <c r="A26" s="2">
        <v>33939</v>
      </c>
      <c r="B26" s="24">
        <v>781.6</v>
      </c>
      <c r="C26" s="24">
        <v>0</v>
      </c>
    </row>
    <row r="27" spans="1:3">
      <c r="A27" s="2">
        <v>33970</v>
      </c>
      <c r="B27" s="24">
        <v>718.3</v>
      </c>
      <c r="C27" s="24">
        <v>0</v>
      </c>
    </row>
    <row r="28" spans="1:3">
      <c r="A28" s="2">
        <v>34001</v>
      </c>
      <c r="B28" s="24">
        <v>684</v>
      </c>
      <c r="C28" s="24">
        <v>0</v>
      </c>
    </row>
    <row r="29" spans="1:3">
      <c r="A29" s="2">
        <v>34029</v>
      </c>
      <c r="B29" s="24">
        <v>552.70000000000005</v>
      </c>
      <c r="C29" s="24">
        <v>0</v>
      </c>
    </row>
    <row r="30" spans="1:3">
      <c r="A30" s="2">
        <v>34060</v>
      </c>
      <c r="B30" s="24">
        <v>480.7</v>
      </c>
      <c r="C30" s="24">
        <v>0</v>
      </c>
    </row>
    <row r="31" spans="1:3">
      <c r="A31" s="2">
        <v>34090</v>
      </c>
      <c r="B31" s="24">
        <v>278.7</v>
      </c>
      <c r="C31" s="24">
        <v>0</v>
      </c>
    </row>
    <row r="32" spans="1:3">
      <c r="A32" s="2">
        <v>34121</v>
      </c>
      <c r="B32" s="24">
        <v>126</v>
      </c>
      <c r="C32" s="24">
        <v>2.1</v>
      </c>
    </row>
    <row r="33" spans="1:3">
      <c r="A33" s="2">
        <v>34151</v>
      </c>
      <c r="B33" s="24">
        <v>43.7</v>
      </c>
      <c r="C33" s="24">
        <v>6.8</v>
      </c>
    </row>
    <row r="34" spans="1:3">
      <c r="A34" s="2">
        <v>34182</v>
      </c>
      <c r="B34" s="24">
        <v>38.9</v>
      </c>
      <c r="C34" s="24">
        <v>32.4</v>
      </c>
    </row>
    <row r="35" spans="1:3">
      <c r="A35" s="2">
        <v>34213</v>
      </c>
      <c r="B35" s="24">
        <v>246.1</v>
      </c>
      <c r="C35" s="24">
        <v>0</v>
      </c>
    </row>
    <row r="36" spans="1:3">
      <c r="A36" s="2">
        <v>34243</v>
      </c>
      <c r="B36" s="24">
        <v>416.3</v>
      </c>
      <c r="C36" s="24">
        <v>0</v>
      </c>
    </row>
    <row r="37" spans="1:3">
      <c r="A37" s="2">
        <v>34274</v>
      </c>
      <c r="B37" s="24">
        <v>598.9</v>
      </c>
      <c r="C37" s="24">
        <v>0</v>
      </c>
    </row>
    <row r="38" spans="1:3">
      <c r="A38" s="2">
        <v>34304</v>
      </c>
      <c r="B38" s="24">
        <v>640.1</v>
      </c>
      <c r="C38" s="24">
        <v>0</v>
      </c>
    </row>
    <row r="39" spans="1:3">
      <c r="A39" s="2">
        <v>34335</v>
      </c>
      <c r="B39" s="24">
        <v>1203.5</v>
      </c>
      <c r="C39" s="24">
        <v>0</v>
      </c>
    </row>
    <row r="40" spans="1:3">
      <c r="A40" s="2">
        <v>34366</v>
      </c>
      <c r="B40" s="24">
        <v>923.9</v>
      </c>
      <c r="C40" s="24">
        <v>0</v>
      </c>
    </row>
    <row r="41" spans="1:3">
      <c r="A41" s="2">
        <v>34394</v>
      </c>
      <c r="B41" s="24">
        <v>638.5</v>
      </c>
      <c r="C41" s="24">
        <v>0</v>
      </c>
    </row>
    <row r="42" spans="1:3">
      <c r="A42" s="2">
        <v>34425</v>
      </c>
      <c r="B42" s="24">
        <v>493.3</v>
      </c>
      <c r="C42" s="24">
        <v>0</v>
      </c>
    </row>
    <row r="43" spans="1:3">
      <c r="A43" s="2">
        <v>34455</v>
      </c>
      <c r="B43" s="24">
        <v>283.39999999999998</v>
      </c>
      <c r="C43" s="24">
        <v>0</v>
      </c>
    </row>
    <row r="44" spans="1:3">
      <c r="A44" s="2">
        <v>34486</v>
      </c>
      <c r="B44" s="24">
        <v>89.8</v>
      </c>
      <c r="C44" s="24">
        <v>11.6</v>
      </c>
    </row>
    <row r="45" spans="1:3">
      <c r="A45" s="2">
        <v>34516</v>
      </c>
      <c r="B45" s="24">
        <v>66.599999999999994</v>
      </c>
      <c r="C45" s="24">
        <v>10.9</v>
      </c>
    </row>
    <row r="46" spans="1:3">
      <c r="A46" s="2">
        <v>34547</v>
      </c>
      <c r="B46" s="24">
        <v>95.3</v>
      </c>
      <c r="C46" s="24">
        <v>9.1999999999999993</v>
      </c>
    </row>
    <row r="47" spans="1:3">
      <c r="A47" s="2">
        <v>34578</v>
      </c>
      <c r="B47" s="24">
        <v>137.80000000000001</v>
      </c>
      <c r="C47" s="24">
        <v>1.2</v>
      </c>
    </row>
    <row r="48" spans="1:3">
      <c r="A48" s="2">
        <v>34608</v>
      </c>
      <c r="B48" s="24">
        <v>321.39999999999998</v>
      </c>
      <c r="C48" s="24">
        <v>0</v>
      </c>
    </row>
    <row r="49" spans="1:3">
      <c r="A49" s="2">
        <v>34639</v>
      </c>
      <c r="B49" s="24">
        <v>553.4</v>
      </c>
      <c r="C49" s="24">
        <v>0</v>
      </c>
    </row>
    <row r="50" spans="1:3">
      <c r="A50" s="2">
        <v>34669</v>
      </c>
      <c r="B50" s="24">
        <v>761.8</v>
      </c>
      <c r="C50" s="24">
        <v>0</v>
      </c>
    </row>
    <row r="51" spans="1:3">
      <c r="A51" s="2">
        <v>34700</v>
      </c>
      <c r="B51" s="24">
        <v>913.3</v>
      </c>
      <c r="C51" s="24">
        <v>0</v>
      </c>
    </row>
    <row r="52" spans="1:3">
      <c r="A52" s="2">
        <v>34731</v>
      </c>
      <c r="B52" s="24">
        <v>874.6</v>
      </c>
      <c r="C52" s="24">
        <v>0</v>
      </c>
    </row>
    <row r="53" spans="1:3">
      <c r="A53" s="2">
        <v>34759</v>
      </c>
      <c r="B53" s="24">
        <v>696.5</v>
      </c>
      <c r="C53" s="24">
        <v>0</v>
      </c>
    </row>
    <row r="54" spans="1:3">
      <c r="A54" s="2">
        <v>34790</v>
      </c>
      <c r="B54" s="24">
        <v>524.1</v>
      </c>
      <c r="C54" s="24">
        <v>0</v>
      </c>
    </row>
    <row r="55" spans="1:3">
      <c r="A55" s="2">
        <v>34820</v>
      </c>
      <c r="B55" s="24">
        <v>256.89999999999998</v>
      </c>
      <c r="C55" s="24">
        <v>10.7</v>
      </c>
    </row>
    <row r="56" spans="1:3">
      <c r="A56" s="2">
        <v>34851</v>
      </c>
      <c r="B56" s="24">
        <v>74.7</v>
      </c>
      <c r="C56" s="24">
        <v>24.5</v>
      </c>
    </row>
    <row r="57" spans="1:3">
      <c r="A57" s="2">
        <v>34881</v>
      </c>
      <c r="B57" s="24">
        <v>49.9</v>
      </c>
      <c r="C57" s="24">
        <v>15.9</v>
      </c>
    </row>
    <row r="58" spans="1:3">
      <c r="A58" s="2">
        <v>34912</v>
      </c>
      <c r="B58" s="24">
        <v>38.6</v>
      </c>
      <c r="C58" s="24">
        <v>33.6</v>
      </c>
    </row>
    <row r="59" spans="1:3">
      <c r="A59" s="2">
        <v>34943</v>
      </c>
      <c r="B59" s="24">
        <v>229.4</v>
      </c>
      <c r="C59" s="24">
        <v>9.8000000000000007</v>
      </c>
    </row>
    <row r="60" spans="1:3">
      <c r="A60" s="2">
        <v>34973</v>
      </c>
      <c r="B60" s="24">
        <v>397</v>
      </c>
      <c r="C60" s="24">
        <v>0</v>
      </c>
    </row>
    <row r="61" spans="1:3">
      <c r="A61" s="2">
        <v>35004</v>
      </c>
      <c r="B61" s="24">
        <v>804.2</v>
      </c>
      <c r="C61" s="24">
        <v>0</v>
      </c>
    </row>
    <row r="62" spans="1:3">
      <c r="A62" s="2">
        <v>35034</v>
      </c>
      <c r="B62" s="24">
        <v>958.9</v>
      </c>
      <c r="C62" s="24">
        <v>0</v>
      </c>
    </row>
    <row r="63" spans="1:3">
      <c r="A63" s="2">
        <v>35065</v>
      </c>
      <c r="B63" s="99">
        <v>1139.4000000000001</v>
      </c>
      <c r="C63" s="99">
        <v>0</v>
      </c>
    </row>
    <row r="64" spans="1:3">
      <c r="A64" s="2">
        <v>35096</v>
      </c>
      <c r="B64" s="99">
        <v>925.8</v>
      </c>
      <c r="C64" s="99">
        <v>0</v>
      </c>
    </row>
    <row r="65" spans="1:3">
      <c r="A65" s="2">
        <v>35125</v>
      </c>
      <c r="B65" s="99">
        <v>855.9</v>
      </c>
      <c r="C65" s="99">
        <v>0</v>
      </c>
    </row>
    <row r="66" spans="1:3">
      <c r="A66" s="2">
        <v>35156</v>
      </c>
      <c r="B66" s="99">
        <v>550.4</v>
      </c>
      <c r="C66" s="99">
        <v>0</v>
      </c>
    </row>
    <row r="67" spans="1:3">
      <c r="A67" s="2">
        <v>35186</v>
      </c>
      <c r="B67" s="99">
        <v>325.89999999999998</v>
      </c>
      <c r="C67" s="99">
        <v>0</v>
      </c>
    </row>
    <row r="68" spans="1:3">
      <c r="A68" s="2">
        <v>35217</v>
      </c>
      <c r="B68" s="99">
        <v>106.8</v>
      </c>
      <c r="C68" s="99">
        <v>12.4</v>
      </c>
    </row>
    <row r="69" spans="1:3">
      <c r="A69" s="2">
        <v>35247</v>
      </c>
      <c r="B69" s="99">
        <v>60.4</v>
      </c>
      <c r="C69" s="99">
        <v>13</v>
      </c>
    </row>
    <row r="70" spans="1:3">
      <c r="A70" s="2">
        <v>35278</v>
      </c>
      <c r="B70" s="99">
        <v>38.200000000000003</v>
      </c>
      <c r="C70" s="99">
        <v>16.600000000000001</v>
      </c>
    </row>
    <row r="71" spans="1:3">
      <c r="A71" s="2">
        <v>35309</v>
      </c>
      <c r="B71" s="99">
        <v>164.2</v>
      </c>
      <c r="C71" s="99">
        <v>8.6999999999999993</v>
      </c>
    </row>
    <row r="72" spans="1:3">
      <c r="A72" s="2">
        <v>35339</v>
      </c>
      <c r="B72" s="99">
        <v>384.1</v>
      </c>
      <c r="C72" s="99">
        <v>0</v>
      </c>
    </row>
    <row r="73" spans="1:3">
      <c r="A73" s="2">
        <v>35370</v>
      </c>
      <c r="B73" s="99">
        <v>680.8</v>
      </c>
      <c r="C73" s="99">
        <v>0</v>
      </c>
    </row>
    <row r="74" spans="1:3">
      <c r="A74" s="2">
        <v>35400</v>
      </c>
      <c r="B74" s="99">
        <v>862.4</v>
      </c>
      <c r="C74" s="99">
        <v>0</v>
      </c>
    </row>
    <row r="75" spans="1:3">
      <c r="A75" s="2">
        <v>35431</v>
      </c>
      <c r="B75" s="99">
        <v>992.7</v>
      </c>
      <c r="C75" s="99">
        <v>0</v>
      </c>
    </row>
    <row r="76" spans="1:3">
      <c r="A76" s="2">
        <v>35462</v>
      </c>
      <c r="B76" s="99">
        <v>815</v>
      </c>
      <c r="C76" s="99">
        <v>0</v>
      </c>
    </row>
    <row r="77" spans="1:3">
      <c r="A77" s="2">
        <v>35490</v>
      </c>
      <c r="B77" s="99">
        <v>514.4</v>
      </c>
      <c r="C77" s="99">
        <v>0</v>
      </c>
    </row>
    <row r="78" spans="1:3">
      <c r="A78" s="2">
        <v>35521</v>
      </c>
      <c r="B78" s="99">
        <v>488.5</v>
      </c>
      <c r="C78" s="99">
        <v>0</v>
      </c>
    </row>
    <row r="79" spans="1:3">
      <c r="A79" s="2">
        <v>35551</v>
      </c>
      <c r="B79" s="99">
        <v>346.3</v>
      </c>
      <c r="C79" s="99">
        <v>0</v>
      </c>
    </row>
    <row r="80" spans="1:3">
      <c r="A80" s="2">
        <v>35582</v>
      </c>
      <c r="B80" s="99">
        <v>75.599999999999994</v>
      </c>
      <c r="C80" s="99">
        <v>15.7</v>
      </c>
    </row>
    <row r="81" spans="1:3">
      <c r="A81" s="2">
        <v>35612</v>
      </c>
      <c r="B81" s="99">
        <v>41.4</v>
      </c>
      <c r="C81" s="99">
        <v>28.2</v>
      </c>
    </row>
    <row r="82" spans="1:3">
      <c r="A82" s="2">
        <v>35643</v>
      </c>
      <c r="B82" s="99">
        <v>94.4</v>
      </c>
      <c r="C82" s="99">
        <v>18.100000000000001</v>
      </c>
    </row>
    <row r="83" spans="1:3">
      <c r="A83" s="2">
        <v>35674</v>
      </c>
      <c r="B83" s="99">
        <v>149.4</v>
      </c>
      <c r="C83" s="99">
        <v>0</v>
      </c>
    </row>
    <row r="84" spans="1:3">
      <c r="A84" s="2">
        <v>35704</v>
      </c>
      <c r="B84" s="99">
        <v>406.8</v>
      </c>
      <c r="C84" s="99">
        <v>0</v>
      </c>
    </row>
    <row r="85" spans="1:3">
      <c r="A85" s="2">
        <v>35735</v>
      </c>
      <c r="B85" s="99">
        <v>613.6</v>
      </c>
      <c r="C85" s="99">
        <v>0</v>
      </c>
    </row>
    <row r="86" spans="1:3">
      <c r="A86" s="2">
        <v>35765</v>
      </c>
      <c r="B86" s="99">
        <v>679.4</v>
      </c>
      <c r="C86" s="99">
        <v>0</v>
      </c>
    </row>
    <row r="87" spans="1:3">
      <c r="A87" s="2">
        <v>35796</v>
      </c>
      <c r="B87" s="99">
        <v>808.1</v>
      </c>
      <c r="C87" s="99">
        <v>0</v>
      </c>
    </row>
    <row r="88" spans="1:3">
      <c r="A88" s="2">
        <v>35827</v>
      </c>
      <c r="B88" s="99">
        <v>594.5</v>
      </c>
      <c r="C88" s="99">
        <v>0</v>
      </c>
    </row>
    <row r="89" spans="1:3">
      <c r="A89" s="2">
        <v>35855</v>
      </c>
      <c r="B89" s="99">
        <v>652.1</v>
      </c>
      <c r="C89" s="99">
        <v>0</v>
      </c>
    </row>
    <row r="90" spans="1:3">
      <c r="A90" s="2">
        <v>35886</v>
      </c>
      <c r="B90" s="99">
        <v>322.89999999999998</v>
      </c>
      <c r="C90" s="99">
        <v>0</v>
      </c>
    </row>
    <row r="91" spans="1:3">
      <c r="A91" s="2">
        <v>35916</v>
      </c>
      <c r="B91" s="99">
        <v>202.8</v>
      </c>
      <c r="C91" s="99">
        <v>1.3</v>
      </c>
    </row>
    <row r="92" spans="1:3">
      <c r="A92" s="2">
        <v>35947</v>
      </c>
      <c r="B92" s="99">
        <v>108.2</v>
      </c>
      <c r="C92" s="99">
        <v>10.8</v>
      </c>
    </row>
    <row r="93" spans="1:3">
      <c r="A93" s="2">
        <v>35977</v>
      </c>
      <c r="B93" s="99">
        <v>23.4</v>
      </c>
      <c r="C93" s="99">
        <v>36</v>
      </c>
    </row>
    <row r="94" spans="1:3">
      <c r="A94" s="2">
        <v>36008</v>
      </c>
      <c r="B94" s="99">
        <v>34.299999999999997</v>
      </c>
      <c r="C94" s="99">
        <v>36.700000000000003</v>
      </c>
    </row>
    <row r="95" spans="1:3">
      <c r="A95" s="2">
        <v>36039</v>
      </c>
      <c r="B95" s="99">
        <v>122.5</v>
      </c>
      <c r="C95" s="99">
        <v>7.3</v>
      </c>
    </row>
    <row r="96" spans="1:3">
      <c r="A96" s="2">
        <v>36069</v>
      </c>
      <c r="B96" s="99">
        <v>328.1</v>
      </c>
      <c r="C96" s="99">
        <v>0</v>
      </c>
    </row>
    <row r="97" spans="1:3">
      <c r="A97" s="2">
        <v>36100</v>
      </c>
      <c r="B97" s="99">
        <v>574.9</v>
      </c>
      <c r="C97" s="99">
        <v>0</v>
      </c>
    </row>
    <row r="98" spans="1:3">
      <c r="A98" s="2">
        <v>36130</v>
      </c>
      <c r="B98" s="99">
        <v>848.1</v>
      </c>
      <c r="C98" s="99">
        <v>0</v>
      </c>
    </row>
    <row r="99" spans="1:3">
      <c r="A99" s="2">
        <v>36161</v>
      </c>
      <c r="B99" s="99">
        <v>994.7</v>
      </c>
      <c r="C99" s="99">
        <v>0</v>
      </c>
    </row>
    <row r="100" spans="1:3">
      <c r="A100" s="2">
        <v>36192</v>
      </c>
      <c r="B100" s="99">
        <v>718.7</v>
      </c>
      <c r="C100" s="99">
        <v>0</v>
      </c>
    </row>
    <row r="101" spans="1:3">
      <c r="A101" s="2">
        <v>36220</v>
      </c>
      <c r="B101" s="99">
        <v>710.1</v>
      </c>
      <c r="C101" s="99">
        <v>0</v>
      </c>
    </row>
    <row r="102" spans="1:3">
      <c r="A102" s="2">
        <v>36251</v>
      </c>
      <c r="B102" s="99">
        <v>407.7</v>
      </c>
      <c r="C102" s="99">
        <v>0</v>
      </c>
    </row>
    <row r="103" spans="1:3">
      <c r="A103" s="2">
        <v>36281</v>
      </c>
      <c r="B103" s="99">
        <v>224.7</v>
      </c>
      <c r="C103" s="99">
        <v>2.6</v>
      </c>
    </row>
    <row r="104" spans="1:3">
      <c r="A104" s="2">
        <v>36312</v>
      </c>
      <c r="B104" s="99">
        <v>91.9</v>
      </c>
      <c r="C104" s="99">
        <v>11.4</v>
      </c>
    </row>
    <row r="105" spans="1:3">
      <c r="A105" s="2">
        <v>36342</v>
      </c>
      <c r="B105" s="99">
        <v>24.2</v>
      </c>
      <c r="C105" s="99">
        <v>59.3</v>
      </c>
    </row>
    <row r="106" spans="1:3">
      <c r="A106" s="2">
        <v>36373</v>
      </c>
      <c r="B106" s="99">
        <v>74</v>
      </c>
      <c r="C106" s="99">
        <v>12.2</v>
      </c>
    </row>
    <row r="107" spans="1:3">
      <c r="A107" s="2">
        <v>36404</v>
      </c>
      <c r="B107" s="99">
        <v>194</v>
      </c>
      <c r="C107" s="99">
        <v>5.7</v>
      </c>
    </row>
    <row r="108" spans="1:3">
      <c r="A108" s="2">
        <v>36434</v>
      </c>
      <c r="B108" s="99">
        <v>423.1</v>
      </c>
      <c r="C108" s="99">
        <v>0</v>
      </c>
    </row>
    <row r="109" spans="1:3">
      <c r="A109" s="2">
        <v>36465</v>
      </c>
      <c r="B109" s="99">
        <v>500.7</v>
      </c>
      <c r="C109" s="99">
        <v>0</v>
      </c>
    </row>
    <row r="110" spans="1:3">
      <c r="A110" s="2">
        <v>36495</v>
      </c>
      <c r="B110" s="99">
        <v>817.1</v>
      </c>
      <c r="C110" s="99">
        <v>0</v>
      </c>
    </row>
    <row r="111" spans="1:3">
      <c r="A111" s="2">
        <v>36526</v>
      </c>
      <c r="B111" s="99">
        <v>963.5</v>
      </c>
      <c r="C111" s="99">
        <v>0</v>
      </c>
    </row>
    <row r="112" spans="1:3">
      <c r="A112" s="2">
        <v>36557</v>
      </c>
      <c r="B112" s="99">
        <v>711.5</v>
      </c>
      <c r="C112" s="99">
        <v>0</v>
      </c>
    </row>
    <row r="113" spans="1:3">
      <c r="A113" s="2">
        <v>36586</v>
      </c>
      <c r="B113" s="99">
        <v>574.6</v>
      </c>
      <c r="C113" s="99">
        <v>0</v>
      </c>
    </row>
    <row r="114" spans="1:3">
      <c r="A114" s="2">
        <v>36617</v>
      </c>
      <c r="B114" s="99">
        <v>485.6</v>
      </c>
      <c r="C114" s="99">
        <v>0</v>
      </c>
    </row>
    <row r="115" spans="1:3">
      <c r="A115" s="2">
        <v>36647</v>
      </c>
      <c r="B115" s="99">
        <v>260.5</v>
      </c>
      <c r="C115" s="99">
        <v>0</v>
      </c>
    </row>
    <row r="116" spans="1:3">
      <c r="A116" s="2">
        <v>36678</v>
      </c>
      <c r="B116" s="99">
        <v>155.69999999999999</v>
      </c>
      <c r="C116" s="99">
        <v>2.2999999999999998</v>
      </c>
    </row>
    <row r="117" spans="1:3">
      <c r="A117" s="2">
        <v>36708</v>
      </c>
      <c r="B117" s="99">
        <v>55.7</v>
      </c>
      <c r="C117" s="99">
        <v>20.8</v>
      </c>
    </row>
    <row r="118" spans="1:3">
      <c r="A118" s="2">
        <v>36739</v>
      </c>
      <c r="B118" s="99">
        <v>63.4</v>
      </c>
      <c r="C118" s="99">
        <v>9.8000000000000007</v>
      </c>
    </row>
    <row r="119" spans="1:3">
      <c r="A119" s="2">
        <v>36770</v>
      </c>
      <c r="B119" s="99">
        <v>223.3</v>
      </c>
      <c r="C119" s="99">
        <v>0</v>
      </c>
    </row>
    <row r="120" spans="1:3">
      <c r="A120" s="2">
        <v>36800</v>
      </c>
      <c r="B120" s="99">
        <v>372.2</v>
      </c>
      <c r="C120" s="99">
        <v>0</v>
      </c>
    </row>
    <row r="121" spans="1:3">
      <c r="A121" s="2">
        <v>36831</v>
      </c>
      <c r="B121" s="99">
        <v>561.6</v>
      </c>
      <c r="C121" s="99">
        <v>0</v>
      </c>
    </row>
    <row r="122" spans="1:3">
      <c r="A122" s="2">
        <v>36861</v>
      </c>
      <c r="B122" s="99">
        <v>1041.3</v>
      </c>
      <c r="C122" s="99">
        <v>0</v>
      </c>
    </row>
    <row r="123" spans="1:3">
      <c r="A123" s="2">
        <v>36892</v>
      </c>
      <c r="B123" s="99">
        <v>898.8</v>
      </c>
      <c r="C123" s="99">
        <v>0</v>
      </c>
    </row>
    <row r="124" spans="1:3">
      <c r="A124" s="2">
        <v>36925</v>
      </c>
      <c r="B124" s="99">
        <v>918.9</v>
      </c>
      <c r="C124" s="99">
        <v>0</v>
      </c>
    </row>
    <row r="125" spans="1:3">
      <c r="A125" s="2">
        <v>36958</v>
      </c>
      <c r="B125" s="99">
        <v>702.7</v>
      </c>
      <c r="C125" s="99">
        <v>0</v>
      </c>
    </row>
    <row r="126" spans="1:3">
      <c r="A126" s="2">
        <v>36991</v>
      </c>
      <c r="B126" s="99">
        <v>430.7</v>
      </c>
      <c r="C126" s="99">
        <v>0</v>
      </c>
    </row>
    <row r="127" spans="1:3">
      <c r="A127" s="2">
        <v>37024</v>
      </c>
      <c r="B127" s="99">
        <v>239.9</v>
      </c>
      <c r="C127" s="99">
        <v>0</v>
      </c>
    </row>
    <row r="128" spans="1:3">
      <c r="A128" s="2">
        <v>37057</v>
      </c>
      <c r="B128" s="99">
        <v>114</v>
      </c>
      <c r="C128" s="99">
        <v>15.2</v>
      </c>
    </row>
    <row r="129" spans="1:3">
      <c r="A129" s="2">
        <v>37090</v>
      </c>
      <c r="B129" s="99">
        <v>67.2</v>
      </c>
      <c r="C129" s="99">
        <v>29.7</v>
      </c>
    </row>
    <row r="130" spans="1:3">
      <c r="A130" s="2">
        <v>37123</v>
      </c>
      <c r="B130" s="99">
        <v>40.200000000000003</v>
      </c>
      <c r="C130" s="99">
        <v>56.1</v>
      </c>
    </row>
    <row r="131" spans="1:3">
      <c r="A131" s="2">
        <v>37156</v>
      </c>
      <c r="B131" s="99">
        <v>187.7</v>
      </c>
      <c r="C131" s="99">
        <v>6.8</v>
      </c>
    </row>
    <row r="132" spans="1:3">
      <c r="A132" s="2">
        <v>37189</v>
      </c>
      <c r="B132" s="99">
        <v>408.6</v>
      </c>
      <c r="C132" s="99">
        <v>0</v>
      </c>
    </row>
    <row r="133" spans="1:3">
      <c r="A133" s="2">
        <v>37222</v>
      </c>
      <c r="B133" s="99">
        <v>458.8</v>
      </c>
      <c r="C133" s="99">
        <v>0</v>
      </c>
    </row>
    <row r="134" spans="1:3">
      <c r="A134" s="2">
        <v>37255</v>
      </c>
      <c r="B134" s="99">
        <v>716.4</v>
      </c>
      <c r="C134" s="99">
        <v>0</v>
      </c>
    </row>
    <row r="135" spans="1:3">
      <c r="A135" s="73">
        <v>37275</v>
      </c>
      <c r="B135" s="99">
        <v>873.9</v>
      </c>
      <c r="C135" s="99">
        <v>0</v>
      </c>
    </row>
    <row r="136" spans="1:3">
      <c r="A136" s="2">
        <v>37308</v>
      </c>
      <c r="B136" s="99">
        <v>733</v>
      </c>
      <c r="C136" s="99">
        <v>0</v>
      </c>
    </row>
    <row r="137" spans="1:3">
      <c r="A137" s="2">
        <v>37341</v>
      </c>
      <c r="B137" s="99">
        <v>804.7</v>
      </c>
      <c r="C137" s="99">
        <v>0</v>
      </c>
    </row>
    <row r="138" spans="1:3">
      <c r="A138" s="2">
        <v>37374</v>
      </c>
      <c r="B138" s="99">
        <v>462.3</v>
      </c>
      <c r="C138" s="99">
        <v>0</v>
      </c>
    </row>
    <row r="139" spans="1:3">
      <c r="A139" s="2">
        <v>37407</v>
      </c>
      <c r="B139" s="99">
        <v>335</v>
      </c>
      <c r="C139" s="99">
        <v>0.5</v>
      </c>
    </row>
    <row r="140" spans="1:3">
      <c r="A140" s="2">
        <v>37408</v>
      </c>
      <c r="B140" s="99">
        <v>114.4</v>
      </c>
      <c r="C140" s="99">
        <v>14.2</v>
      </c>
    </row>
    <row r="141" spans="1:3">
      <c r="A141" s="2">
        <v>37440</v>
      </c>
      <c r="B141" s="99">
        <v>17.899999999999999</v>
      </c>
      <c r="C141" s="99">
        <v>79.3</v>
      </c>
    </row>
    <row r="142" spans="1:3">
      <c r="A142" s="2">
        <v>37473</v>
      </c>
      <c r="B142" s="99">
        <v>49.7</v>
      </c>
      <c r="C142" s="99">
        <v>15.5</v>
      </c>
    </row>
    <row r="143" spans="1:3">
      <c r="A143" s="2">
        <v>37506</v>
      </c>
      <c r="B143" s="99">
        <v>143.5</v>
      </c>
      <c r="C143" s="99">
        <v>20.9</v>
      </c>
    </row>
    <row r="144" spans="1:3">
      <c r="A144" s="2">
        <v>37539</v>
      </c>
      <c r="B144" s="99">
        <v>510.1</v>
      </c>
      <c r="C144" s="99">
        <v>0</v>
      </c>
    </row>
    <row r="145" spans="1:3">
      <c r="A145" s="2">
        <v>37572</v>
      </c>
      <c r="B145" s="99">
        <v>668</v>
      </c>
      <c r="C145" s="99">
        <v>0</v>
      </c>
    </row>
    <row r="146" spans="1:3">
      <c r="A146" s="34">
        <v>37605</v>
      </c>
      <c r="B146" s="99">
        <v>785.6</v>
      </c>
      <c r="C146" s="99">
        <v>0</v>
      </c>
    </row>
    <row r="147" spans="1:3">
      <c r="A147" s="2">
        <v>37622</v>
      </c>
      <c r="B147" s="99">
        <v>907.4</v>
      </c>
      <c r="C147" s="99">
        <v>0</v>
      </c>
    </row>
    <row r="148" spans="1:3">
      <c r="A148" s="2">
        <v>37653</v>
      </c>
      <c r="B148" s="99">
        <v>969.6</v>
      </c>
      <c r="C148" s="99">
        <v>0</v>
      </c>
    </row>
    <row r="149" spans="1:3">
      <c r="A149" s="2">
        <v>37681</v>
      </c>
      <c r="B149" s="99">
        <v>765.1</v>
      </c>
      <c r="C149" s="99">
        <v>0</v>
      </c>
    </row>
    <row r="150" spans="1:3">
      <c r="A150" s="2">
        <v>37712</v>
      </c>
      <c r="B150" s="99">
        <v>499.3</v>
      </c>
      <c r="C150" s="99">
        <v>0</v>
      </c>
    </row>
    <row r="151" spans="1:3">
      <c r="A151" s="2">
        <v>37742</v>
      </c>
      <c r="B151" s="99">
        <v>276.39999999999998</v>
      </c>
      <c r="C151" s="99">
        <v>0</v>
      </c>
    </row>
    <row r="152" spans="1:3">
      <c r="A152" s="2">
        <v>37773</v>
      </c>
      <c r="B152" s="99">
        <v>129.30000000000001</v>
      </c>
      <c r="C152" s="99">
        <v>0</v>
      </c>
    </row>
    <row r="153" spans="1:3">
      <c r="A153" s="2">
        <v>37803</v>
      </c>
      <c r="B153" s="99">
        <v>29.9</v>
      </c>
      <c r="C153" s="99">
        <v>18.2</v>
      </c>
    </row>
    <row r="154" spans="1:3">
      <c r="A154" s="2">
        <v>37834</v>
      </c>
      <c r="B154" s="99">
        <v>35.6</v>
      </c>
      <c r="C154" s="99">
        <v>50.9</v>
      </c>
    </row>
    <row r="155" spans="1:3">
      <c r="A155" s="2">
        <v>37865</v>
      </c>
      <c r="B155" s="99">
        <v>164</v>
      </c>
      <c r="C155" s="99">
        <v>6.7</v>
      </c>
    </row>
    <row r="156" spans="1:3">
      <c r="A156" s="2">
        <v>37895</v>
      </c>
      <c r="B156" s="99">
        <v>414.2</v>
      </c>
      <c r="C156" s="99">
        <v>0</v>
      </c>
    </row>
    <row r="157" spans="1:3">
      <c r="A157" s="2">
        <v>37926</v>
      </c>
      <c r="B157" s="99">
        <v>632.9</v>
      </c>
      <c r="C157" s="99">
        <v>0</v>
      </c>
    </row>
    <row r="158" spans="1:3">
      <c r="A158" s="2">
        <v>37956</v>
      </c>
      <c r="B158" s="99">
        <v>785.9</v>
      </c>
      <c r="C158" s="99">
        <v>0</v>
      </c>
    </row>
    <row r="159" spans="1:3">
      <c r="A159" s="2">
        <v>37987</v>
      </c>
      <c r="B159" s="99">
        <v>1140.5999999999999</v>
      </c>
      <c r="C159" s="99">
        <v>0</v>
      </c>
    </row>
    <row r="160" spans="1:3">
      <c r="A160" s="2">
        <v>38018</v>
      </c>
      <c r="B160" s="99">
        <v>778.3</v>
      </c>
      <c r="C160" s="99">
        <v>0</v>
      </c>
    </row>
    <row r="161" spans="1:3">
      <c r="A161" s="2">
        <v>38047</v>
      </c>
      <c r="B161" s="99">
        <v>684.3</v>
      </c>
      <c r="C161" s="99">
        <v>0</v>
      </c>
    </row>
    <row r="162" spans="1:3">
      <c r="A162" s="2">
        <v>38078</v>
      </c>
      <c r="B162" s="99">
        <v>472.4</v>
      </c>
      <c r="C162" s="99">
        <v>0</v>
      </c>
    </row>
    <row r="163" spans="1:3">
      <c r="A163" s="2">
        <v>38108</v>
      </c>
      <c r="B163" s="99">
        <v>333.2</v>
      </c>
      <c r="C163" s="99">
        <v>0</v>
      </c>
    </row>
    <row r="164" spans="1:3">
      <c r="A164" s="2">
        <v>38139</v>
      </c>
      <c r="B164" s="99">
        <v>145.80000000000001</v>
      </c>
      <c r="C164" s="99">
        <v>3.1</v>
      </c>
    </row>
    <row r="165" spans="1:3">
      <c r="A165" s="2">
        <v>38169</v>
      </c>
      <c r="B165" s="99">
        <v>67.400000000000006</v>
      </c>
      <c r="C165" s="99">
        <v>22</v>
      </c>
    </row>
    <row r="166" spans="1:3">
      <c r="A166" s="2">
        <v>38200</v>
      </c>
      <c r="B166" s="99">
        <v>123</v>
      </c>
      <c r="C166" s="99">
        <v>1.8</v>
      </c>
    </row>
    <row r="167" spans="1:3">
      <c r="A167" s="2">
        <v>38231</v>
      </c>
      <c r="B167" s="99">
        <v>132.9</v>
      </c>
      <c r="C167" s="99">
        <v>4.7</v>
      </c>
    </row>
    <row r="168" spans="1:3">
      <c r="A168" s="2">
        <v>38261</v>
      </c>
      <c r="B168" s="99">
        <v>372.7</v>
      </c>
      <c r="C168" s="99">
        <v>0</v>
      </c>
    </row>
    <row r="169" spans="1:3">
      <c r="A169" s="2">
        <v>38292</v>
      </c>
      <c r="B169" s="99">
        <v>554.9</v>
      </c>
      <c r="C169" s="99">
        <v>0</v>
      </c>
    </row>
    <row r="170" spans="1:3">
      <c r="A170" s="2">
        <v>38322</v>
      </c>
      <c r="B170" s="99">
        <v>926.6</v>
      </c>
      <c r="C170" s="99">
        <v>0</v>
      </c>
    </row>
    <row r="171" spans="1:3">
      <c r="A171" s="2">
        <v>38353</v>
      </c>
      <c r="B171" s="99">
        <v>1084.3</v>
      </c>
      <c r="C171" s="99">
        <v>0</v>
      </c>
    </row>
    <row r="172" spans="1:3">
      <c r="A172" s="2">
        <v>38384</v>
      </c>
      <c r="B172" s="99">
        <v>755.9</v>
      </c>
      <c r="C172" s="99">
        <v>0</v>
      </c>
    </row>
    <row r="173" spans="1:3">
      <c r="A173" s="2">
        <v>38412</v>
      </c>
      <c r="B173" s="99">
        <v>814.1</v>
      </c>
      <c r="C173" s="99">
        <v>0</v>
      </c>
    </row>
    <row r="174" spans="1:3">
      <c r="A174" s="2">
        <v>38443</v>
      </c>
      <c r="B174" s="99">
        <v>408.1</v>
      </c>
      <c r="C174" s="99">
        <v>0</v>
      </c>
    </row>
    <row r="175" spans="1:3">
      <c r="A175" s="2">
        <v>38473</v>
      </c>
      <c r="B175" s="99">
        <v>306.2</v>
      </c>
      <c r="C175" s="99">
        <v>0</v>
      </c>
    </row>
    <row r="176" spans="1:3">
      <c r="A176" s="2">
        <v>38504</v>
      </c>
      <c r="B176" s="99">
        <v>72.599999999999994</v>
      </c>
      <c r="C176" s="99">
        <v>16.8</v>
      </c>
    </row>
    <row r="177" spans="1:3">
      <c r="A177" s="2">
        <v>38534</v>
      </c>
      <c r="B177" s="99">
        <v>45.3</v>
      </c>
      <c r="C177" s="99">
        <v>53</v>
      </c>
    </row>
    <row r="178" spans="1:3">
      <c r="A178" s="2">
        <v>38565</v>
      </c>
      <c r="B178" s="99">
        <v>46.3</v>
      </c>
      <c r="C178" s="99">
        <v>29.6</v>
      </c>
    </row>
    <row r="179" spans="1:3">
      <c r="A179" s="2">
        <v>38596</v>
      </c>
      <c r="B179" s="99">
        <v>148.80000000000001</v>
      </c>
      <c r="C179" s="99">
        <v>15.2</v>
      </c>
    </row>
    <row r="180" spans="1:3">
      <c r="A180" s="2">
        <v>38626</v>
      </c>
      <c r="B180" s="99">
        <v>347.3</v>
      </c>
      <c r="C180" s="99">
        <v>0</v>
      </c>
    </row>
    <row r="181" spans="1:3">
      <c r="A181" s="2">
        <v>38657</v>
      </c>
      <c r="B181" s="99">
        <v>606.9</v>
      </c>
      <c r="C181" s="99">
        <v>0</v>
      </c>
    </row>
    <row r="182" spans="1:3">
      <c r="A182" s="2">
        <v>38687</v>
      </c>
      <c r="B182" s="99">
        <v>833.4</v>
      </c>
      <c r="C182" s="99">
        <v>0</v>
      </c>
    </row>
    <row r="183" spans="1:3">
      <c r="A183" s="2">
        <v>38718</v>
      </c>
      <c r="B183" s="224">
        <f>'Weather Analysis - Thunder Bay'!P8</f>
        <v>797</v>
      </c>
      <c r="C183" s="224">
        <f>'Weather Analysis - Thunder Bay'!P28</f>
        <v>0</v>
      </c>
    </row>
    <row r="184" spans="1:3">
      <c r="A184" s="2">
        <v>38749</v>
      </c>
      <c r="B184" s="224">
        <f>'Weather Analysis - Thunder Bay'!P9</f>
        <v>873.4</v>
      </c>
      <c r="C184" s="224">
        <f>'Weather Analysis - Thunder Bay'!P29</f>
        <v>0</v>
      </c>
    </row>
    <row r="185" spans="1:3">
      <c r="A185" s="2">
        <v>38777</v>
      </c>
      <c r="B185" s="224">
        <f>'Weather Analysis - Thunder Bay'!P10</f>
        <v>659</v>
      </c>
      <c r="C185" s="224">
        <f>'Weather Analysis - Thunder Bay'!P30</f>
        <v>0</v>
      </c>
    </row>
    <row r="186" spans="1:3">
      <c r="A186" s="2">
        <v>38808</v>
      </c>
      <c r="B186" s="224">
        <f>'Weather Analysis - Thunder Bay'!P11</f>
        <v>366</v>
      </c>
      <c r="C186" s="224">
        <f>'Weather Analysis - Thunder Bay'!P31</f>
        <v>0</v>
      </c>
    </row>
    <row r="187" spans="1:3">
      <c r="A187" s="2">
        <v>38838</v>
      </c>
      <c r="B187" s="224">
        <f>'Weather Analysis - Thunder Bay'!P12</f>
        <v>241.5</v>
      </c>
      <c r="C187" s="224">
        <f>'Weather Analysis - Thunder Bay'!P32</f>
        <v>2.4</v>
      </c>
    </row>
    <row r="188" spans="1:3">
      <c r="A188" s="2">
        <v>38869</v>
      </c>
      <c r="B188" s="224">
        <f>'Weather Analysis - Thunder Bay'!P13</f>
        <v>81.5</v>
      </c>
      <c r="C188" s="224">
        <f>'Weather Analysis - Thunder Bay'!P33</f>
        <v>9.3000000000000007</v>
      </c>
    </row>
    <row r="189" spans="1:3">
      <c r="A189" s="2">
        <v>38899</v>
      </c>
      <c r="B189" s="224">
        <f>'Weather Analysis - Thunder Bay'!P14</f>
        <v>23.2</v>
      </c>
      <c r="C189" s="224">
        <f>'Weather Analysis - Thunder Bay'!P34</f>
        <v>70.099999999999994</v>
      </c>
    </row>
    <row r="190" spans="1:3">
      <c r="A190" s="2">
        <v>38930</v>
      </c>
      <c r="B190" s="224">
        <f>'Weather Analysis - Thunder Bay'!P15</f>
        <v>57.7</v>
      </c>
      <c r="C190" s="224">
        <f>'Weather Analysis - Thunder Bay'!P35</f>
        <v>31.7</v>
      </c>
    </row>
    <row r="191" spans="1:3">
      <c r="A191" s="2">
        <v>38961</v>
      </c>
      <c r="B191" s="224">
        <f>'Weather Analysis - Thunder Bay'!P16</f>
        <v>210.5</v>
      </c>
      <c r="C191" s="224">
        <f>'Weather Analysis - Thunder Bay'!P36</f>
        <v>1.2</v>
      </c>
    </row>
    <row r="192" spans="1:3">
      <c r="A192" s="2">
        <v>38991</v>
      </c>
      <c r="B192" s="224">
        <f>'Weather Analysis - Thunder Bay'!P17</f>
        <v>440.9</v>
      </c>
      <c r="C192" s="224">
        <f>'Weather Analysis - Thunder Bay'!P37</f>
        <v>0</v>
      </c>
    </row>
    <row r="193" spans="1:3">
      <c r="A193" s="2">
        <v>39022</v>
      </c>
      <c r="B193" s="224">
        <f>'Weather Analysis - Thunder Bay'!P18</f>
        <v>540.4</v>
      </c>
      <c r="C193" s="224">
        <f>'Weather Analysis - Thunder Bay'!P38</f>
        <v>0</v>
      </c>
    </row>
    <row r="194" spans="1:3">
      <c r="A194" s="2">
        <v>39052</v>
      </c>
      <c r="B194" s="224">
        <f>'Weather Analysis - Thunder Bay'!P19</f>
        <v>747.4</v>
      </c>
      <c r="C194" s="224">
        <f>'Weather Analysis - Thunder Bay'!P39</f>
        <v>0</v>
      </c>
    </row>
    <row r="195" spans="1:3">
      <c r="A195" s="2">
        <v>39083</v>
      </c>
      <c r="B195" s="224">
        <f>'Weather Analysis - Thunder Bay'!Q8</f>
        <v>913.4</v>
      </c>
      <c r="C195" s="224">
        <f>'Weather Analysis - Thunder Bay'!Q28</f>
        <v>0</v>
      </c>
    </row>
    <row r="196" spans="1:3">
      <c r="A196" s="2">
        <v>39114</v>
      </c>
      <c r="B196" s="224">
        <f>'Weather Analysis - Thunder Bay'!Q9</f>
        <v>924.7</v>
      </c>
      <c r="C196" s="224">
        <f>'Weather Analysis - Thunder Bay'!Q29</f>
        <v>0</v>
      </c>
    </row>
    <row r="197" spans="1:3">
      <c r="A197" s="2">
        <v>39142</v>
      </c>
      <c r="B197" s="224">
        <f>'Weather Analysis - Thunder Bay'!Q10</f>
        <v>665</v>
      </c>
      <c r="C197" s="224">
        <f>'Weather Analysis - Thunder Bay'!Q30</f>
        <v>0</v>
      </c>
    </row>
    <row r="198" spans="1:3">
      <c r="A198" s="2">
        <v>39173</v>
      </c>
      <c r="B198" s="224">
        <f>'Weather Analysis - Thunder Bay'!Q11</f>
        <v>474.1</v>
      </c>
      <c r="C198" s="224">
        <f>'Weather Analysis - Thunder Bay'!Q31</f>
        <v>0</v>
      </c>
    </row>
    <row r="199" spans="1:3">
      <c r="A199" s="2">
        <v>39203</v>
      </c>
      <c r="B199" s="224">
        <f>'Weather Analysis - Thunder Bay'!Q12</f>
        <v>250.9</v>
      </c>
      <c r="C199" s="224">
        <f>'Weather Analysis - Thunder Bay'!Q32</f>
        <v>0.6</v>
      </c>
    </row>
    <row r="200" spans="1:3">
      <c r="A200" s="2">
        <v>39234</v>
      </c>
      <c r="B200" s="224">
        <f>'Weather Analysis - Thunder Bay'!Q13</f>
        <v>96.7</v>
      </c>
      <c r="C200" s="224">
        <f>'Weather Analysis - Thunder Bay'!Q33</f>
        <v>6.5</v>
      </c>
    </row>
    <row r="201" spans="1:3">
      <c r="A201" s="2">
        <v>39264</v>
      </c>
      <c r="B201" s="224">
        <f>'Weather Analysis - Thunder Bay'!Q14</f>
        <v>40.200000000000003</v>
      </c>
      <c r="C201" s="224">
        <f>'Weather Analysis - Thunder Bay'!Q34</f>
        <v>51.8</v>
      </c>
    </row>
    <row r="202" spans="1:3">
      <c r="A202" s="2">
        <v>39295</v>
      </c>
      <c r="B202" s="224">
        <f>'Weather Analysis - Thunder Bay'!Q15</f>
        <v>62.9</v>
      </c>
      <c r="C202" s="224">
        <f>'Weather Analysis - Thunder Bay'!Q35</f>
        <v>22.1</v>
      </c>
    </row>
    <row r="203" spans="1:3">
      <c r="A203" s="2">
        <v>39326</v>
      </c>
      <c r="B203" s="224">
        <f>'Weather Analysis - Thunder Bay'!Q16</f>
        <v>164.7</v>
      </c>
      <c r="C203" s="224">
        <f>'Weather Analysis - Thunder Bay'!Q36</f>
        <v>9.6</v>
      </c>
    </row>
    <row r="204" spans="1:3">
      <c r="A204" s="2">
        <v>39356</v>
      </c>
      <c r="B204" s="224">
        <f>'Weather Analysis - Thunder Bay'!Q17</f>
        <v>310.60000000000002</v>
      </c>
      <c r="C204" s="224">
        <f>'Weather Analysis - Thunder Bay'!Q37</f>
        <v>0</v>
      </c>
    </row>
    <row r="205" spans="1:3">
      <c r="A205" s="2">
        <v>39387</v>
      </c>
      <c r="B205" s="224">
        <f>'Weather Analysis - Thunder Bay'!Q18</f>
        <v>620.29999999999995</v>
      </c>
      <c r="C205" s="224">
        <f>'Weather Analysis - Thunder Bay'!Q38</f>
        <v>0</v>
      </c>
    </row>
    <row r="206" spans="1:3">
      <c r="A206" s="2">
        <v>39417</v>
      </c>
      <c r="B206" s="224">
        <f>'Weather Analysis - Thunder Bay'!Q19</f>
        <v>925.8</v>
      </c>
      <c r="C206" s="224">
        <f>'Weather Analysis - Thunder Bay'!Q39</f>
        <v>0</v>
      </c>
    </row>
    <row r="207" spans="1:3">
      <c r="A207" s="2">
        <v>39448</v>
      </c>
      <c r="B207" s="225">
        <f>'Weather Analysis - Thunder Bay'!R8</f>
        <v>934.70000000000016</v>
      </c>
      <c r="C207" s="224">
        <f>'Weather Analysis - Thunder Bay'!R28</f>
        <v>0</v>
      </c>
    </row>
    <row r="208" spans="1:3">
      <c r="A208" s="2">
        <v>39479</v>
      </c>
      <c r="B208" s="225">
        <f>'Weather Analysis - Thunder Bay'!R9</f>
        <v>921.50000000000011</v>
      </c>
      <c r="C208" s="224">
        <f>'Weather Analysis - Thunder Bay'!R29</f>
        <v>0</v>
      </c>
    </row>
    <row r="209" spans="1:3">
      <c r="A209" s="2">
        <v>39508</v>
      </c>
      <c r="B209" s="225">
        <f>'Weather Analysis - Thunder Bay'!R10</f>
        <v>791.9</v>
      </c>
      <c r="C209" s="224">
        <f>'Weather Analysis - Thunder Bay'!R30</f>
        <v>0</v>
      </c>
    </row>
    <row r="210" spans="1:3">
      <c r="A210" s="2">
        <v>39539</v>
      </c>
      <c r="B210" s="225">
        <f>'Weather Analysis - Thunder Bay'!R11</f>
        <v>456.89999999999986</v>
      </c>
      <c r="C210" s="224">
        <f>'Weather Analysis - Thunder Bay'!R31</f>
        <v>0</v>
      </c>
    </row>
    <row r="211" spans="1:3">
      <c r="A211" s="2">
        <v>39569</v>
      </c>
      <c r="B211" s="225">
        <f>'Weather Analysis - Thunder Bay'!R12</f>
        <v>327.7</v>
      </c>
      <c r="C211" s="224">
        <f>'Weather Analysis - Thunder Bay'!R32</f>
        <v>0</v>
      </c>
    </row>
    <row r="212" spans="1:3">
      <c r="A212" s="2">
        <v>39600</v>
      </c>
      <c r="B212" s="225">
        <f>'Weather Analysis - Thunder Bay'!R13</f>
        <v>109.89999999999998</v>
      </c>
      <c r="C212" s="224">
        <f>'Weather Analysis - Thunder Bay'!R33</f>
        <v>4.5999999999999996</v>
      </c>
    </row>
    <row r="213" spans="1:3">
      <c r="A213" s="2">
        <v>39630</v>
      </c>
      <c r="B213" s="225">
        <f>'Weather Analysis - Thunder Bay'!R14</f>
        <v>34.700000000000003</v>
      </c>
      <c r="C213" s="224">
        <f>'Weather Analysis - Thunder Bay'!R34</f>
        <v>22.1</v>
      </c>
    </row>
    <row r="214" spans="1:3">
      <c r="A214" s="2">
        <v>39661</v>
      </c>
      <c r="B214" s="225">
        <f>'Weather Analysis - Thunder Bay'!R15</f>
        <v>50.400000000000006</v>
      </c>
      <c r="C214" s="224">
        <f>'Weather Analysis - Thunder Bay'!R35</f>
        <v>22.200000000000003</v>
      </c>
    </row>
    <row r="215" spans="1:3">
      <c r="A215" s="2">
        <v>39692</v>
      </c>
      <c r="B215" s="225">
        <f>'Weather Analysis - Thunder Bay'!R16</f>
        <v>193.29999999999998</v>
      </c>
      <c r="C215" s="224">
        <f>'Weather Analysis - Thunder Bay'!R36</f>
        <v>7</v>
      </c>
    </row>
    <row r="216" spans="1:3">
      <c r="A216" s="2">
        <v>39722</v>
      </c>
      <c r="B216" s="225">
        <f>'Weather Analysis - Thunder Bay'!R17</f>
        <v>373.09999999999997</v>
      </c>
      <c r="C216" s="224">
        <f>'Weather Analysis - Thunder Bay'!R37</f>
        <v>0</v>
      </c>
    </row>
    <row r="217" spans="1:3">
      <c r="A217" s="2">
        <v>39753</v>
      </c>
      <c r="B217" s="225">
        <f>'Weather Analysis - Thunder Bay'!R18</f>
        <v>591.00000000000011</v>
      </c>
      <c r="C217" s="224">
        <f>'Weather Analysis - Thunder Bay'!R38</f>
        <v>0</v>
      </c>
    </row>
    <row r="218" spans="1:3">
      <c r="A218" s="2">
        <v>39783</v>
      </c>
      <c r="B218" s="225">
        <f>'Weather Analysis - Thunder Bay'!R19</f>
        <v>1033.7999999999997</v>
      </c>
      <c r="C218" s="224">
        <f>'Weather Analysis - Thunder Bay'!R39</f>
        <v>0</v>
      </c>
    </row>
    <row r="219" spans="1:3">
      <c r="A219" s="2">
        <v>39814</v>
      </c>
      <c r="B219" s="225">
        <f>'Weather Analysis - Thunder Bay'!S8</f>
        <v>1093.3999999999996</v>
      </c>
      <c r="C219" s="226">
        <f>'Weather Analysis - Thunder Bay'!S28</f>
        <v>0</v>
      </c>
    </row>
    <row r="220" spans="1:3">
      <c r="A220" s="2">
        <v>39845</v>
      </c>
      <c r="B220" s="225">
        <f>'Weather Analysis - Thunder Bay'!S9</f>
        <v>838.90000000000009</v>
      </c>
      <c r="C220" s="226">
        <f>'Weather Analysis - Thunder Bay'!S29</f>
        <v>0</v>
      </c>
    </row>
    <row r="221" spans="1:3">
      <c r="A221" s="2">
        <v>39873</v>
      </c>
      <c r="B221" s="225">
        <f>'Weather Analysis - Thunder Bay'!S10</f>
        <v>762.3</v>
      </c>
      <c r="C221" s="226">
        <f>'Weather Analysis - Thunder Bay'!S30</f>
        <v>0</v>
      </c>
    </row>
    <row r="222" spans="1:3">
      <c r="A222" s="2">
        <v>39904</v>
      </c>
      <c r="B222" s="225">
        <f>'Weather Analysis - Thunder Bay'!S11</f>
        <v>453.2</v>
      </c>
      <c r="C222" s="226">
        <f>'Weather Analysis - Thunder Bay'!S31</f>
        <v>0</v>
      </c>
    </row>
    <row r="223" spans="1:3">
      <c r="A223" s="2">
        <v>39934</v>
      </c>
      <c r="B223" s="225">
        <f>'Weather Analysis - Thunder Bay'!S12</f>
        <v>319.8</v>
      </c>
      <c r="C223" s="226">
        <f>'Weather Analysis - Thunder Bay'!S32</f>
        <v>0</v>
      </c>
    </row>
    <row r="224" spans="1:3">
      <c r="A224" s="2">
        <v>39965</v>
      </c>
      <c r="B224" s="225">
        <f>'Weather Analysis - Thunder Bay'!S13</f>
        <v>141.80000000000001</v>
      </c>
      <c r="C224" s="226">
        <f>'Weather Analysis - Thunder Bay'!S33</f>
        <v>13.7</v>
      </c>
    </row>
    <row r="225" spans="1:3">
      <c r="A225" s="2">
        <v>39995</v>
      </c>
      <c r="B225" s="225">
        <f>'Weather Analysis - Thunder Bay'!S14</f>
        <v>74.5</v>
      </c>
      <c r="C225" s="226">
        <f>'Weather Analysis - Thunder Bay'!S34</f>
        <v>2</v>
      </c>
    </row>
    <row r="226" spans="1:3">
      <c r="A226" s="2">
        <v>40026</v>
      </c>
      <c r="B226" s="225">
        <f>'Weather Analysis - Thunder Bay'!S15</f>
        <v>84.2</v>
      </c>
      <c r="C226" s="226">
        <f>'Weather Analysis - Thunder Bay'!S35</f>
        <v>14.2</v>
      </c>
    </row>
    <row r="227" spans="1:3">
      <c r="A227" s="2">
        <v>40057</v>
      </c>
      <c r="B227" s="225">
        <f>'Weather Analysis - Thunder Bay'!S16</f>
        <v>102.8</v>
      </c>
      <c r="C227" s="226">
        <f>'Weather Analysis - Thunder Bay'!S36</f>
        <v>3.5</v>
      </c>
    </row>
    <row r="228" spans="1:3">
      <c r="A228" s="2">
        <v>40087</v>
      </c>
      <c r="B228" s="225">
        <f>'Weather Analysis - Thunder Bay'!S17</f>
        <v>451.40000000000003</v>
      </c>
      <c r="C228" s="226">
        <f>'Weather Analysis - Thunder Bay'!S37</f>
        <v>0</v>
      </c>
    </row>
    <row r="229" spans="1:3">
      <c r="A229" s="2">
        <v>40118</v>
      </c>
      <c r="B229" s="225">
        <f>'Weather Analysis - Thunder Bay'!S18</f>
        <v>473.49999999999994</v>
      </c>
      <c r="C229" s="226">
        <f>'Weather Analysis - Thunder Bay'!S38</f>
        <v>0</v>
      </c>
    </row>
    <row r="230" spans="1:3">
      <c r="A230" s="2">
        <v>40148</v>
      </c>
      <c r="B230" s="225">
        <f>'Weather Analysis - Thunder Bay'!S19</f>
        <v>914.89999999999986</v>
      </c>
      <c r="C230" s="226">
        <f>'Weather Analysis - Thunder Bay'!S39</f>
        <v>0</v>
      </c>
    </row>
    <row r="231" spans="1:3">
      <c r="A231" s="2">
        <v>40179</v>
      </c>
      <c r="B231" s="225">
        <f>'Weather Analysis - Thunder Bay'!T8</f>
        <v>900.20000000000027</v>
      </c>
      <c r="C231" s="226">
        <f>'Weather Analysis - Thunder Bay'!T28</f>
        <v>0</v>
      </c>
    </row>
    <row r="232" spans="1:3">
      <c r="A232" s="2">
        <v>40210</v>
      </c>
      <c r="B232" s="225">
        <f>'Weather Analysis - Thunder Bay'!T9</f>
        <v>778.39999999999975</v>
      </c>
      <c r="C232" s="226">
        <f>'Weather Analysis - Thunder Bay'!T29</f>
        <v>0</v>
      </c>
    </row>
    <row r="233" spans="1:3">
      <c r="A233" s="2">
        <v>40238</v>
      </c>
      <c r="B233" s="225">
        <f>'Weather Analysis - Thunder Bay'!T10</f>
        <v>514.4</v>
      </c>
      <c r="C233" s="226">
        <f>'Weather Analysis - Thunder Bay'!T30</f>
        <v>0</v>
      </c>
    </row>
    <row r="234" spans="1:3">
      <c r="A234" s="2">
        <v>40269</v>
      </c>
      <c r="B234" s="225">
        <f>'Weather Analysis - Thunder Bay'!T11</f>
        <v>358.00000000000011</v>
      </c>
      <c r="C234" s="226">
        <f>'Weather Analysis - Thunder Bay'!T31</f>
        <v>0</v>
      </c>
    </row>
    <row r="235" spans="1:3">
      <c r="A235" s="2">
        <v>40299</v>
      </c>
      <c r="B235" s="225">
        <f>'Weather Analysis - Thunder Bay'!T12</f>
        <v>212.40000000000003</v>
      </c>
      <c r="C235" s="226">
        <f>'Weather Analysis - Thunder Bay'!T32</f>
        <v>0.6</v>
      </c>
    </row>
    <row r="236" spans="1:3">
      <c r="A236" s="2">
        <v>40330</v>
      </c>
      <c r="B236" s="225">
        <f>'Weather Analysis - Thunder Bay'!T13</f>
        <v>106.30000000000003</v>
      </c>
      <c r="C236" s="226">
        <f>'Weather Analysis - Thunder Bay'!T33</f>
        <v>3.0000000000000004</v>
      </c>
    </row>
    <row r="237" spans="1:3">
      <c r="A237" s="2">
        <v>40360</v>
      </c>
      <c r="B237" s="225">
        <f>'Weather Analysis - Thunder Bay'!T14</f>
        <v>14.5</v>
      </c>
      <c r="C237" s="226">
        <f>'Weather Analysis - Thunder Bay'!T34</f>
        <v>52</v>
      </c>
    </row>
    <row r="238" spans="1:3">
      <c r="A238" s="2">
        <v>40391</v>
      </c>
      <c r="B238" s="225">
        <f>'Weather Analysis - Thunder Bay'!T15</f>
        <v>37.9</v>
      </c>
      <c r="C238" s="226">
        <f>'Weather Analysis - Thunder Bay'!T35</f>
        <v>55.8</v>
      </c>
    </row>
    <row r="239" spans="1:3">
      <c r="A239" s="2">
        <v>40422</v>
      </c>
      <c r="B239" s="225">
        <f>'Weather Analysis - Thunder Bay'!T16</f>
        <v>231.1</v>
      </c>
      <c r="C239" s="226">
        <f>'Weather Analysis - Thunder Bay'!T36</f>
        <v>0</v>
      </c>
    </row>
    <row r="240" spans="1:3">
      <c r="A240" s="2">
        <v>40452</v>
      </c>
      <c r="B240" s="225">
        <f>'Weather Analysis - Thunder Bay'!T17</f>
        <v>355.49999999999989</v>
      </c>
      <c r="C240" s="226">
        <f>'Weather Analysis - Thunder Bay'!T37</f>
        <v>0</v>
      </c>
    </row>
    <row r="241" spans="1:8">
      <c r="A241" s="2">
        <v>40483</v>
      </c>
      <c r="B241" s="225">
        <f>'Weather Analysis - Thunder Bay'!T18</f>
        <v>549.40000000000009</v>
      </c>
      <c r="C241" s="226">
        <f>'Weather Analysis - Thunder Bay'!T38</f>
        <v>0</v>
      </c>
    </row>
    <row r="242" spans="1:8">
      <c r="A242" s="2">
        <v>40513</v>
      </c>
      <c r="B242" s="225">
        <f>'Weather Analysis - Thunder Bay'!T19</f>
        <v>879.0999999999998</v>
      </c>
      <c r="C242" s="226">
        <f>'Weather Analysis - Thunder Bay'!T39</f>
        <v>0</v>
      </c>
    </row>
    <row r="243" spans="1:8">
      <c r="A243" s="2">
        <v>40544</v>
      </c>
      <c r="B243" s="225">
        <f>'Weather Analysis - Thunder Bay'!U8</f>
        <v>1077.9000000000003</v>
      </c>
      <c r="C243" s="226">
        <f>'Weather Analysis - Thunder Bay'!U28</f>
        <v>0</v>
      </c>
    </row>
    <row r="244" spans="1:8">
      <c r="A244" s="2">
        <v>40575</v>
      </c>
      <c r="B244" s="225">
        <f>'Weather Analysis - Thunder Bay'!U9</f>
        <v>826.9</v>
      </c>
      <c r="C244" s="226">
        <f>'Weather Analysis - Thunder Bay'!U29</f>
        <v>0</v>
      </c>
    </row>
    <row r="245" spans="1:8">
      <c r="A245" s="2">
        <v>40603</v>
      </c>
      <c r="B245" s="225">
        <f>'Weather Analysis - Thunder Bay'!U10</f>
        <v>749.9</v>
      </c>
      <c r="C245" s="226">
        <f>'Weather Analysis - Thunder Bay'!U30</f>
        <v>0</v>
      </c>
    </row>
    <row r="246" spans="1:8">
      <c r="A246" s="2">
        <v>40634</v>
      </c>
      <c r="B246" s="225">
        <f>'Weather Analysis - Thunder Bay'!U11</f>
        <v>482.30000000000007</v>
      </c>
      <c r="C246" s="226">
        <f>'Weather Analysis - Thunder Bay'!U31</f>
        <v>0</v>
      </c>
    </row>
    <row r="247" spans="1:8">
      <c r="A247" s="2">
        <v>40664</v>
      </c>
      <c r="B247" s="225">
        <f>'Weather Analysis - Thunder Bay'!U12</f>
        <v>266.99999999999994</v>
      </c>
      <c r="C247" s="226">
        <f>'Weather Analysis - Thunder Bay'!U32</f>
        <v>0</v>
      </c>
    </row>
    <row r="248" spans="1:8">
      <c r="A248" s="2">
        <v>40695</v>
      </c>
      <c r="B248" s="225">
        <f>'Weather Analysis - Thunder Bay'!U13</f>
        <v>110.1</v>
      </c>
      <c r="C248" s="226">
        <f>'Weather Analysis - Thunder Bay'!U33</f>
        <v>0</v>
      </c>
    </row>
    <row r="249" spans="1:8">
      <c r="A249" s="2">
        <v>40725</v>
      </c>
      <c r="B249" s="225">
        <f>'Weather Analysis - Thunder Bay'!U14</f>
        <v>29.8</v>
      </c>
      <c r="C249" s="226">
        <f>'Weather Analysis - Thunder Bay'!U34</f>
        <v>63.7</v>
      </c>
    </row>
    <row r="250" spans="1:8">
      <c r="A250" s="2">
        <v>40756</v>
      </c>
      <c r="B250" s="225">
        <f>'Weather Analysis - Thunder Bay'!U15</f>
        <v>22.2</v>
      </c>
      <c r="C250" s="226">
        <f>'Weather Analysis - Thunder Bay'!U35</f>
        <v>35.699999999999996</v>
      </c>
    </row>
    <row r="251" spans="1:8">
      <c r="A251" s="2">
        <v>40787</v>
      </c>
      <c r="B251" s="225">
        <f>'Weather Analysis - Thunder Bay'!U16</f>
        <v>172.3</v>
      </c>
      <c r="C251" s="226">
        <f>'Weather Analysis - Thunder Bay'!U36</f>
        <v>9.4</v>
      </c>
    </row>
    <row r="252" spans="1:8">
      <c r="A252" s="2">
        <v>40817</v>
      </c>
      <c r="B252" s="225">
        <f>'Weather Analysis - Thunder Bay'!U17</f>
        <v>337.20000000000005</v>
      </c>
      <c r="C252" s="226">
        <f>'Weather Analysis - Thunder Bay'!U37</f>
        <v>5.4</v>
      </c>
    </row>
    <row r="253" spans="1:8">
      <c r="A253" s="2">
        <v>40848</v>
      </c>
      <c r="B253" s="225">
        <f>'Weather Analysis - Thunder Bay'!U18</f>
        <v>563.20000000000005</v>
      </c>
      <c r="C253" s="226">
        <f>'Weather Analysis - Thunder Bay'!U38</f>
        <v>0</v>
      </c>
    </row>
    <row r="254" spans="1:8">
      <c r="A254" s="2">
        <v>40878</v>
      </c>
      <c r="B254" s="225">
        <f>'Weather Analysis - Thunder Bay'!U19</f>
        <v>769.8</v>
      </c>
      <c r="C254" s="226">
        <f>'Weather Analysis - Thunder Bay'!U39</f>
        <v>0</v>
      </c>
    </row>
    <row r="255" spans="1:8">
      <c r="A255" s="2">
        <v>40909</v>
      </c>
      <c r="B255" s="224">
        <f>'Weather Analysis - Thunder Bay'!V8</f>
        <v>865.69999999999993</v>
      </c>
      <c r="C255" s="224">
        <f>'Weather Analysis - Thunder Bay'!V28</f>
        <v>0</v>
      </c>
      <c r="G255" s="1">
        <f>SUM(B15:B254)</f>
        <v>108278.89999999988</v>
      </c>
      <c r="H255" s="1">
        <f>SUM(C15:C254)</f>
        <v>1490</v>
      </c>
    </row>
    <row r="256" spans="1:8">
      <c r="A256" s="2">
        <v>40940</v>
      </c>
      <c r="B256" s="224">
        <f>'Weather Analysis - Thunder Bay'!V9</f>
        <v>693.8</v>
      </c>
      <c r="C256" s="224">
        <f>'Weather Analysis - Thunder Bay'!V29</f>
        <v>0</v>
      </c>
    </row>
    <row r="257" spans="1:3">
      <c r="A257" s="2">
        <v>40969</v>
      </c>
      <c r="B257" s="224">
        <f>'Weather Analysis - Thunder Bay'!V10</f>
        <v>525.4</v>
      </c>
      <c r="C257" s="224">
        <f>'Weather Analysis - Thunder Bay'!V30</f>
        <v>0</v>
      </c>
    </row>
    <row r="258" spans="1:3">
      <c r="A258" s="2">
        <v>41000</v>
      </c>
      <c r="B258" s="224">
        <f>'Weather Analysis - Thunder Bay'!V11</f>
        <v>434.89999999999986</v>
      </c>
      <c r="C258" s="224">
        <f>'Weather Analysis - Thunder Bay'!V31</f>
        <v>0</v>
      </c>
    </row>
    <row r="259" spans="1:3">
      <c r="A259" s="2">
        <v>41030</v>
      </c>
      <c r="B259" s="224">
        <f>'Weather Analysis - Thunder Bay'!V12</f>
        <v>227.10000000000002</v>
      </c>
      <c r="C259" s="224">
        <f>'Weather Analysis - Thunder Bay'!V32</f>
        <v>0</v>
      </c>
    </row>
    <row r="260" spans="1:3">
      <c r="A260" s="2">
        <v>41061</v>
      </c>
      <c r="B260" s="224">
        <f>'Weather Analysis - Thunder Bay'!V13</f>
        <v>64.900000000000006</v>
      </c>
      <c r="C260" s="224">
        <f>'Weather Analysis - Thunder Bay'!V33</f>
        <v>18.399999999999999</v>
      </c>
    </row>
    <row r="261" spans="1:3">
      <c r="A261" s="2">
        <v>41091</v>
      </c>
      <c r="B261" s="224">
        <f>'Weather Analysis - Thunder Bay'!V14</f>
        <v>6.8</v>
      </c>
      <c r="C261" s="224">
        <f>'Weather Analysis - Thunder Bay'!V34</f>
        <v>66.5</v>
      </c>
    </row>
    <row r="262" spans="1:3">
      <c r="A262" s="2">
        <v>41122</v>
      </c>
      <c r="B262" s="224">
        <f>'Weather Analysis - Thunder Bay'!V15</f>
        <v>38.499999999999986</v>
      </c>
      <c r="C262" s="224">
        <f>'Weather Analysis - Thunder Bay'!V35</f>
        <v>27.7</v>
      </c>
    </row>
    <row r="263" spans="1:3">
      <c r="A263" s="2">
        <v>41153</v>
      </c>
      <c r="B263" s="224">
        <f>'Weather Analysis - Thunder Bay'!V16</f>
        <v>213.49999999999997</v>
      </c>
      <c r="C263" s="224">
        <f>'Weather Analysis - Thunder Bay'!V36</f>
        <v>4</v>
      </c>
    </row>
    <row r="264" spans="1:3">
      <c r="A264" s="2">
        <v>41183</v>
      </c>
      <c r="B264" s="224">
        <f>'Weather Analysis - Thunder Bay'!V17</f>
        <v>395.80000000000007</v>
      </c>
      <c r="C264" s="224">
        <f>'Weather Analysis - Thunder Bay'!V37</f>
        <v>0</v>
      </c>
    </row>
    <row r="265" spans="1:3">
      <c r="A265" s="2">
        <v>41214</v>
      </c>
      <c r="B265" s="224">
        <f>'Weather Analysis - Thunder Bay'!V18</f>
        <v>600.80000000000007</v>
      </c>
      <c r="C265" s="224">
        <f>'Weather Analysis - Thunder Bay'!V38</f>
        <v>0</v>
      </c>
    </row>
    <row r="266" spans="1:3">
      <c r="A266" s="2">
        <v>41244</v>
      </c>
      <c r="B266" s="224">
        <f>'Weather Analysis - Thunder Bay'!V19</f>
        <v>793.69999999999993</v>
      </c>
      <c r="C266" s="224">
        <f>'Weather Analysis - Thunder Bay'!V39</f>
        <v>0</v>
      </c>
    </row>
    <row r="267" spans="1:3">
      <c r="A267" s="2">
        <v>41275</v>
      </c>
      <c r="B267" s="224">
        <f>'Weather Analysis - Thunder Bay'!W8</f>
        <v>928.40000000000009</v>
      </c>
      <c r="C267" s="224">
        <f>'Weather Analysis - Thunder Bay'!W28</f>
        <v>0</v>
      </c>
    </row>
    <row r="268" spans="1:3">
      <c r="A268" s="2">
        <v>41306</v>
      </c>
      <c r="B268" s="224">
        <f>'Weather Analysis - Thunder Bay'!W9</f>
        <v>866.59999999999991</v>
      </c>
      <c r="C268" s="224">
        <f>'Weather Analysis - Thunder Bay'!W29</f>
        <v>0</v>
      </c>
    </row>
    <row r="269" spans="1:3">
      <c r="A269" s="2">
        <v>41334</v>
      </c>
      <c r="B269" s="224">
        <f>'Weather Analysis - Thunder Bay'!W10</f>
        <v>767.3</v>
      </c>
      <c r="C269" s="224">
        <f>'Weather Analysis - Thunder Bay'!W30</f>
        <v>0</v>
      </c>
    </row>
    <row r="270" spans="1:3">
      <c r="A270" s="2">
        <v>41365</v>
      </c>
      <c r="B270" s="224">
        <f>'Weather Analysis - Thunder Bay'!W11</f>
        <v>524.79999999999995</v>
      </c>
      <c r="C270" s="224">
        <f>'Weather Analysis - Thunder Bay'!W31</f>
        <v>0</v>
      </c>
    </row>
    <row r="271" spans="1:3">
      <c r="A271" s="2">
        <v>41395</v>
      </c>
      <c r="B271" s="224">
        <f>'Weather Analysis - Thunder Bay'!W12</f>
        <v>325.3</v>
      </c>
      <c r="C271" s="224">
        <f>'Weather Analysis - Thunder Bay'!W32</f>
        <v>0</v>
      </c>
    </row>
    <row r="272" spans="1:3">
      <c r="A272" s="2">
        <v>41426</v>
      </c>
      <c r="B272" s="224">
        <f>'Weather Analysis - Thunder Bay'!W13</f>
        <v>130.9</v>
      </c>
      <c r="C272" s="224">
        <f>'Weather Analysis - Thunder Bay'!W33</f>
        <v>5.5</v>
      </c>
    </row>
    <row r="273" spans="1:3">
      <c r="A273" s="2">
        <v>41456</v>
      </c>
      <c r="B273" s="224">
        <f>'Weather Analysis - Thunder Bay'!W14</f>
        <v>60.7</v>
      </c>
      <c r="C273" s="224">
        <f>'Weather Analysis - Thunder Bay'!W34</f>
        <v>28.000000000000007</v>
      </c>
    </row>
    <row r="274" spans="1:3">
      <c r="A274" s="2">
        <v>41487</v>
      </c>
      <c r="B274" s="224">
        <f>'Weather Analysis - Thunder Bay'!W15</f>
        <v>45.8</v>
      </c>
      <c r="C274" s="224">
        <f>'Weather Analysis - Thunder Bay'!W35</f>
        <v>41.8</v>
      </c>
    </row>
    <row r="275" spans="1:3">
      <c r="A275" s="2">
        <v>41518</v>
      </c>
      <c r="B275" s="224">
        <f>'Weather Analysis - Thunder Bay'!W16</f>
        <v>178.79999999999995</v>
      </c>
      <c r="C275" s="224">
        <f>'Weather Analysis - Thunder Bay'!W36</f>
        <v>0</v>
      </c>
    </row>
    <row r="276" spans="1:3">
      <c r="A276" s="2">
        <v>41548</v>
      </c>
      <c r="B276" s="224">
        <f>'Weather Analysis - Thunder Bay'!W17</f>
        <v>328.50000000000006</v>
      </c>
      <c r="C276" s="224">
        <f>'Weather Analysis - Thunder Bay'!W37</f>
        <v>0</v>
      </c>
    </row>
    <row r="277" spans="1:3">
      <c r="A277" s="2">
        <v>41579</v>
      </c>
      <c r="B277" s="224">
        <f>'Weather Analysis - Thunder Bay'!W18</f>
        <v>620.6</v>
      </c>
      <c r="C277" s="224">
        <f>'Weather Analysis - Thunder Bay'!W38</f>
        <v>0</v>
      </c>
    </row>
    <row r="278" spans="1:3">
      <c r="A278" s="2">
        <v>41609</v>
      </c>
      <c r="B278" s="224">
        <f>'Weather Analysis - Thunder Bay'!W19</f>
        <v>1112.8999999999999</v>
      </c>
      <c r="C278" s="224">
        <f>'Weather Analysis - Thunder Bay'!W39</f>
        <v>0</v>
      </c>
    </row>
    <row r="279" spans="1:3">
      <c r="A279" s="2">
        <v>41640</v>
      </c>
      <c r="B279" s="224">
        <f>'Weather Analysis - Thunder Bay'!X8</f>
        <v>1119.5999999999997</v>
      </c>
      <c r="C279" s="224">
        <f>'Weather Analysis - Thunder Bay'!X28</f>
        <v>0</v>
      </c>
    </row>
    <row r="280" spans="1:3">
      <c r="A280" s="2">
        <v>41671</v>
      </c>
      <c r="B280" s="224">
        <f>'Weather Analysis - Thunder Bay'!X9</f>
        <v>978.39999999999986</v>
      </c>
      <c r="C280" s="224">
        <f>'Weather Analysis - Thunder Bay'!X29</f>
        <v>0</v>
      </c>
    </row>
    <row r="281" spans="1:3">
      <c r="A281" s="2">
        <v>41699</v>
      </c>
      <c r="B281" s="224">
        <f>'Weather Analysis - Thunder Bay'!X10</f>
        <v>883.5</v>
      </c>
      <c r="C281" s="224">
        <f>'Weather Analysis - Thunder Bay'!X30</f>
        <v>0</v>
      </c>
    </row>
    <row r="282" spans="1:3">
      <c r="A282" s="2">
        <v>41730</v>
      </c>
      <c r="B282" s="224">
        <f>'Weather Analysis - Thunder Bay'!X11</f>
        <v>522.9</v>
      </c>
      <c r="C282" s="224">
        <f>'Weather Analysis - Thunder Bay'!X31</f>
        <v>0</v>
      </c>
    </row>
    <row r="283" spans="1:3">
      <c r="A283" s="2">
        <v>41760</v>
      </c>
      <c r="B283" s="224">
        <f>'Weather Analysis - Thunder Bay'!X12</f>
        <v>266.90000000000003</v>
      </c>
      <c r="C283" s="224">
        <f>'Weather Analysis - Thunder Bay'!X32</f>
        <v>1.1000000000000001</v>
      </c>
    </row>
    <row r="284" spans="1:3">
      <c r="A284" s="2">
        <v>41791</v>
      </c>
      <c r="B284" s="224">
        <f>'Weather Analysis - Thunder Bay'!X13</f>
        <v>135.19999999999999</v>
      </c>
      <c r="C284" s="224">
        <f>'Weather Analysis - Thunder Bay'!X33</f>
        <v>6</v>
      </c>
    </row>
    <row r="285" spans="1:3">
      <c r="A285" s="2">
        <v>41821</v>
      </c>
      <c r="B285" s="224">
        <f>'Weather Analysis - Thunder Bay'!X14</f>
        <v>47.199999999999989</v>
      </c>
      <c r="C285" s="224">
        <f>'Weather Analysis - Thunder Bay'!X34</f>
        <v>9.5</v>
      </c>
    </row>
    <row r="286" spans="1:3">
      <c r="A286" s="2">
        <v>41852</v>
      </c>
      <c r="B286" s="224">
        <f>'Weather Analysis - Thunder Bay'!X15</f>
        <v>65.200000000000017</v>
      </c>
      <c r="C286" s="224">
        <f>'Weather Analysis - Thunder Bay'!X35</f>
        <v>10.099999999999998</v>
      </c>
    </row>
    <row r="287" spans="1:3">
      <c r="A287" s="2">
        <v>41883</v>
      </c>
      <c r="B287" s="224">
        <f>'Weather Analysis - Thunder Bay'!X16</f>
        <v>196.5</v>
      </c>
      <c r="C287" s="224">
        <f>'Weather Analysis - Thunder Bay'!X36</f>
        <v>0</v>
      </c>
    </row>
    <row r="288" spans="1:3">
      <c r="A288" s="2">
        <v>41913</v>
      </c>
      <c r="B288" s="224">
        <f>'Weather Analysis - Thunder Bay'!X17</f>
        <v>382.59999999999997</v>
      </c>
      <c r="C288" s="224">
        <f>'Weather Analysis - Thunder Bay'!X37</f>
        <v>0</v>
      </c>
    </row>
    <row r="289" spans="1:3">
      <c r="A289" s="2">
        <v>41944</v>
      </c>
      <c r="B289" s="224">
        <f>'Weather Analysis - Thunder Bay'!X18</f>
        <v>647.79999999999995</v>
      </c>
      <c r="C289" s="224">
        <f>'Weather Analysis - Thunder Bay'!X38</f>
        <v>0</v>
      </c>
    </row>
    <row r="290" spans="1:3">
      <c r="A290" s="2">
        <v>41974</v>
      </c>
      <c r="B290" s="224">
        <f>'Weather Analysis - Thunder Bay'!X19</f>
        <v>780.59999999999991</v>
      </c>
      <c r="C290" s="224">
        <f>'Weather Analysis - Thunder Bay'!X39</f>
        <v>0</v>
      </c>
    </row>
    <row r="291" spans="1:3">
      <c r="A291" s="2">
        <v>42005</v>
      </c>
      <c r="B291" s="224">
        <f>'Weather Analysis - Thunder Bay'!Y8</f>
        <v>979.49999999999989</v>
      </c>
      <c r="C291" s="224">
        <f>'Weather Analysis - Thunder Bay'!Y28</f>
        <v>0</v>
      </c>
    </row>
    <row r="292" spans="1:3">
      <c r="A292" s="2">
        <v>42036</v>
      </c>
      <c r="B292" s="224">
        <f>'Weather Analysis - Thunder Bay'!Y9</f>
        <v>1053.3</v>
      </c>
      <c r="C292" s="224">
        <f>'Weather Analysis - Thunder Bay'!Y29</f>
        <v>0</v>
      </c>
    </row>
    <row r="293" spans="1:3">
      <c r="A293" s="2">
        <v>42064</v>
      </c>
      <c r="B293" s="224">
        <f>'Weather Analysis - Thunder Bay'!Y10</f>
        <v>710.39999999999986</v>
      </c>
      <c r="C293" s="224">
        <f>'Weather Analysis - Thunder Bay'!Y30</f>
        <v>0</v>
      </c>
    </row>
    <row r="294" spans="1:3">
      <c r="A294" s="2">
        <v>42095</v>
      </c>
      <c r="B294" s="224">
        <f>'Weather Analysis - Thunder Bay'!Y11</f>
        <v>432.09999999999997</v>
      </c>
      <c r="C294" s="224">
        <f>'Weather Analysis - Thunder Bay'!Y31</f>
        <v>0</v>
      </c>
    </row>
    <row r="295" spans="1:3">
      <c r="A295" s="2">
        <v>42125</v>
      </c>
      <c r="B295" s="224">
        <f>'Weather Analysis - Thunder Bay'!Y12</f>
        <v>276</v>
      </c>
      <c r="C295" s="224">
        <f>'Weather Analysis - Thunder Bay'!Y32</f>
        <v>0</v>
      </c>
    </row>
    <row r="296" spans="1:3">
      <c r="A296" s="2">
        <v>42156</v>
      </c>
      <c r="B296" s="224">
        <f>'Weather Analysis - Thunder Bay'!Y13</f>
        <v>118.60000000000004</v>
      </c>
      <c r="C296" s="224">
        <f>'Weather Analysis - Thunder Bay'!Y33</f>
        <v>0</v>
      </c>
    </row>
    <row r="297" spans="1:3">
      <c r="A297" s="2">
        <v>42186</v>
      </c>
      <c r="B297" s="224">
        <f>'Weather Analysis - Thunder Bay'!Y14</f>
        <v>31.7</v>
      </c>
      <c r="C297" s="224">
        <f>'Weather Analysis - Thunder Bay'!Y34</f>
        <v>38.000000000000007</v>
      </c>
    </row>
    <row r="298" spans="1:3">
      <c r="A298" s="2">
        <v>42217</v>
      </c>
      <c r="B298" s="224">
        <f>'Weather Analysis - Thunder Bay'!Y15</f>
        <v>50.7</v>
      </c>
      <c r="C298" s="224">
        <f>'Weather Analysis - Thunder Bay'!Y35</f>
        <v>35.4</v>
      </c>
    </row>
    <row r="299" spans="1:3">
      <c r="A299" s="2">
        <v>42248</v>
      </c>
      <c r="B299" s="224">
        <f>'Weather Analysis - Thunder Bay'!Y16</f>
        <v>106.20000000000002</v>
      </c>
      <c r="C299" s="224">
        <f>'Weather Analysis - Thunder Bay'!Y36</f>
        <v>15.8</v>
      </c>
    </row>
    <row r="300" spans="1:3">
      <c r="A300" s="2">
        <v>42278</v>
      </c>
      <c r="B300" s="224">
        <f>'Weather Analysis - Thunder Bay'!Y17</f>
        <v>345.9</v>
      </c>
      <c r="C300" s="224">
        <f>'Weather Analysis - Thunder Bay'!Y37</f>
        <v>0</v>
      </c>
    </row>
    <row r="301" spans="1:3">
      <c r="A301" s="2">
        <v>42309</v>
      </c>
      <c r="B301" s="224">
        <f>'Weather Analysis - Thunder Bay'!Y18</f>
        <v>469.10000000000008</v>
      </c>
      <c r="C301" s="224">
        <f>'Weather Analysis - Thunder Bay'!Y38</f>
        <v>0</v>
      </c>
    </row>
    <row r="302" spans="1:3">
      <c r="A302" s="2">
        <v>42339</v>
      </c>
      <c r="B302" s="224">
        <f>'Weather Analysis - Thunder Bay'!Y19</f>
        <v>564.90000000000009</v>
      </c>
      <c r="C302" s="224">
        <f>'Weather Analysis - Thunder Bay'!Y39</f>
        <v>0</v>
      </c>
    </row>
    <row r="303" spans="1:3">
      <c r="B303" s="1">
        <f>SUM(B15:B302)</f>
        <v>130195.19999999987</v>
      </c>
      <c r="C303" s="99">
        <f>SUM(C15:C302)</f>
        <v>1797.8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4"/>
  <sheetViews>
    <sheetView topLeftCell="P4" workbookViewId="0">
      <selection activeCell="AA8" sqref="AA8"/>
    </sheetView>
  </sheetViews>
  <sheetFormatPr defaultRowHeight="12.75"/>
  <cols>
    <col min="6" max="6" width="9.28515625" style="75" customWidth="1"/>
    <col min="7" max="7" width="9.5703125" style="75" customWidth="1"/>
    <col min="26" max="26" width="11.28515625" bestFit="1" customWidth="1"/>
    <col min="27" max="27" width="11" bestFit="1" customWidth="1"/>
  </cols>
  <sheetData>
    <row r="1" spans="1:27">
      <c r="A1" s="20" t="s">
        <v>121</v>
      </c>
      <c r="E1" s="619" t="s">
        <v>122</v>
      </c>
      <c r="F1" s="619"/>
      <c r="G1" s="20" t="s">
        <v>123</v>
      </c>
      <c r="H1" s="20"/>
      <c r="I1" s="20"/>
      <c r="J1" s="20"/>
    </row>
    <row r="2" spans="1:27">
      <c r="A2" s="74"/>
      <c r="B2" s="74"/>
    </row>
    <row r="3" spans="1:27">
      <c r="A3" s="76" t="s">
        <v>124</v>
      </c>
      <c r="B3" s="76"/>
      <c r="C3" s="76"/>
      <c r="D3" s="76"/>
      <c r="E3" s="76"/>
      <c r="F3" s="77"/>
      <c r="G3" s="77"/>
    </row>
    <row r="4" spans="1:27">
      <c r="A4" s="78"/>
      <c r="B4" s="78"/>
      <c r="C4" s="78"/>
      <c r="D4" s="78"/>
      <c r="E4" s="78"/>
      <c r="F4" s="79"/>
      <c r="G4" s="79"/>
    </row>
    <row r="5" spans="1:27">
      <c r="A5" s="80" t="s">
        <v>125</v>
      </c>
      <c r="B5" s="80">
        <v>1992</v>
      </c>
      <c r="C5" s="80">
        <v>1993</v>
      </c>
      <c r="D5" s="80">
        <v>1994</v>
      </c>
      <c r="E5" s="80">
        <v>1995</v>
      </c>
      <c r="F5" s="80">
        <v>1996</v>
      </c>
      <c r="G5" s="80">
        <v>1997</v>
      </c>
      <c r="H5" s="80">
        <v>1998</v>
      </c>
      <c r="I5" s="80">
        <v>1999</v>
      </c>
      <c r="J5" s="80">
        <v>2000</v>
      </c>
      <c r="K5" s="80">
        <f t="shared" ref="K5:Y5" si="0">K25</f>
        <v>2001</v>
      </c>
      <c r="L5" s="80">
        <f t="shared" si="0"/>
        <v>2002</v>
      </c>
      <c r="M5" s="80">
        <f t="shared" si="0"/>
        <v>2003</v>
      </c>
      <c r="N5" s="80">
        <f t="shared" si="0"/>
        <v>2004</v>
      </c>
      <c r="O5" s="80">
        <f t="shared" si="0"/>
        <v>2005</v>
      </c>
      <c r="P5" s="80">
        <f t="shared" si="0"/>
        <v>2006</v>
      </c>
      <c r="Q5" s="80">
        <f t="shared" si="0"/>
        <v>2007</v>
      </c>
      <c r="R5" s="80">
        <f t="shared" si="0"/>
        <v>2008</v>
      </c>
      <c r="S5" s="80">
        <f t="shared" si="0"/>
        <v>2009</v>
      </c>
      <c r="T5" s="80">
        <f t="shared" si="0"/>
        <v>2010</v>
      </c>
      <c r="U5" s="80">
        <f t="shared" si="0"/>
        <v>2011</v>
      </c>
      <c r="V5" s="80">
        <f t="shared" si="0"/>
        <v>2012</v>
      </c>
      <c r="W5" s="80">
        <f t="shared" si="0"/>
        <v>2013</v>
      </c>
      <c r="X5" s="80">
        <f t="shared" si="0"/>
        <v>2014</v>
      </c>
      <c r="Y5" s="80">
        <f t="shared" si="0"/>
        <v>2015</v>
      </c>
      <c r="Z5" s="81" t="s">
        <v>126</v>
      </c>
      <c r="AA5" s="81" t="s">
        <v>127</v>
      </c>
    </row>
    <row r="6" spans="1:27">
      <c r="A6" s="78"/>
      <c r="B6" s="78"/>
      <c r="C6" s="78"/>
      <c r="D6" s="78"/>
      <c r="E6" s="78"/>
      <c r="F6" s="77"/>
      <c r="G6" s="77"/>
    </row>
    <row r="7" spans="1:27">
      <c r="A7" s="82"/>
      <c r="B7" s="82"/>
      <c r="C7" s="82"/>
      <c r="D7" s="82"/>
      <c r="E7" s="82"/>
      <c r="F7" s="77"/>
      <c r="G7" s="77"/>
      <c r="H7" s="77"/>
      <c r="I7" s="77"/>
    </row>
    <row r="8" spans="1:27">
      <c r="A8" s="82" t="s">
        <v>128</v>
      </c>
      <c r="B8" s="83">
        <v>910.1</v>
      </c>
      <c r="C8" s="83">
        <v>718.3</v>
      </c>
      <c r="D8" s="83">
        <v>1203.5</v>
      </c>
      <c r="E8" s="83">
        <v>913.3</v>
      </c>
      <c r="F8" s="83">
        <v>1139.4000000000001</v>
      </c>
      <c r="G8" s="83">
        <v>992.7</v>
      </c>
      <c r="H8" s="83">
        <v>808.1</v>
      </c>
      <c r="I8" s="83">
        <v>994.7</v>
      </c>
      <c r="J8" s="83">
        <v>963.5</v>
      </c>
      <c r="K8" s="83">
        <v>898.8</v>
      </c>
      <c r="L8" s="83">
        <v>873.9</v>
      </c>
      <c r="M8" s="83">
        <v>907.4</v>
      </c>
      <c r="N8" s="83">
        <v>1140.5999999999999</v>
      </c>
      <c r="O8" s="83">
        <v>1084.3</v>
      </c>
      <c r="P8" s="83">
        <v>797</v>
      </c>
      <c r="Q8" s="83">
        <v>913.4</v>
      </c>
      <c r="R8" s="83">
        <v>934.70000000000016</v>
      </c>
      <c r="S8" s="83">
        <v>1093.3999999999996</v>
      </c>
      <c r="T8" s="83">
        <v>900.20000000000027</v>
      </c>
      <c r="U8" s="83">
        <v>1077.9000000000003</v>
      </c>
      <c r="V8" s="83">
        <v>865.69999999999993</v>
      </c>
      <c r="W8" s="83">
        <v>928.40000000000009</v>
      </c>
      <c r="X8" s="83">
        <v>1119.5999999999997</v>
      </c>
      <c r="Y8" s="83">
        <v>979.49999999999989</v>
      </c>
      <c r="Z8" s="84">
        <f>AVERAGE(P8:Y8)</f>
        <v>960.98000000000013</v>
      </c>
      <c r="AA8" s="85">
        <f>TREND(F8:Y8,$F$25:$Y$25,2017)</f>
        <v>981.22443609022571</v>
      </c>
    </row>
    <row r="9" spans="1:27">
      <c r="A9" s="82" t="s">
        <v>129</v>
      </c>
      <c r="B9" s="83">
        <v>795.7</v>
      </c>
      <c r="C9" s="83">
        <v>684</v>
      </c>
      <c r="D9" s="83">
        <v>923.9</v>
      </c>
      <c r="E9" s="83">
        <v>874.6</v>
      </c>
      <c r="F9" s="83">
        <v>925.8</v>
      </c>
      <c r="G9" s="83">
        <v>815</v>
      </c>
      <c r="H9" s="83">
        <v>594.5</v>
      </c>
      <c r="I9" s="83">
        <v>718.7</v>
      </c>
      <c r="J9" s="83">
        <v>711.5</v>
      </c>
      <c r="K9" s="83">
        <v>918.9</v>
      </c>
      <c r="L9" s="83">
        <v>733</v>
      </c>
      <c r="M9" s="83">
        <v>969.6</v>
      </c>
      <c r="N9" s="83">
        <v>778.3</v>
      </c>
      <c r="O9" s="83">
        <v>755.9</v>
      </c>
      <c r="P9" s="83">
        <v>873.4</v>
      </c>
      <c r="Q9" s="83">
        <v>924.7</v>
      </c>
      <c r="R9" s="83">
        <v>921.50000000000011</v>
      </c>
      <c r="S9" s="83">
        <v>838.90000000000009</v>
      </c>
      <c r="T9" s="83">
        <v>778.39999999999975</v>
      </c>
      <c r="U9" s="83">
        <v>826.9</v>
      </c>
      <c r="V9" s="83">
        <v>693.8</v>
      </c>
      <c r="W9" s="83">
        <v>866.59999999999991</v>
      </c>
      <c r="X9" s="83">
        <v>978.39999999999986</v>
      </c>
      <c r="Y9" s="83">
        <v>1053.3</v>
      </c>
      <c r="Z9" s="84">
        <f t="shared" ref="Z9:Z19" si="1">AVERAGE(P9:Y9)</f>
        <v>875.5899999999998</v>
      </c>
      <c r="AA9" s="85">
        <f t="shared" ref="AA9:AA19" si="2">TREND(F9:Y9,$F$25:$Y$25,2017)</f>
        <v>920.49842105263269</v>
      </c>
    </row>
    <row r="10" spans="1:27">
      <c r="A10" s="82" t="s">
        <v>130</v>
      </c>
      <c r="B10" s="83">
        <v>730.7</v>
      </c>
      <c r="C10" s="83">
        <v>552.70000000000005</v>
      </c>
      <c r="D10" s="83">
        <v>638.5</v>
      </c>
      <c r="E10" s="83">
        <v>696.5</v>
      </c>
      <c r="F10" s="83">
        <v>855.9</v>
      </c>
      <c r="G10" s="83">
        <v>514.4</v>
      </c>
      <c r="H10" s="83">
        <v>652.1</v>
      </c>
      <c r="I10" s="83">
        <v>710.1</v>
      </c>
      <c r="J10" s="83">
        <v>574.6</v>
      </c>
      <c r="K10" s="83">
        <v>702.7</v>
      </c>
      <c r="L10" s="83">
        <v>804.7</v>
      </c>
      <c r="M10" s="83">
        <v>765.1</v>
      </c>
      <c r="N10" s="83">
        <v>684.3</v>
      </c>
      <c r="O10" s="83">
        <v>814.1</v>
      </c>
      <c r="P10" s="83">
        <v>659</v>
      </c>
      <c r="Q10" s="83">
        <v>665</v>
      </c>
      <c r="R10" s="83">
        <v>791.9</v>
      </c>
      <c r="S10" s="83">
        <v>762.3</v>
      </c>
      <c r="T10" s="83">
        <v>514.4</v>
      </c>
      <c r="U10" s="83">
        <v>749.9</v>
      </c>
      <c r="V10" s="83">
        <v>525.4</v>
      </c>
      <c r="W10" s="83">
        <v>767.3</v>
      </c>
      <c r="X10" s="83">
        <v>883.5</v>
      </c>
      <c r="Y10" s="83">
        <v>710.39999999999986</v>
      </c>
      <c r="Z10" s="84">
        <f t="shared" si="1"/>
        <v>702.91</v>
      </c>
      <c r="AA10" s="85">
        <f t="shared" si="2"/>
        <v>728.65676691729323</v>
      </c>
    </row>
    <row r="11" spans="1:27">
      <c r="A11" s="82" t="s">
        <v>131</v>
      </c>
      <c r="B11" s="83">
        <v>505.5</v>
      </c>
      <c r="C11" s="83">
        <v>480.7</v>
      </c>
      <c r="D11" s="83">
        <v>493.3</v>
      </c>
      <c r="E11" s="83">
        <v>524.1</v>
      </c>
      <c r="F11" s="83">
        <v>550.4</v>
      </c>
      <c r="G11" s="83">
        <v>488.5</v>
      </c>
      <c r="H11" s="83">
        <v>322.89999999999998</v>
      </c>
      <c r="I11" s="83">
        <v>407.7</v>
      </c>
      <c r="J11" s="83">
        <v>485.6</v>
      </c>
      <c r="K11" s="83">
        <v>430.7</v>
      </c>
      <c r="L11" s="83">
        <v>462.3</v>
      </c>
      <c r="M11" s="83">
        <v>499.3</v>
      </c>
      <c r="N11" s="83">
        <v>472.4</v>
      </c>
      <c r="O11" s="83">
        <v>408.1</v>
      </c>
      <c r="P11" s="83">
        <v>366</v>
      </c>
      <c r="Q11" s="83">
        <v>474.1</v>
      </c>
      <c r="R11" s="83">
        <v>456.89999999999986</v>
      </c>
      <c r="S11" s="83">
        <v>453.2</v>
      </c>
      <c r="T11" s="83">
        <v>358.00000000000011</v>
      </c>
      <c r="U11" s="83">
        <v>482.30000000000007</v>
      </c>
      <c r="V11" s="83">
        <v>434.89999999999986</v>
      </c>
      <c r="W11" s="83">
        <v>524.79999999999995</v>
      </c>
      <c r="X11" s="83">
        <v>522.9</v>
      </c>
      <c r="Y11" s="83">
        <v>432.09999999999997</v>
      </c>
      <c r="Z11" s="84">
        <f t="shared" si="1"/>
        <v>450.5200000000001</v>
      </c>
      <c r="AA11" s="85">
        <f t="shared" si="2"/>
        <v>457.84511278195487</v>
      </c>
    </row>
    <row r="12" spans="1:27">
      <c r="A12" s="82" t="s">
        <v>65</v>
      </c>
      <c r="B12" s="83">
        <v>247.9</v>
      </c>
      <c r="C12" s="83">
        <v>278.7</v>
      </c>
      <c r="D12" s="83">
        <v>283.39999999999998</v>
      </c>
      <c r="E12" s="83">
        <v>256.89999999999998</v>
      </c>
      <c r="F12" s="83">
        <v>325.89999999999998</v>
      </c>
      <c r="G12" s="83">
        <v>346.3</v>
      </c>
      <c r="H12" s="83">
        <v>202.8</v>
      </c>
      <c r="I12" s="83">
        <v>224.7</v>
      </c>
      <c r="J12" s="83">
        <v>260.5</v>
      </c>
      <c r="K12" s="83">
        <v>239.9</v>
      </c>
      <c r="L12" s="83">
        <v>335</v>
      </c>
      <c r="M12" s="83">
        <v>276.39999999999998</v>
      </c>
      <c r="N12" s="83">
        <v>333.2</v>
      </c>
      <c r="O12" s="83">
        <v>306.2</v>
      </c>
      <c r="P12" s="83">
        <v>241.5</v>
      </c>
      <c r="Q12" s="83">
        <v>250.9</v>
      </c>
      <c r="R12" s="83">
        <v>327.7</v>
      </c>
      <c r="S12" s="83">
        <v>319.8</v>
      </c>
      <c r="T12" s="83">
        <v>212.40000000000003</v>
      </c>
      <c r="U12" s="83">
        <v>266.99999999999994</v>
      </c>
      <c r="V12" s="83">
        <v>227.10000000000002</v>
      </c>
      <c r="W12" s="83">
        <v>325.3</v>
      </c>
      <c r="X12" s="83">
        <v>266.90000000000003</v>
      </c>
      <c r="Y12" s="83">
        <v>276</v>
      </c>
      <c r="Z12" s="84">
        <f t="shared" si="1"/>
        <v>271.46000000000004</v>
      </c>
      <c r="AA12" s="85">
        <f t="shared" si="2"/>
        <v>271.64563909774438</v>
      </c>
    </row>
    <row r="13" spans="1:27">
      <c r="A13" s="82" t="s">
        <v>132</v>
      </c>
      <c r="B13" s="83">
        <v>175.5</v>
      </c>
      <c r="C13" s="83">
        <v>126</v>
      </c>
      <c r="D13" s="83">
        <v>89.8</v>
      </c>
      <c r="E13" s="83">
        <v>74.7</v>
      </c>
      <c r="F13" s="83">
        <v>106.8</v>
      </c>
      <c r="G13" s="83">
        <v>75.599999999999994</v>
      </c>
      <c r="H13" s="83">
        <v>108.2</v>
      </c>
      <c r="I13" s="83">
        <v>91.9</v>
      </c>
      <c r="J13" s="83">
        <v>155.69999999999999</v>
      </c>
      <c r="K13" s="83">
        <v>114</v>
      </c>
      <c r="L13" s="83">
        <v>114.4</v>
      </c>
      <c r="M13" s="83">
        <v>129.30000000000001</v>
      </c>
      <c r="N13" s="83">
        <v>145.80000000000001</v>
      </c>
      <c r="O13" s="83">
        <v>72.599999999999994</v>
      </c>
      <c r="P13" s="83">
        <v>81.5</v>
      </c>
      <c r="Q13" s="83">
        <v>96.7</v>
      </c>
      <c r="R13" s="83">
        <v>109.89999999999998</v>
      </c>
      <c r="S13" s="83">
        <v>141.80000000000001</v>
      </c>
      <c r="T13" s="83">
        <v>106.30000000000003</v>
      </c>
      <c r="U13" s="83">
        <v>110.1</v>
      </c>
      <c r="V13" s="83">
        <v>64.900000000000006</v>
      </c>
      <c r="W13" s="83">
        <v>130.9</v>
      </c>
      <c r="X13" s="83">
        <v>135.19999999999999</v>
      </c>
      <c r="Y13" s="83">
        <v>118.60000000000004</v>
      </c>
      <c r="Z13" s="84">
        <f t="shared" si="1"/>
        <v>109.59</v>
      </c>
      <c r="AA13" s="85">
        <f t="shared" si="2"/>
        <v>115.80518796992476</v>
      </c>
    </row>
    <row r="14" spans="1:27">
      <c r="A14" s="82" t="s">
        <v>133</v>
      </c>
      <c r="B14" s="83">
        <v>114.6</v>
      </c>
      <c r="C14" s="83">
        <v>43.7</v>
      </c>
      <c r="D14" s="83">
        <v>66.599999999999994</v>
      </c>
      <c r="E14" s="83">
        <v>49.9</v>
      </c>
      <c r="F14" s="83">
        <v>60.4</v>
      </c>
      <c r="G14" s="83">
        <v>41.4</v>
      </c>
      <c r="H14" s="83">
        <v>23.4</v>
      </c>
      <c r="I14" s="83">
        <v>24.2</v>
      </c>
      <c r="J14" s="83">
        <v>55.7</v>
      </c>
      <c r="K14" s="83">
        <v>67.2</v>
      </c>
      <c r="L14" s="83">
        <v>17.899999999999999</v>
      </c>
      <c r="M14" s="83">
        <v>29.9</v>
      </c>
      <c r="N14" s="83">
        <v>67.400000000000006</v>
      </c>
      <c r="O14" s="83">
        <v>45.3</v>
      </c>
      <c r="P14" s="83">
        <v>23.2</v>
      </c>
      <c r="Q14" s="83">
        <v>40.200000000000003</v>
      </c>
      <c r="R14" s="83">
        <v>34.700000000000003</v>
      </c>
      <c r="S14" s="83">
        <v>74.5</v>
      </c>
      <c r="T14" s="83">
        <v>14.5</v>
      </c>
      <c r="U14" s="83">
        <v>29.8</v>
      </c>
      <c r="V14" s="83">
        <v>6.8</v>
      </c>
      <c r="W14" s="83">
        <v>60.7</v>
      </c>
      <c r="X14" s="83">
        <v>47.199999999999989</v>
      </c>
      <c r="Y14" s="83">
        <v>31.7</v>
      </c>
      <c r="Z14" s="84">
        <f t="shared" si="1"/>
        <v>36.33</v>
      </c>
      <c r="AA14" s="85">
        <f t="shared" si="2"/>
        <v>34.996616541353319</v>
      </c>
    </row>
    <row r="15" spans="1:27">
      <c r="A15" s="82" t="s">
        <v>134</v>
      </c>
      <c r="B15" s="83">
        <v>105.6</v>
      </c>
      <c r="C15" s="83">
        <v>38.9</v>
      </c>
      <c r="D15" s="83">
        <v>95.3</v>
      </c>
      <c r="E15" s="83">
        <v>38.6</v>
      </c>
      <c r="F15" s="83">
        <v>38.200000000000003</v>
      </c>
      <c r="G15" s="83">
        <v>94.4</v>
      </c>
      <c r="H15" s="83">
        <v>34.299999999999997</v>
      </c>
      <c r="I15" s="83">
        <v>74</v>
      </c>
      <c r="J15" s="83">
        <v>63.4</v>
      </c>
      <c r="K15" s="83">
        <v>40.200000000000003</v>
      </c>
      <c r="L15" s="83">
        <v>49.7</v>
      </c>
      <c r="M15" s="83">
        <v>35.6</v>
      </c>
      <c r="N15" s="83">
        <v>123</v>
      </c>
      <c r="O15" s="83">
        <v>46.3</v>
      </c>
      <c r="P15" s="83">
        <v>57.7</v>
      </c>
      <c r="Q15" s="83">
        <v>62.9</v>
      </c>
      <c r="R15" s="83">
        <v>50.400000000000006</v>
      </c>
      <c r="S15" s="83">
        <v>84.2</v>
      </c>
      <c r="T15" s="83">
        <v>37.9</v>
      </c>
      <c r="U15" s="83">
        <v>22.2</v>
      </c>
      <c r="V15" s="83">
        <v>38.499999999999986</v>
      </c>
      <c r="W15" s="83">
        <v>45.8</v>
      </c>
      <c r="X15" s="83">
        <v>65.200000000000017</v>
      </c>
      <c r="Y15" s="83">
        <v>50.7</v>
      </c>
      <c r="Z15" s="84">
        <f t="shared" si="1"/>
        <v>51.55</v>
      </c>
      <c r="AA15" s="85">
        <f t="shared" si="2"/>
        <v>48.162481203007474</v>
      </c>
    </row>
    <row r="16" spans="1:27">
      <c r="A16" s="82" t="s">
        <v>135</v>
      </c>
      <c r="B16" s="83">
        <v>200.2</v>
      </c>
      <c r="C16" s="83">
        <v>246.1</v>
      </c>
      <c r="D16" s="83">
        <v>137.80000000000001</v>
      </c>
      <c r="E16" s="83">
        <v>229.4</v>
      </c>
      <c r="F16" s="83">
        <v>164.2</v>
      </c>
      <c r="G16" s="83">
        <v>149.4</v>
      </c>
      <c r="H16" s="83">
        <v>122.5</v>
      </c>
      <c r="I16" s="83">
        <v>194</v>
      </c>
      <c r="J16" s="83">
        <v>223.3</v>
      </c>
      <c r="K16" s="83">
        <v>187.7</v>
      </c>
      <c r="L16" s="83">
        <v>143.5</v>
      </c>
      <c r="M16" s="83">
        <v>164</v>
      </c>
      <c r="N16" s="83">
        <v>132.9</v>
      </c>
      <c r="O16" s="83">
        <v>148.80000000000001</v>
      </c>
      <c r="P16" s="83">
        <v>210.5</v>
      </c>
      <c r="Q16" s="83">
        <v>164.7</v>
      </c>
      <c r="R16" s="83">
        <v>193.29999999999998</v>
      </c>
      <c r="S16" s="83">
        <v>102.8</v>
      </c>
      <c r="T16" s="83">
        <v>231.1</v>
      </c>
      <c r="U16" s="83">
        <v>172.3</v>
      </c>
      <c r="V16" s="83">
        <v>213.49999999999997</v>
      </c>
      <c r="W16" s="83">
        <v>178.79999999999995</v>
      </c>
      <c r="X16" s="83">
        <v>196.5</v>
      </c>
      <c r="Y16" s="83">
        <v>106.20000000000002</v>
      </c>
      <c r="Z16" s="84">
        <f t="shared" si="1"/>
        <v>176.97</v>
      </c>
      <c r="AA16" s="85">
        <f t="shared" si="2"/>
        <v>175.57706766917295</v>
      </c>
    </row>
    <row r="17" spans="1:27">
      <c r="A17" s="82" t="s">
        <v>136</v>
      </c>
      <c r="B17" s="83">
        <v>427.4</v>
      </c>
      <c r="C17" s="83">
        <v>416.3</v>
      </c>
      <c r="D17" s="83">
        <v>321.39999999999998</v>
      </c>
      <c r="E17" s="83">
        <v>397</v>
      </c>
      <c r="F17" s="83">
        <v>384.1</v>
      </c>
      <c r="G17" s="83">
        <v>406.8</v>
      </c>
      <c r="H17" s="83">
        <v>328.1</v>
      </c>
      <c r="I17" s="83">
        <v>423.1</v>
      </c>
      <c r="J17" s="83">
        <v>372.2</v>
      </c>
      <c r="K17" s="83">
        <v>408.6</v>
      </c>
      <c r="L17" s="83">
        <v>510.1</v>
      </c>
      <c r="M17" s="83">
        <v>414.2</v>
      </c>
      <c r="N17" s="83">
        <v>372.7</v>
      </c>
      <c r="O17" s="83">
        <v>347.3</v>
      </c>
      <c r="P17" s="83">
        <v>440.9</v>
      </c>
      <c r="Q17" s="83">
        <v>310.60000000000002</v>
      </c>
      <c r="R17" s="83">
        <v>373.09999999999997</v>
      </c>
      <c r="S17" s="83">
        <v>451.40000000000003</v>
      </c>
      <c r="T17" s="83">
        <v>355.49999999999989</v>
      </c>
      <c r="U17" s="83">
        <v>337.20000000000005</v>
      </c>
      <c r="V17" s="83">
        <v>395.80000000000007</v>
      </c>
      <c r="W17" s="83">
        <v>328.50000000000006</v>
      </c>
      <c r="X17" s="83">
        <v>382.59999999999997</v>
      </c>
      <c r="Y17" s="83">
        <v>345.9</v>
      </c>
      <c r="Z17" s="84">
        <f t="shared" si="1"/>
        <v>372.15</v>
      </c>
      <c r="AA17" s="85">
        <f t="shared" si="2"/>
        <v>357.9927819548875</v>
      </c>
    </row>
    <row r="18" spans="1:27">
      <c r="A18" s="82" t="s">
        <v>137</v>
      </c>
      <c r="B18" s="83">
        <v>635.29999999999995</v>
      </c>
      <c r="C18" s="83">
        <v>598.9</v>
      </c>
      <c r="D18" s="83">
        <v>553.4</v>
      </c>
      <c r="E18" s="83">
        <v>804.2</v>
      </c>
      <c r="F18" s="83">
        <v>680.8</v>
      </c>
      <c r="G18" s="83">
        <v>613.6</v>
      </c>
      <c r="H18" s="83">
        <v>574.9</v>
      </c>
      <c r="I18" s="83">
        <v>500.7</v>
      </c>
      <c r="J18" s="83">
        <v>561.6</v>
      </c>
      <c r="K18" s="83">
        <v>458.8</v>
      </c>
      <c r="L18" s="83">
        <v>668</v>
      </c>
      <c r="M18" s="83">
        <v>632.9</v>
      </c>
      <c r="N18" s="83">
        <v>554.9</v>
      </c>
      <c r="O18" s="83">
        <v>606.9</v>
      </c>
      <c r="P18" s="83">
        <v>540.4</v>
      </c>
      <c r="Q18" s="83">
        <v>620.29999999999995</v>
      </c>
      <c r="R18" s="83">
        <v>591.00000000000011</v>
      </c>
      <c r="S18" s="83">
        <v>473.49999999999994</v>
      </c>
      <c r="T18" s="83">
        <v>549.40000000000009</v>
      </c>
      <c r="U18" s="83">
        <v>563.20000000000005</v>
      </c>
      <c r="V18" s="83">
        <v>600.80000000000007</v>
      </c>
      <c r="W18" s="83">
        <v>620.6</v>
      </c>
      <c r="X18" s="83">
        <v>647.79999999999995</v>
      </c>
      <c r="Y18" s="83">
        <v>469.10000000000008</v>
      </c>
      <c r="Z18" s="84">
        <f t="shared" si="1"/>
        <v>567.61000000000013</v>
      </c>
      <c r="AA18" s="85">
        <f t="shared" si="2"/>
        <v>558.62721804511284</v>
      </c>
    </row>
    <row r="19" spans="1:27">
      <c r="A19" s="82" t="s">
        <v>138</v>
      </c>
      <c r="B19" s="83">
        <v>781.6</v>
      </c>
      <c r="C19" s="83">
        <v>640.1</v>
      </c>
      <c r="D19" s="83">
        <v>761.8</v>
      </c>
      <c r="E19" s="83">
        <v>958.9</v>
      </c>
      <c r="F19" s="83">
        <v>862.4</v>
      </c>
      <c r="G19" s="83">
        <v>679.4</v>
      </c>
      <c r="H19" s="83">
        <v>848.1</v>
      </c>
      <c r="I19" s="83">
        <v>817.1</v>
      </c>
      <c r="J19" s="83">
        <v>1041.3</v>
      </c>
      <c r="K19" s="83">
        <v>716.4</v>
      </c>
      <c r="L19" s="83">
        <v>785.6</v>
      </c>
      <c r="M19" s="83">
        <v>785.9</v>
      </c>
      <c r="N19" s="83">
        <v>926.6</v>
      </c>
      <c r="O19" s="83">
        <v>833.4</v>
      </c>
      <c r="P19" s="83">
        <v>747.4</v>
      </c>
      <c r="Q19" s="83">
        <v>925.8</v>
      </c>
      <c r="R19" s="83">
        <v>1033.7999999999997</v>
      </c>
      <c r="S19" s="83">
        <v>914.89999999999986</v>
      </c>
      <c r="T19" s="83">
        <v>879.0999999999998</v>
      </c>
      <c r="U19" s="83">
        <v>769.8</v>
      </c>
      <c r="V19" s="83">
        <v>793.69999999999993</v>
      </c>
      <c r="W19" s="83">
        <v>1112.8999999999999</v>
      </c>
      <c r="X19" s="83">
        <v>780.59999999999991</v>
      </c>
      <c r="Y19" s="83">
        <v>564.90000000000009</v>
      </c>
      <c r="Z19" s="84">
        <f t="shared" si="1"/>
        <v>852.28999999999974</v>
      </c>
      <c r="AA19" s="85">
        <f t="shared" si="2"/>
        <v>843.2869924812029</v>
      </c>
    </row>
    <row r="20" spans="1:27">
      <c r="A20" s="82"/>
      <c r="B20" s="82"/>
      <c r="C20" s="82"/>
      <c r="D20" s="82"/>
      <c r="E20" s="82"/>
      <c r="F20" s="82"/>
      <c r="G20" s="82"/>
      <c r="R20" s="82"/>
      <c r="S20" s="82"/>
      <c r="T20" s="82"/>
      <c r="U20" s="82"/>
      <c r="V20" s="82"/>
      <c r="W20" s="82"/>
      <c r="X20" s="82"/>
      <c r="Y20" s="82"/>
    </row>
    <row r="21" spans="1:27">
      <c r="A21" s="82" t="s">
        <v>5</v>
      </c>
      <c r="B21" s="83">
        <f t="shared" ref="B21:V21" si="3">SUM(B8:B19)</f>
        <v>5630.1</v>
      </c>
      <c r="C21" s="83">
        <f t="shared" si="3"/>
        <v>4824.3999999999996</v>
      </c>
      <c r="D21" s="83">
        <f t="shared" si="3"/>
        <v>5568.7000000000007</v>
      </c>
      <c r="E21" s="83">
        <f t="shared" si="3"/>
        <v>5818.0999999999995</v>
      </c>
      <c r="F21" s="83">
        <f t="shared" si="3"/>
        <v>6094.3</v>
      </c>
      <c r="G21" s="83">
        <f t="shared" si="3"/>
        <v>5217.5</v>
      </c>
      <c r="H21" s="83">
        <f t="shared" si="3"/>
        <v>4619.9000000000005</v>
      </c>
      <c r="I21" s="83">
        <f t="shared" si="3"/>
        <v>5180.8999999999996</v>
      </c>
      <c r="J21" s="83">
        <f t="shared" si="3"/>
        <v>5468.9</v>
      </c>
      <c r="K21" s="83">
        <f t="shared" si="3"/>
        <v>5183.8999999999987</v>
      </c>
      <c r="L21" s="83">
        <f t="shared" si="3"/>
        <v>5498.1</v>
      </c>
      <c r="M21" s="83">
        <f t="shared" si="3"/>
        <v>5609.5999999999995</v>
      </c>
      <c r="N21" s="83">
        <f t="shared" si="3"/>
        <v>5732.1</v>
      </c>
      <c r="O21" s="83">
        <f t="shared" si="3"/>
        <v>5469.2</v>
      </c>
      <c r="P21" s="83">
        <f t="shared" si="3"/>
        <v>5038.4999999999991</v>
      </c>
      <c r="Q21" s="83">
        <f t="shared" si="3"/>
        <v>5449.2999999999993</v>
      </c>
      <c r="R21" s="83">
        <f t="shared" si="3"/>
        <v>5818.9</v>
      </c>
      <c r="S21" s="83">
        <f t="shared" si="3"/>
        <v>5710.6999999999989</v>
      </c>
      <c r="T21" s="83">
        <f t="shared" si="3"/>
        <v>4937.2</v>
      </c>
      <c r="U21" s="83">
        <f t="shared" si="3"/>
        <v>5408.6</v>
      </c>
      <c r="V21" s="83">
        <f t="shared" si="3"/>
        <v>4860.9000000000005</v>
      </c>
      <c r="W21" s="83">
        <f t="shared" ref="W21:X21" si="4">SUM(W8:W19)</f>
        <v>5890.6</v>
      </c>
      <c r="X21" s="83">
        <f t="shared" si="4"/>
        <v>6026.4</v>
      </c>
      <c r="Y21" s="83">
        <f t="shared" ref="Y21:Z21" si="5">SUM(Y8:Y19)</f>
        <v>5138.3999999999996</v>
      </c>
      <c r="Z21" s="83">
        <f t="shared" si="5"/>
        <v>5427.95</v>
      </c>
    </row>
    <row r="22" spans="1:27">
      <c r="A22" s="76"/>
      <c r="B22" s="76"/>
      <c r="C22" s="76"/>
      <c r="D22" s="76"/>
      <c r="E22" s="76"/>
      <c r="F22" s="77"/>
      <c r="G22" s="77"/>
      <c r="Z22" s="88"/>
    </row>
    <row r="23" spans="1:27">
      <c r="A23" s="76" t="s">
        <v>139</v>
      </c>
      <c r="B23" s="76"/>
      <c r="C23" s="76"/>
      <c r="D23" s="76"/>
      <c r="E23" s="76"/>
      <c r="F23" s="77"/>
      <c r="G23" s="77"/>
    </row>
    <row r="24" spans="1:27">
      <c r="A24" s="78"/>
      <c r="B24" s="78"/>
      <c r="C24" s="78"/>
      <c r="D24" s="78"/>
      <c r="E24" s="78"/>
      <c r="F24" s="79"/>
      <c r="G24" s="79"/>
    </row>
    <row r="25" spans="1:27">
      <c r="A25" s="80" t="s">
        <v>125</v>
      </c>
      <c r="B25" s="80">
        <v>1992</v>
      </c>
      <c r="C25" s="80">
        <v>1993</v>
      </c>
      <c r="D25" s="80">
        <v>1994</v>
      </c>
      <c r="E25" s="80">
        <v>1995</v>
      </c>
      <c r="F25" s="80">
        <v>1996</v>
      </c>
      <c r="G25" s="80">
        <v>1997</v>
      </c>
      <c r="H25" s="80">
        <v>1998</v>
      </c>
      <c r="I25" s="80">
        <v>1999</v>
      </c>
      <c r="J25" s="80">
        <v>2000</v>
      </c>
      <c r="K25" s="80">
        <v>2001</v>
      </c>
      <c r="L25" s="80">
        <v>2002</v>
      </c>
      <c r="M25" s="80">
        <v>2003</v>
      </c>
      <c r="N25" s="80">
        <v>2004</v>
      </c>
      <c r="O25" s="80">
        <v>2005</v>
      </c>
      <c r="P25" s="80">
        <v>2006</v>
      </c>
      <c r="Q25" s="80">
        <v>2007</v>
      </c>
      <c r="R25" s="80">
        <v>2008</v>
      </c>
      <c r="S25" s="80">
        <v>2009</v>
      </c>
      <c r="T25" s="80">
        <v>2010</v>
      </c>
      <c r="U25" s="80">
        <v>2011</v>
      </c>
      <c r="V25" s="80">
        <v>2012</v>
      </c>
      <c r="W25" s="80">
        <v>2013</v>
      </c>
      <c r="X25" s="80">
        <v>2014</v>
      </c>
      <c r="Y25" s="80">
        <v>2015</v>
      </c>
      <c r="Z25" s="81" t="s">
        <v>126</v>
      </c>
      <c r="AA25" s="81" t="s">
        <v>127</v>
      </c>
    </row>
    <row r="26" spans="1:27">
      <c r="A26" s="78"/>
      <c r="B26" s="78"/>
      <c r="C26" s="78"/>
      <c r="D26" s="78"/>
      <c r="E26" s="78"/>
      <c r="F26" s="77"/>
      <c r="G26" s="77"/>
      <c r="Z26" s="86"/>
      <c r="AA26" s="86"/>
    </row>
    <row r="27" spans="1:27">
      <c r="F27" s="77"/>
      <c r="G27" s="77"/>
      <c r="Z27" s="86"/>
      <c r="AA27" s="86"/>
    </row>
    <row r="28" spans="1:27">
      <c r="A28" s="82" t="s">
        <v>128</v>
      </c>
      <c r="B28" s="83">
        <v>0</v>
      </c>
      <c r="C28" s="83">
        <v>0</v>
      </c>
      <c r="D28" s="83">
        <v>0</v>
      </c>
      <c r="E28" s="83">
        <v>0</v>
      </c>
      <c r="F28" s="83">
        <v>0</v>
      </c>
      <c r="G28" s="83">
        <v>0</v>
      </c>
      <c r="H28" s="83">
        <v>0</v>
      </c>
      <c r="I28" s="83">
        <v>0</v>
      </c>
      <c r="J28" s="83">
        <v>0</v>
      </c>
      <c r="K28" s="83">
        <v>0</v>
      </c>
      <c r="L28" s="83">
        <v>0</v>
      </c>
      <c r="M28" s="83">
        <v>0</v>
      </c>
      <c r="N28" s="83">
        <v>0</v>
      </c>
      <c r="O28" s="83">
        <v>0</v>
      </c>
      <c r="P28" s="83">
        <v>0</v>
      </c>
      <c r="Q28" s="83">
        <v>0</v>
      </c>
      <c r="R28" s="83">
        <v>0</v>
      </c>
      <c r="S28" s="83">
        <v>0</v>
      </c>
      <c r="T28" s="83">
        <v>0</v>
      </c>
      <c r="U28" s="83">
        <v>0</v>
      </c>
      <c r="V28" s="83">
        <v>0</v>
      </c>
      <c r="W28" s="83">
        <v>0</v>
      </c>
      <c r="X28" s="83">
        <v>0</v>
      </c>
      <c r="Y28" s="83">
        <v>0</v>
      </c>
      <c r="Z28" s="84">
        <f>AVERAGE(P28:Y28)</f>
        <v>0</v>
      </c>
      <c r="AA28" s="85">
        <f>TREND(F28:Y28,$F$25:$Y$25,2017)</f>
        <v>0</v>
      </c>
    </row>
    <row r="29" spans="1:27">
      <c r="A29" s="82" t="s">
        <v>129</v>
      </c>
      <c r="B29" s="83">
        <v>0</v>
      </c>
      <c r="C29" s="83">
        <v>0</v>
      </c>
      <c r="D29" s="83">
        <v>0</v>
      </c>
      <c r="E29" s="83">
        <v>0</v>
      </c>
      <c r="F29" s="83">
        <v>0</v>
      </c>
      <c r="G29" s="83">
        <v>0</v>
      </c>
      <c r="H29" s="83">
        <v>0</v>
      </c>
      <c r="I29" s="83">
        <v>0</v>
      </c>
      <c r="J29" s="83">
        <v>0</v>
      </c>
      <c r="K29" s="83">
        <v>0</v>
      </c>
      <c r="L29" s="83">
        <v>0</v>
      </c>
      <c r="M29" s="83">
        <v>0</v>
      </c>
      <c r="N29" s="83">
        <v>0</v>
      </c>
      <c r="O29" s="83">
        <v>0</v>
      </c>
      <c r="P29" s="83">
        <v>0</v>
      </c>
      <c r="Q29" s="83">
        <v>0</v>
      </c>
      <c r="R29" s="83">
        <v>0</v>
      </c>
      <c r="S29" s="83">
        <v>0</v>
      </c>
      <c r="T29" s="83">
        <v>0</v>
      </c>
      <c r="U29" s="83">
        <v>0</v>
      </c>
      <c r="V29" s="83">
        <v>0</v>
      </c>
      <c r="W29" s="83">
        <v>0</v>
      </c>
      <c r="X29" s="83">
        <v>0</v>
      </c>
      <c r="Y29" s="83">
        <v>0</v>
      </c>
      <c r="Z29" s="84">
        <f t="shared" ref="Z29:Z39" si="6">AVERAGE(P29:Y29)</f>
        <v>0</v>
      </c>
      <c r="AA29" s="85">
        <f t="shared" ref="AA29:AA39" si="7">TREND(F29:Y29,$F$25:$Y$25,2017)</f>
        <v>0</v>
      </c>
    </row>
    <row r="30" spans="1:27">
      <c r="A30" s="82" t="s">
        <v>130</v>
      </c>
      <c r="B30" s="83">
        <v>0</v>
      </c>
      <c r="C30" s="83">
        <v>0</v>
      </c>
      <c r="D30" s="83">
        <v>0</v>
      </c>
      <c r="E30" s="83">
        <v>0</v>
      </c>
      <c r="F30" s="83">
        <v>0</v>
      </c>
      <c r="G30" s="83">
        <v>0</v>
      </c>
      <c r="H30" s="83">
        <v>0</v>
      </c>
      <c r="I30" s="83">
        <v>0</v>
      </c>
      <c r="J30" s="83">
        <v>0</v>
      </c>
      <c r="K30" s="83">
        <v>0</v>
      </c>
      <c r="L30" s="83">
        <v>0</v>
      </c>
      <c r="M30" s="83">
        <v>0</v>
      </c>
      <c r="N30" s="83">
        <v>0</v>
      </c>
      <c r="O30" s="83">
        <v>0</v>
      </c>
      <c r="P30" s="83">
        <v>0</v>
      </c>
      <c r="Q30" s="83">
        <v>0</v>
      </c>
      <c r="R30" s="83">
        <v>0</v>
      </c>
      <c r="S30" s="83">
        <v>0</v>
      </c>
      <c r="T30" s="83">
        <v>0</v>
      </c>
      <c r="U30" s="83">
        <v>0</v>
      </c>
      <c r="V30" s="83">
        <v>0</v>
      </c>
      <c r="W30" s="83">
        <v>0</v>
      </c>
      <c r="X30" s="83">
        <v>0</v>
      </c>
      <c r="Y30" s="83">
        <v>0</v>
      </c>
      <c r="Z30" s="84">
        <f t="shared" si="6"/>
        <v>0</v>
      </c>
      <c r="AA30" s="85">
        <f t="shared" si="7"/>
        <v>0</v>
      </c>
    </row>
    <row r="31" spans="1:27">
      <c r="A31" s="82" t="s">
        <v>131</v>
      </c>
      <c r="B31" s="83">
        <v>0</v>
      </c>
      <c r="C31" s="83">
        <v>0</v>
      </c>
      <c r="D31" s="83">
        <v>0</v>
      </c>
      <c r="E31" s="83">
        <v>0</v>
      </c>
      <c r="F31" s="83">
        <v>0</v>
      </c>
      <c r="G31" s="83">
        <v>0</v>
      </c>
      <c r="H31" s="83">
        <v>0</v>
      </c>
      <c r="I31" s="83">
        <v>0</v>
      </c>
      <c r="J31" s="83">
        <v>0</v>
      </c>
      <c r="K31" s="83">
        <v>0</v>
      </c>
      <c r="L31" s="83">
        <v>0</v>
      </c>
      <c r="M31" s="83">
        <v>0</v>
      </c>
      <c r="N31" s="83">
        <v>0</v>
      </c>
      <c r="O31" s="83">
        <v>0</v>
      </c>
      <c r="P31" s="83">
        <v>0</v>
      </c>
      <c r="Q31" s="83">
        <v>0</v>
      </c>
      <c r="R31" s="83">
        <v>0</v>
      </c>
      <c r="S31" s="83">
        <v>0</v>
      </c>
      <c r="T31" s="83">
        <v>0</v>
      </c>
      <c r="U31" s="83">
        <v>0</v>
      </c>
      <c r="V31" s="83">
        <v>0</v>
      </c>
      <c r="W31" s="83">
        <v>0</v>
      </c>
      <c r="X31" s="83">
        <v>0</v>
      </c>
      <c r="Y31" s="83">
        <v>0</v>
      </c>
      <c r="Z31" s="84">
        <f t="shared" si="6"/>
        <v>0</v>
      </c>
      <c r="AA31" s="85">
        <f t="shared" si="7"/>
        <v>0</v>
      </c>
    </row>
    <row r="32" spans="1:27">
      <c r="A32" s="82" t="s">
        <v>65</v>
      </c>
      <c r="B32" s="83">
        <v>1.1000000000000001</v>
      </c>
      <c r="C32" s="83">
        <v>0</v>
      </c>
      <c r="D32" s="83">
        <v>0</v>
      </c>
      <c r="E32" s="83">
        <v>10.7</v>
      </c>
      <c r="F32" s="83">
        <v>0</v>
      </c>
      <c r="G32" s="83">
        <v>0</v>
      </c>
      <c r="H32" s="83">
        <v>1.3</v>
      </c>
      <c r="I32" s="83">
        <v>2.6</v>
      </c>
      <c r="J32" s="83">
        <v>0</v>
      </c>
      <c r="K32" s="83">
        <v>0</v>
      </c>
      <c r="L32" s="83">
        <v>0.5</v>
      </c>
      <c r="M32" s="83">
        <v>0</v>
      </c>
      <c r="N32" s="83">
        <v>0</v>
      </c>
      <c r="O32" s="83">
        <v>0</v>
      </c>
      <c r="P32" s="83">
        <v>2.4</v>
      </c>
      <c r="Q32" s="83">
        <v>0.6</v>
      </c>
      <c r="R32" s="83">
        <v>0</v>
      </c>
      <c r="S32" s="83">
        <v>0</v>
      </c>
      <c r="T32" s="83">
        <v>0.6</v>
      </c>
      <c r="U32" s="83">
        <v>0</v>
      </c>
      <c r="V32" s="83">
        <v>0</v>
      </c>
      <c r="W32" s="83">
        <v>0</v>
      </c>
      <c r="X32" s="83">
        <v>1.1000000000000001</v>
      </c>
      <c r="Y32" s="83">
        <v>0</v>
      </c>
      <c r="Z32" s="84">
        <f t="shared" si="6"/>
        <v>0.47000000000000003</v>
      </c>
      <c r="AA32" s="85">
        <f t="shared" si="7"/>
        <v>0.20857142857142463</v>
      </c>
    </row>
    <row r="33" spans="1:29">
      <c r="A33" s="82" t="s">
        <v>132</v>
      </c>
      <c r="B33" s="83">
        <v>3.5</v>
      </c>
      <c r="C33" s="83">
        <v>2.1</v>
      </c>
      <c r="D33" s="83">
        <v>11.6</v>
      </c>
      <c r="E33" s="83">
        <v>24.5</v>
      </c>
      <c r="F33" s="83">
        <v>12.4</v>
      </c>
      <c r="G33" s="83">
        <v>15.7</v>
      </c>
      <c r="H33" s="83">
        <v>10.8</v>
      </c>
      <c r="I33" s="83">
        <v>11.4</v>
      </c>
      <c r="J33" s="83">
        <v>2.2999999999999998</v>
      </c>
      <c r="K33" s="83">
        <v>15.2</v>
      </c>
      <c r="L33" s="83">
        <v>14.2</v>
      </c>
      <c r="M33" s="83">
        <v>0</v>
      </c>
      <c r="N33" s="83">
        <v>3.1</v>
      </c>
      <c r="O33" s="83">
        <v>16.8</v>
      </c>
      <c r="P33" s="83">
        <v>9.3000000000000007</v>
      </c>
      <c r="Q33" s="83">
        <v>6.5</v>
      </c>
      <c r="R33" s="83">
        <v>4.5999999999999996</v>
      </c>
      <c r="S33" s="83">
        <v>13.7</v>
      </c>
      <c r="T33" s="83">
        <v>3.0000000000000004</v>
      </c>
      <c r="U33" s="83">
        <v>0</v>
      </c>
      <c r="V33" s="83">
        <v>18.399999999999999</v>
      </c>
      <c r="W33" s="83">
        <v>5.5</v>
      </c>
      <c r="X33" s="83">
        <v>6</v>
      </c>
      <c r="Y33" s="83">
        <v>0</v>
      </c>
      <c r="Z33" s="84">
        <f t="shared" si="6"/>
        <v>6.7</v>
      </c>
      <c r="AA33" s="85">
        <f t="shared" si="7"/>
        <v>4.1052631578947967</v>
      </c>
    </row>
    <row r="34" spans="1:29">
      <c r="A34" s="82" t="s">
        <v>133</v>
      </c>
      <c r="B34" s="83">
        <v>0.2</v>
      </c>
      <c r="C34" s="83">
        <v>6.8</v>
      </c>
      <c r="D34" s="83">
        <v>10.9</v>
      </c>
      <c r="E34" s="83">
        <v>15.9</v>
      </c>
      <c r="F34" s="83">
        <v>13</v>
      </c>
      <c r="G34" s="83">
        <v>28.2</v>
      </c>
      <c r="H34" s="83">
        <v>36</v>
      </c>
      <c r="I34" s="83">
        <v>59.3</v>
      </c>
      <c r="J34" s="83">
        <v>20.8</v>
      </c>
      <c r="K34" s="83">
        <v>29.7</v>
      </c>
      <c r="L34" s="83">
        <v>79.3</v>
      </c>
      <c r="M34" s="83">
        <v>18.2</v>
      </c>
      <c r="N34" s="83">
        <v>22</v>
      </c>
      <c r="O34" s="83">
        <v>53</v>
      </c>
      <c r="P34" s="83">
        <v>70.099999999999994</v>
      </c>
      <c r="Q34" s="83">
        <v>51.8</v>
      </c>
      <c r="R34" s="83">
        <v>22.1</v>
      </c>
      <c r="S34" s="83">
        <v>2</v>
      </c>
      <c r="T34" s="83">
        <v>52</v>
      </c>
      <c r="U34" s="83">
        <v>63.7</v>
      </c>
      <c r="V34" s="83">
        <v>66.5</v>
      </c>
      <c r="W34" s="83">
        <v>28.000000000000007</v>
      </c>
      <c r="X34" s="83">
        <v>9.5</v>
      </c>
      <c r="Y34" s="83">
        <v>38.000000000000007</v>
      </c>
      <c r="Z34" s="84">
        <f t="shared" si="6"/>
        <v>40.369999999999997</v>
      </c>
      <c r="AA34" s="85">
        <f t="shared" si="7"/>
        <v>41.516616541353415</v>
      </c>
    </row>
    <row r="35" spans="1:29">
      <c r="A35" s="82" t="s">
        <v>134</v>
      </c>
      <c r="B35" s="83">
        <v>5.8</v>
      </c>
      <c r="C35" s="83">
        <v>32.4</v>
      </c>
      <c r="D35" s="83">
        <v>9.1999999999999993</v>
      </c>
      <c r="E35" s="83">
        <v>33.6</v>
      </c>
      <c r="F35" s="83">
        <v>16.600000000000001</v>
      </c>
      <c r="G35" s="83">
        <v>18.100000000000001</v>
      </c>
      <c r="H35" s="83">
        <v>36.700000000000003</v>
      </c>
      <c r="I35" s="83">
        <v>12.2</v>
      </c>
      <c r="J35" s="83">
        <v>9.8000000000000007</v>
      </c>
      <c r="K35" s="83">
        <v>56.1</v>
      </c>
      <c r="L35" s="83">
        <v>15.5</v>
      </c>
      <c r="M35" s="83">
        <v>50.9</v>
      </c>
      <c r="N35" s="83">
        <v>1.8</v>
      </c>
      <c r="O35" s="83">
        <v>29.6</v>
      </c>
      <c r="P35" s="83">
        <v>31.7</v>
      </c>
      <c r="Q35" s="83">
        <v>22.1</v>
      </c>
      <c r="R35" s="83">
        <v>22.200000000000003</v>
      </c>
      <c r="S35" s="83">
        <v>14.2</v>
      </c>
      <c r="T35" s="83">
        <v>55.8</v>
      </c>
      <c r="U35" s="83">
        <v>35.699999999999996</v>
      </c>
      <c r="V35" s="83">
        <v>27.7</v>
      </c>
      <c r="W35" s="83">
        <v>41.8</v>
      </c>
      <c r="X35" s="83">
        <v>10.099999999999998</v>
      </c>
      <c r="Y35" s="83">
        <v>35.4</v>
      </c>
      <c r="Z35" s="84">
        <f t="shared" si="6"/>
        <v>29.669999999999998</v>
      </c>
      <c r="AA35" s="85">
        <f t="shared" si="7"/>
        <v>33.181729323308446</v>
      </c>
      <c r="AC35" t="s">
        <v>140</v>
      </c>
    </row>
    <row r="36" spans="1:29">
      <c r="A36" s="82" t="s">
        <v>135</v>
      </c>
      <c r="B36" s="83">
        <v>1.4</v>
      </c>
      <c r="C36" s="83">
        <v>0</v>
      </c>
      <c r="D36" s="83">
        <v>1.2</v>
      </c>
      <c r="E36" s="83">
        <v>9.8000000000000007</v>
      </c>
      <c r="F36" s="83">
        <v>8.6999999999999993</v>
      </c>
      <c r="G36" s="83">
        <v>0</v>
      </c>
      <c r="H36" s="83">
        <v>7.3</v>
      </c>
      <c r="I36" s="83">
        <v>5.7</v>
      </c>
      <c r="J36" s="83">
        <v>0</v>
      </c>
      <c r="K36" s="83">
        <v>6.8</v>
      </c>
      <c r="L36" s="83">
        <v>20.9</v>
      </c>
      <c r="M36" s="83">
        <v>6.7</v>
      </c>
      <c r="N36" s="83">
        <v>4.7</v>
      </c>
      <c r="O36" s="83">
        <v>15.2</v>
      </c>
      <c r="P36" s="83">
        <v>1.2</v>
      </c>
      <c r="Q36" s="83">
        <v>9.6</v>
      </c>
      <c r="R36" s="83">
        <v>7</v>
      </c>
      <c r="S36" s="83">
        <v>3.5</v>
      </c>
      <c r="T36" s="83">
        <v>0</v>
      </c>
      <c r="U36" s="83">
        <v>9.4</v>
      </c>
      <c r="V36" s="83">
        <v>4</v>
      </c>
      <c r="W36" s="83">
        <v>0</v>
      </c>
      <c r="X36" s="83">
        <v>0</v>
      </c>
      <c r="Y36" s="83">
        <v>15.8</v>
      </c>
      <c r="Z36" s="84">
        <f t="shared" si="6"/>
        <v>5.05</v>
      </c>
      <c r="AA36" s="85">
        <f t="shared" si="7"/>
        <v>5.6842857142857071</v>
      </c>
    </row>
    <row r="37" spans="1:29">
      <c r="A37" s="82" t="s">
        <v>136</v>
      </c>
      <c r="B37" s="83">
        <v>0</v>
      </c>
      <c r="C37" s="83">
        <v>0</v>
      </c>
      <c r="D37" s="83">
        <v>0</v>
      </c>
      <c r="E37" s="83">
        <v>0</v>
      </c>
      <c r="F37" s="83">
        <v>0</v>
      </c>
      <c r="G37" s="83">
        <v>0</v>
      </c>
      <c r="H37" s="83">
        <v>0</v>
      </c>
      <c r="I37" s="83">
        <v>0</v>
      </c>
      <c r="J37" s="83">
        <v>0</v>
      </c>
      <c r="K37" s="83">
        <v>0</v>
      </c>
      <c r="L37" s="83">
        <v>0</v>
      </c>
      <c r="M37" s="83">
        <v>0</v>
      </c>
      <c r="N37" s="83">
        <v>0</v>
      </c>
      <c r="O37" s="83">
        <v>0</v>
      </c>
      <c r="P37" s="83">
        <v>0</v>
      </c>
      <c r="Q37" s="83">
        <v>0</v>
      </c>
      <c r="R37" s="83">
        <v>0</v>
      </c>
      <c r="S37" s="83">
        <v>0</v>
      </c>
      <c r="T37" s="83">
        <v>0</v>
      </c>
      <c r="U37" s="83">
        <v>5.4</v>
      </c>
      <c r="V37" s="83">
        <v>0</v>
      </c>
      <c r="W37" s="83">
        <v>0</v>
      </c>
      <c r="X37" s="83">
        <v>0</v>
      </c>
      <c r="Y37" s="83">
        <v>0</v>
      </c>
      <c r="Z37" s="84">
        <f t="shared" si="6"/>
        <v>0.54</v>
      </c>
      <c r="AA37" s="85">
        <f t="shared" si="7"/>
        <v>0.78360902255639076</v>
      </c>
    </row>
    <row r="38" spans="1:29">
      <c r="A38" s="82" t="s">
        <v>137</v>
      </c>
      <c r="B38" s="83">
        <v>0</v>
      </c>
      <c r="C38" s="83">
        <v>0</v>
      </c>
      <c r="D38" s="83">
        <v>0</v>
      </c>
      <c r="E38" s="83">
        <v>0</v>
      </c>
      <c r="F38" s="83">
        <v>0</v>
      </c>
      <c r="G38" s="83">
        <v>0</v>
      </c>
      <c r="H38" s="83">
        <v>0</v>
      </c>
      <c r="I38" s="83">
        <v>0</v>
      </c>
      <c r="J38" s="83">
        <v>0</v>
      </c>
      <c r="K38" s="83">
        <v>0</v>
      </c>
      <c r="L38" s="83">
        <v>0</v>
      </c>
      <c r="M38" s="83">
        <v>0</v>
      </c>
      <c r="N38" s="83">
        <v>0</v>
      </c>
      <c r="O38" s="83">
        <v>0</v>
      </c>
      <c r="P38" s="83">
        <v>0</v>
      </c>
      <c r="Q38" s="83">
        <v>0</v>
      </c>
      <c r="R38" s="83">
        <v>0</v>
      </c>
      <c r="S38" s="83">
        <v>0</v>
      </c>
      <c r="T38" s="83">
        <v>0</v>
      </c>
      <c r="U38" s="83">
        <v>0</v>
      </c>
      <c r="V38" s="83">
        <v>0</v>
      </c>
      <c r="W38" s="83">
        <v>0</v>
      </c>
      <c r="X38" s="83">
        <v>0</v>
      </c>
      <c r="Y38" s="83">
        <v>0</v>
      </c>
      <c r="Z38" s="84">
        <f t="shared" si="6"/>
        <v>0</v>
      </c>
      <c r="AA38" s="85">
        <f t="shared" si="7"/>
        <v>0</v>
      </c>
    </row>
    <row r="39" spans="1:29">
      <c r="A39" s="82" t="s">
        <v>138</v>
      </c>
      <c r="B39" s="83">
        <v>0</v>
      </c>
      <c r="C39" s="83">
        <v>0</v>
      </c>
      <c r="D39" s="83">
        <v>0</v>
      </c>
      <c r="E39" s="83">
        <v>0</v>
      </c>
      <c r="F39" s="83">
        <v>0</v>
      </c>
      <c r="G39" s="83">
        <v>0</v>
      </c>
      <c r="H39" s="83">
        <v>0</v>
      </c>
      <c r="I39" s="83">
        <v>0</v>
      </c>
      <c r="J39" s="83">
        <v>0</v>
      </c>
      <c r="K39" s="83">
        <v>0</v>
      </c>
      <c r="L39" s="83">
        <v>0</v>
      </c>
      <c r="M39" s="83">
        <v>0</v>
      </c>
      <c r="N39" s="83">
        <v>0</v>
      </c>
      <c r="O39" s="83">
        <v>0</v>
      </c>
      <c r="P39" s="83">
        <v>0</v>
      </c>
      <c r="Q39" s="83">
        <v>0</v>
      </c>
      <c r="R39" s="83">
        <v>0</v>
      </c>
      <c r="S39" s="83">
        <v>0</v>
      </c>
      <c r="T39" s="83">
        <v>0</v>
      </c>
      <c r="U39" s="83">
        <v>0</v>
      </c>
      <c r="V39" s="83">
        <v>0</v>
      </c>
      <c r="W39" s="83">
        <v>0</v>
      </c>
      <c r="X39" s="83">
        <v>0</v>
      </c>
      <c r="Y39" s="83">
        <v>0</v>
      </c>
      <c r="Z39" s="84">
        <f t="shared" si="6"/>
        <v>0</v>
      </c>
      <c r="AA39" s="85">
        <f t="shared" si="7"/>
        <v>0</v>
      </c>
    </row>
    <row r="40" spans="1:29">
      <c r="A40" s="82"/>
      <c r="B40" s="82"/>
      <c r="C40" s="82"/>
      <c r="D40" s="82"/>
      <c r="E40" s="82"/>
      <c r="F40" s="82"/>
      <c r="G40" s="82"/>
      <c r="H40" s="77"/>
      <c r="I40" s="77"/>
      <c r="R40" s="82"/>
      <c r="S40" s="82"/>
      <c r="T40" s="82"/>
      <c r="U40" s="82"/>
      <c r="V40" s="82"/>
      <c r="W40" s="82"/>
      <c r="X40" s="82"/>
      <c r="Y40" s="82"/>
    </row>
    <row r="41" spans="1:29">
      <c r="A41" s="82" t="s">
        <v>5</v>
      </c>
      <c r="B41" s="83">
        <f t="shared" ref="B41:V41" si="8">SUM(B28:B39)</f>
        <v>12</v>
      </c>
      <c r="C41" s="83">
        <f t="shared" si="8"/>
        <v>41.3</v>
      </c>
      <c r="D41" s="83">
        <f t="shared" si="8"/>
        <v>32.9</v>
      </c>
      <c r="E41" s="83">
        <f t="shared" si="8"/>
        <v>94.5</v>
      </c>
      <c r="F41" s="83">
        <f t="shared" si="8"/>
        <v>50.7</v>
      </c>
      <c r="G41" s="83">
        <f t="shared" si="8"/>
        <v>62</v>
      </c>
      <c r="H41" s="83">
        <f t="shared" si="8"/>
        <v>92.100000000000009</v>
      </c>
      <c r="I41" s="83">
        <f t="shared" si="8"/>
        <v>91.2</v>
      </c>
      <c r="J41" s="83">
        <f t="shared" si="8"/>
        <v>32.900000000000006</v>
      </c>
      <c r="K41" s="83">
        <f t="shared" si="8"/>
        <v>107.8</v>
      </c>
      <c r="L41" s="83">
        <f t="shared" si="8"/>
        <v>130.4</v>
      </c>
      <c r="M41" s="83">
        <f t="shared" si="8"/>
        <v>75.8</v>
      </c>
      <c r="N41" s="83">
        <f t="shared" si="8"/>
        <v>31.6</v>
      </c>
      <c r="O41" s="83">
        <f t="shared" si="8"/>
        <v>114.60000000000001</v>
      </c>
      <c r="P41" s="83">
        <f t="shared" si="8"/>
        <v>114.7</v>
      </c>
      <c r="Q41" s="83">
        <f t="shared" si="8"/>
        <v>90.6</v>
      </c>
      <c r="R41" s="83">
        <f t="shared" si="8"/>
        <v>55.900000000000006</v>
      </c>
      <c r="S41" s="83">
        <f t="shared" si="8"/>
        <v>33.4</v>
      </c>
      <c r="T41" s="83">
        <f t="shared" si="8"/>
        <v>111.4</v>
      </c>
      <c r="U41" s="83">
        <f t="shared" si="8"/>
        <v>114.20000000000002</v>
      </c>
      <c r="V41" s="83">
        <f t="shared" si="8"/>
        <v>116.60000000000001</v>
      </c>
      <c r="W41" s="83">
        <f t="shared" ref="W41:X41" si="9">SUM(W28:W39)</f>
        <v>75.300000000000011</v>
      </c>
      <c r="X41" s="83">
        <f t="shared" si="9"/>
        <v>26.7</v>
      </c>
      <c r="Y41" s="83">
        <f t="shared" ref="Y41" si="10">SUM(Y28:Y39)</f>
        <v>89.2</v>
      </c>
      <c r="Z41" s="88"/>
      <c r="AA41" s="87"/>
    </row>
    <row r="42" spans="1:29">
      <c r="A42" s="82"/>
      <c r="B42" s="82"/>
      <c r="C42" s="82"/>
      <c r="D42" s="82"/>
      <c r="E42" s="82"/>
      <c r="F42" s="77"/>
      <c r="G42" s="77"/>
      <c r="H42" s="77"/>
      <c r="I42" s="77"/>
      <c r="J42" s="77"/>
      <c r="K42" s="77"/>
      <c r="L42" s="77"/>
      <c r="M42" s="77"/>
      <c r="N42" s="77"/>
      <c r="O42" s="77"/>
      <c r="P42" s="77"/>
      <c r="Q42" s="77"/>
    </row>
    <row r="43" spans="1:29">
      <c r="A43" s="82"/>
      <c r="B43" s="82"/>
      <c r="C43" s="82"/>
      <c r="D43" s="82"/>
      <c r="E43" s="82"/>
      <c r="F43" s="77"/>
      <c r="G43" s="77"/>
      <c r="H43" s="77"/>
      <c r="I43" s="77"/>
    </row>
    <row r="44" spans="1:29">
      <c r="A44" s="76"/>
      <c r="B44" s="76"/>
      <c r="C44" s="76"/>
      <c r="D44" s="76"/>
      <c r="E44" s="76"/>
      <c r="F44" s="77"/>
      <c r="G44" s="77"/>
    </row>
  </sheetData>
  <mergeCells count="1">
    <mergeCell ref="E1:F1"/>
  </mergeCells>
  <pageMargins left="0.5" right="0.5" top="0.75" bottom="0.75" header="0.5" footer="0.5"/>
  <pageSetup paperSize="5" scale="73" orientation="landscape" r:id="rId1"/>
  <headerFooter alignWithMargins="0">
    <oddFooter>&amp;L&amp;8&amp;D
&amp;Z&amp;F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24" sqref="H24"/>
    </sheetView>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2"/>
  <sheetViews>
    <sheetView workbookViewId="0">
      <pane xSplit="1" ySplit="3" topLeftCell="G19" activePane="bottomRight" state="frozen"/>
      <selection pane="topRight" activeCell="B1" sqref="B1"/>
      <selection pane="bottomLeft" activeCell="A4" sqref="A4"/>
      <selection pane="bottomRight" activeCell="L35" sqref="L35"/>
    </sheetView>
  </sheetViews>
  <sheetFormatPr defaultRowHeight="12.75"/>
  <cols>
    <col min="1" max="1" width="32.7109375" customWidth="1"/>
    <col min="2" max="2" width="12.7109375" style="1" customWidth="1"/>
    <col min="3" max="3" width="13" style="1" customWidth="1"/>
    <col min="4" max="4" width="12.7109375" style="1" bestFit="1" customWidth="1"/>
    <col min="5" max="7" width="12.85546875" style="1" customWidth="1"/>
    <col min="8" max="9" width="13.140625" style="1" customWidth="1"/>
    <col min="10" max="10" width="12.7109375" style="24" bestFit="1" customWidth="1"/>
    <col min="11" max="11" width="13.140625" style="1" customWidth="1"/>
    <col min="12" max="12" width="11.28515625" customWidth="1"/>
    <col min="13" max="13" width="12.28515625" customWidth="1"/>
  </cols>
  <sheetData>
    <row r="1" spans="1:13" ht="15.75">
      <c r="A1" s="45" t="s">
        <v>275</v>
      </c>
    </row>
    <row r="3" spans="1:13" ht="38.25" customHeight="1">
      <c r="B3" s="46" t="s">
        <v>40</v>
      </c>
      <c r="C3" s="46" t="s">
        <v>41</v>
      </c>
      <c r="D3" s="46" t="s">
        <v>48</v>
      </c>
      <c r="E3" s="46" t="s">
        <v>50</v>
      </c>
      <c r="F3" s="46" t="s">
        <v>55</v>
      </c>
      <c r="G3" s="46" t="s">
        <v>57</v>
      </c>
      <c r="H3" s="46" t="s">
        <v>266</v>
      </c>
      <c r="I3" s="46" t="s">
        <v>267</v>
      </c>
      <c r="J3" s="46" t="s">
        <v>268</v>
      </c>
      <c r="K3" s="46" t="s">
        <v>269</v>
      </c>
      <c r="L3" s="46" t="s">
        <v>270</v>
      </c>
      <c r="M3" s="46" t="s">
        <v>271</v>
      </c>
    </row>
    <row r="4" spans="1:13">
      <c r="A4" s="20" t="s">
        <v>272</v>
      </c>
      <c r="B4" s="30">
        <f>'Rate Class Energy Model'!P3</f>
        <v>1039037823.4400008</v>
      </c>
      <c r="C4" s="30">
        <f>'Rate Class Energy Model'!P4</f>
        <v>1031120515.9500011</v>
      </c>
      <c r="D4" s="30">
        <f>'Rate Class Energy Model'!P5</f>
        <v>1005493354.6399989</v>
      </c>
      <c r="E4" s="30">
        <f>'Rate Class Energy Model'!P6</f>
        <v>976724641.65999937</v>
      </c>
      <c r="F4" s="30">
        <f>'Rate Class Energy Model'!P7</f>
        <v>944010732.54999959</v>
      </c>
      <c r="G4" s="30">
        <f>'Rate Class Energy Model'!P8</f>
        <v>957941351.48999953</v>
      </c>
      <c r="H4" s="30">
        <f>'Rate Class Energy Model'!P9</f>
        <v>950013126.06999981</v>
      </c>
      <c r="I4" s="30">
        <f>'Rate Class Energy Model'!P10</f>
        <v>963120842.92527819</v>
      </c>
      <c r="J4" s="30">
        <f>'Rate Class Energy Model'!P11</f>
        <v>965070092.80775356</v>
      </c>
      <c r="K4" s="30">
        <f>'Rate Class Energy Model'!P12</f>
        <v>938758818.01477861</v>
      </c>
      <c r="L4" s="30">
        <f>'Rate Class Energy Model'!P47</f>
        <v>948703888.69690025</v>
      </c>
      <c r="M4" s="30">
        <f>'Rate Class Energy Model'!P48</f>
        <v>954899277.71502888</v>
      </c>
    </row>
    <row r="5" spans="1:13">
      <c r="A5" s="20" t="s">
        <v>273</v>
      </c>
      <c r="B5" s="30"/>
      <c r="C5" s="30"/>
      <c r="D5" s="30"/>
      <c r="E5" s="30"/>
      <c r="F5" s="30"/>
      <c r="G5" s="30"/>
      <c r="H5" s="30"/>
      <c r="I5" s="30"/>
      <c r="J5" s="30"/>
      <c r="K5" s="30"/>
      <c r="L5" s="69">
        <f>'Rate Class Energy Model'!P56</f>
        <v>22077527.228090368</v>
      </c>
      <c r="M5" s="69">
        <f>'Rate Class Energy Model'!P57</f>
        <v>33320427.228090368</v>
      </c>
    </row>
    <row r="6" spans="1:13">
      <c r="A6" s="20" t="s">
        <v>274</v>
      </c>
      <c r="B6" s="30">
        <f>B4</f>
        <v>1039037823.4400008</v>
      </c>
      <c r="C6" s="30">
        <f t="shared" ref="C6:K6" si="0">C4</f>
        <v>1031120515.9500011</v>
      </c>
      <c r="D6" s="30">
        <f t="shared" si="0"/>
        <v>1005493354.6399989</v>
      </c>
      <c r="E6" s="30">
        <f t="shared" si="0"/>
        <v>976724641.65999937</v>
      </c>
      <c r="F6" s="30">
        <f t="shared" si="0"/>
        <v>944010732.54999959</v>
      </c>
      <c r="G6" s="30">
        <f t="shared" si="0"/>
        <v>957941351.48999953</v>
      </c>
      <c r="H6" s="30">
        <f t="shared" si="0"/>
        <v>950013126.06999981</v>
      </c>
      <c r="I6" s="30">
        <f t="shared" si="0"/>
        <v>963120842.92527819</v>
      </c>
      <c r="J6" s="30">
        <f t="shared" si="0"/>
        <v>965070092.80775356</v>
      </c>
      <c r="K6" s="30">
        <f t="shared" si="0"/>
        <v>938758818.01477861</v>
      </c>
      <c r="L6" s="69">
        <f>L4-L5</f>
        <v>926626361.46880984</v>
      </c>
      <c r="M6" s="69">
        <f>M4-M5</f>
        <v>921578850.48693848</v>
      </c>
    </row>
    <row r="7" spans="1:13">
      <c r="A7" s="20"/>
      <c r="B7" s="30"/>
      <c r="C7" s="30"/>
      <c r="D7" s="30"/>
      <c r="E7" s="30"/>
      <c r="F7" s="30"/>
      <c r="G7" s="30"/>
      <c r="H7" s="30"/>
      <c r="I7" s="30"/>
      <c r="J7" s="30"/>
      <c r="K7" s="30"/>
      <c r="L7" s="69"/>
      <c r="M7" s="69"/>
    </row>
    <row r="8" spans="1:13" ht="15.75">
      <c r="A8" s="45" t="s">
        <v>44</v>
      </c>
    </row>
    <row r="9" spans="1:13">
      <c r="A9" s="44" t="str">
        <f>'Rate Class Energy Model'!H2</f>
        <v xml:space="preserve">Residential </v>
      </c>
    </row>
    <row r="10" spans="1:13">
      <c r="A10" t="s">
        <v>37</v>
      </c>
      <c r="B10" s="5">
        <f>'Rate Class Customer Model'!B3</f>
        <v>44312.083333333336</v>
      </c>
      <c r="C10" s="5">
        <f>'Rate Class Customer Model'!B4</f>
        <v>44388.583333333336</v>
      </c>
      <c r="D10" s="5">
        <f>'Rate Class Customer Model'!B5</f>
        <v>44537.5</v>
      </c>
      <c r="E10" s="5">
        <f>'Rate Class Customer Model'!B6</f>
        <v>44613.666666666664</v>
      </c>
      <c r="F10" s="5">
        <f>'Rate Class Customer Model'!B7</f>
        <v>44735.583333333336</v>
      </c>
      <c r="G10" s="5">
        <f>'Rate Class Customer Model'!B8</f>
        <v>44900.666666666664</v>
      </c>
      <c r="H10" s="5">
        <f>'Rate Class Customer Model'!B9</f>
        <v>44736.75</v>
      </c>
      <c r="I10" s="5">
        <f>'Rate Class Customer Model'!B10</f>
        <v>44942.416666666664</v>
      </c>
      <c r="J10" s="5">
        <f>'Rate Class Customer Model'!B11</f>
        <v>45106.2705078125</v>
      </c>
      <c r="K10" s="5">
        <f>'Rate Class Customer Model'!B12</f>
        <v>45272.592574993767</v>
      </c>
      <c r="L10" s="5">
        <f>'Rate Class Customer Model'!B13</f>
        <v>45415.196555804439</v>
      </c>
      <c r="M10" s="5">
        <f>'Rate Class Customer Model'!B14</f>
        <v>45527.007090561528</v>
      </c>
    </row>
    <row r="11" spans="1:13">
      <c r="A11" t="s">
        <v>38</v>
      </c>
      <c r="B11" s="5">
        <f>'Rate Class Energy Model'!H3</f>
        <v>344985670.16000092</v>
      </c>
      <c r="C11" s="5">
        <f>'Rate Class Energy Model'!H4</f>
        <v>347356682.25000095</v>
      </c>
      <c r="D11" s="5">
        <f>'Rate Class Energy Model'!H5</f>
        <v>349640195.36999899</v>
      </c>
      <c r="E11" s="5">
        <f>'Rate Class Energy Model'!H6</f>
        <v>344727820.68999922</v>
      </c>
      <c r="F11" s="5">
        <f>'Rate Class Energy Model'!H7</f>
        <v>335588529.46999955</v>
      </c>
      <c r="G11" s="5">
        <f>'Rate Class Energy Model'!H8</f>
        <v>337212306.49999964</v>
      </c>
      <c r="H11" s="5">
        <f>'Rate Class Energy Model'!H9</f>
        <v>331142424.8599996</v>
      </c>
      <c r="I11" s="5">
        <f>'Rate Class Energy Model'!H10</f>
        <v>341035888.63527828</v>
      </c>
      <c r="J11" s="5">
        <f>'Rate Class Energy Model'!H11</f>
        <v>340024795.88802838</v>
      </c>
      <c r="K11" s="5">
        <f>'Rate Class Energy Model'!H12</f>
        <v>324673269.19699794</v>
      </c>
      <c r="L11" s="69">
        <f>'Rate Class Energy Model'!H60</f>
        <v>336497281.40370446</v>
      </c>
      <c r="M11" s="69">
        <f>'Rate Class Energy Model'!H61</f>
        <v>336114686.47881699</v>
      </c>
    </row>
    <row r="12" spans="1:13">
      <c r="D12" s="50"/>
      <c r="E12" s="24"/>
      <c r="F12" s="24"/>
      <c r="K12" s="5"/>
    </row>
    <row r="13" spans="1:13">
      <c r="A13" s="44" t="str">
        <f>'Rate Class Energy Model'!I2</f>
        <v>General Service
 &lt; 50 kW</v>
      </c>
    </row>
    <row r="14" spans="1:13">
      <c r="A14" t="s">
        <v>37</v>
      </c>
      <c r="B14" s="5">
        <f>'Rate Class Customer Model'!C3</f>
        <v>4313.833333333333</v>
      </c>
      <c r="C14" s="5">
        <f>'Rate Class Customer Model'!C4</f>
        <v>4273.25</v>
      </c>
      <c r="D14" s="5">
        <f>'Rate Class Customer Model'!C5</f>
        <v>4256.916666666667</v>
      </c>
      <c r="E14" s="5">
        <f>'Rate Class Customer Model'!C6</f>
        <v>4264.916666666667</v>
      </c>
      <c r="F14" s="5">
        <f>'Rate Class Customer Model'!C7</f>
        <v>4305.75</v>
      </c>
      <c r="G14" s="5">
        <f>'Rate Class Customer Model'!C8</f>
        <v>4339.666666666667</v>
      </c>
      <c r="H14" s="5">
        <f>'Rate Class Customer Model'!C9</f>
        <v>4496.916666666667</v>
      </c>
      <c r="I14" s="5">
        <f>'Rate Class Customer Model'!C10</f>
        <v>4527.75</v>
      </c>
      <c r="J14" s="5">
        <f>'Rate Class Customer Model'!C11</f>
        <v>4577.895263671875</v>
      </c>
      <c r="K14" s="5">
        <f>'Rate Class Customer Model'!C12</f>
        <v>4606.5062813957529</v>
      </c>
      <c r="L14" s="5">
        <f>'Rate Class Customer Model'!C13</f>
        <v>4623.1350602549164</v>
      </c>
      <c r="M14" s="5">
        <f>'Rate Class Customer Model'!C14</f>
        <v>4655.2595854572637</v>
      </c>
    </row>
    <row r="15" spans="1:13">
      <c r="A15" t="s">
        <v>38</v>
      </c>
      <c r="B15" s="5">
        <f>'Rate Class Energy Model'!I3</f>
        <v>141631018.54999995</v>
      </c>
      <c r="C15" s="5">
        <f>'Rate Class Energy Model'!I4</f>
        <v>140795615.54000005</v>
      </c>
      <c r="D15" s="5">
        <f>'Rate Class Energy Model'!I5</f>
        <v>140901919.11999995</v>
      </c>
      <c r="E15" s="5">
        <f>'Rate Class Energy Model'!I6</f>
        <v>137506815.68000019</v>
      </c>
      <c r="F15" s="5">
        <f>'Rate Class Energy Model'!I7</f>
        <v>132765784.44999993</v>
      </c>
      <c r="G15" s="5">
        <f>'Rate Class Energy Model'!I8</f>
        <v>135688687.22999996</v>
      </c>
      <c r="H15" s="5">
        <f>'Rate Class Energy Model'!I9</f>
        <v>133678840.49000008</v>
      </c>
      <c r="I15" s="5">
        <f>'Rate Class Energy Model'!I10</f>
        <v>136331185.61000001</v>
      </c>
      <c r="J15" s="5">
        <f>'Rate Class Energy Model'!I11</f>
        <v>139285835.96861196</v>
      </c>
      <c r="K15" s="5">
        <f>'Rate Class Energy Model'!I12</f>
        <v>137179401.47999987</v>
      </c>
      <c r="L15" s="69">
        <f>'Rate Class Energy Model'!I60</f>
        <v>138537070.73480821</v>
      </c>
      <c r="M15" s="69">
        <f>'Rate Class Energy Model'!I61</f>
        <v>142697207.41995323</v>
      </c>
    </row>
    <row r="16" spans="1:13">
      <c r="D16" s="50"/>
      <c r="E16" s="24"/>
      <c r="F16" s="24"/>
      <c r="K16" s="5"/>
    </row>
    <row r="17" spans="1:13">
      <c r="A17" s="44" t="str">
        <f>'Rate Class Energy Model'!J2</f>
        <v>General Service
 &gt; 50 to 999 kW</v>
      </c>
      <c r="I17" s="5"/>
      <c r="K17" s="5"/>
    </row>
    <row r="18" spans="1:13">
      <c r="A18" t="s">
        <v>37</v>
      </c>
      <c r="B18" s="5">
        <f>'Rate Class Customer Model'!D3</f>
        <v>492.5</v>
      </c>
      <c r="C18" s="5">
        <f>'Rate Class Customer Model'!D4</f>
        <v>500.5</v>
      </c>
      <c r="D18" s="5">
        <f>'Rate Class Customer Model'!D5</f>
        <v>507.25</v>
      </c>
      <c r="E18" s="5">
        <f>'Rate Class Customer Model'!D6</f>
        <v>506.08333333333331</v>
      </c>
      <c r="F18" s="5">
        <f>'Rate Class Customer Model'!D7</f>
        <v>506.66666666666669</v>
      </c>
      <c r="G18" s="28">
        <f>'Rate Class Customer Model'!D8</f>
        <v>505.75</v>
      </c>
      <c r="H18" s="28">
        <f>'Rate Class Customer Model'!D9</f>
        <v>513.5</v>
      </c>
      <c r="I18" s="28">
        <f>'Rate Class Customer Model'!D10</f>
        <v>511.58333333333331</v>
      </c>
      <c r="J18" s="28">
        <f>'Rate Class Customer Model'!D11</f>
        <v>495.30155436197919</v>
      </c>
      <c r="K18" s="5">
        <f>'Rate Class Customer Model'!D12</f>
        <v>471.62621294458705</v>
      </c>
      <c r="L18" s="5">
        <f>'Rate Class Customer Model'!D13</f>
        <v>462.83423899421177</v>
      </c>
      <c r="M18" s="5">
        <f>'Rate Class Customer Model'!D14</f>
        <v>459.96777205383216</v>
      </c>
    </row>
    <row r="19" spans="1:13">
      <c r="A19" t="s">
        <v>38</v>
      </c>
      <c r="B19" s="5">
        <f>'Rate Class Energy Model'!J3</f>
        <v>299216792.75999993</v>
      </c>
      <c r="C19" s="5">
        <f>'Rate Class Energy Model'!J4</f>
        <v>298981716.29999995</v>
      </c>
      <c r="D19" s="5">
        <f>'Rate Class Energy Model'!J5</f>
        <v>297548976.91999996</v>
      </c>
      <c r="E19" s="5">
        <f>'Rate Class Energy Model'!J6</f>
        <v>290804126.80000007</v>
      </c>
      <c r="F19" s="5">
        <f>'Rate Class Energy Model'!J7</f>
        <v>285047816.86000013</v>
      </c>
      <c r="G19" s="5">
        <f>'Rate Class Energy Model'!J8</f>
        <v>288525140.48999989</v>
      </c>
      <c r="H19" s="5">
        <f>'Rate Class Energy Model'!J9</f>
        <v>283475240.67000002</v>
      </c>
      <c r="I19" s="5">
        <f>'Rate Class Energy Model'!J10</f>
        <v>285068374.38</v>
      </c>
      <c r="J19" s="5">
        <f>'Rate Class Energy Model'!J11</f>
        <v>280037460.24000001</v>
      </c>
      <c r="K19" s="5">
        <f>'Rate Class Energy Model'!J12</f>
        <v>266548347.92000005</v>
      </c>
      <c r="L19" s="69">
        <f>'Rate Class Energy Model'!J60</f>
        <v>264176175.3026076</v>
      </c>
      <c r="M19" s="69">
        <f>'Rate Class Energy Model'!J61</f>
        <v>262887880.77451241</v>
      </c>
    </row>
    <row r="20" spans="1:13">
      <c r="A20" t="s">
        <v>39</v>
      </c>
      <c r="B20" s="5">
        <f>'Rate Class Load Model'!B2</f>
        <v>715592.13</v>
      </c>
      <c r="C20" s="5">
        <f>'Rate Class Load Model'!B3</f>
        <v>728766.5</v>
      </c>
      <c r="D20" s="5">
        <f>'Rate Class Load Model'!B4</f>
        <v>747849.27000000014</v>
      </c>
      <c r="E20" s="5">
        <f>'Rate Class Load Model'!B5</f>
        <v>719275.91000000015</v>
      </c>
      <c r="F20" s="28">
        <f>'Rate Class Load Model'!B6</f>
        <v>723294.84999999986</v>
      </c>
      <c r="G20" s="28">
        <f>'Rate Class Load Model'!B7</f>
        <v>732497.42999999993</v>
      </c>
      <c r="H20" s="28">
        <f>'Rate Class Load Model'!B8</f>
        <v>734173.25</v>
      </c>
      <c r="I20" s="28">
        <f>'Rate Class Load Model'!B9</f>
        <v>722899.29</v>
      </c>
      <c r="J20" s="28">
        <f>'Rate Class Load Model'!B10</f>
        <v>690826.75000000012</v>
      </c>
      <c r="K20" s="5">
        <f>'Rate Class Load Model'!B11</f>
        <v>668162.78</v>
      </c>
      <c r="L20" s="5">
        <f>'Rate Class Load Model'!B12</f>
        <v>660214.41113955656</v>
      </c>
      <c r="M20" s="5">
        <f>'Rate Class Load Model'!B13</f>
        <v>656994.77707427274</v>
      </c>
    </row>
    <row r="21" spans="1:13">
      <c r="D21" s="50"/>
      <c r="E21" s="24"/>
      <c r="F21" s="24"/>
    </row>
    <row r="22" spans="1:13">
      <c r="A22" s="44" t="str">
        <f>'Rate Class Energy Model'!K2</f>
        <v>General Service 
&gt; 1000 kW</v>
      </c>
      <c r="I22" s="5"/>
      <c r="K22" s="5"/>
    </row>
    <row r="23" spans="1:13">
      <c r="A23" t="s">
        <v>37</v>
      </c>
      <c r="B23" s="5">
        <f>'Rate Class Customer Model'!E3</f>
        <v>18</v>
      </c>
      <c r="C23" s="5">
        <f>'Rate Class Customer Model'!E4</f>
        <v>18.666666666666668</v>
      </c>
      <c r="D23" s="5">
        <f>'Rate Class Customer Model'!E5</f>
        <v>19</v>
      </c>
      <c r="E23" s="5">
        <f>'Rate Class Customer Model'!E6</f>
        <v>21.083333333333332</v>
      </c>
      <c r="F23" s="5">
        <f>'Rate Class Customer Model'!E7</f>
        <v>19.916666666666668</v>
      </c>
      <c r="G23" s="5">
        <f>'Rate Class Customer Model'!E8</f>
        <v>18.916666666666668</v>
      </c>
      <c r="H23" s="5">
        <f>'Rate Class Customer Model'!E9</f>
        <v>19.416666666666668</v>
      </c>
      <c r="I23" s="5">
        <f>'Rate Class Customer Model'!E10</f>
        <v>21.083333333333332</v>
      </c>
      <c r="J23" s="5">
        <f>'Rate Class Customer Model'!E11</f>
        <v>20.762959798177082</v>
      </c>
      <c r="K23" s="5">
        <f>'Rate Class Customer Model'!E12</f>
        <v>21.903750717639923</v>
      </c>
      <c r="L23" s="5">
        <f>'Rate Class Customer Model'!E13</f>
        <v>21.640601501640049</v>
      </c>
      <c r="M23" s="5">
        <f>'Rate Class Customer Model'!E14</f>
        <v>21.640601501640049</v>
      </c>
    </row>
    <row r="24" spans="1:13">
      <c r="A24" t="s">
        <v>38</v>
      </c>
      <c r="B24" s="5">
        <f>'Rate Class Energy Model'!K3</f>
        <v>241350662.01999995</v>
      </c>
      <c r="C24" s="5">
        <f>'Rate Class Energy Model'!K4</f>
        <v>230921503.04000002</v>
      </c>
      <c r="D24" s="5">
        <f>'Rate Class Energy Model'!K5</f>
        <v>204491830.29000002</v>
      </c>
      <c r="E24" s="5">
        <f>'Rate Class Energy Model'!K6</f>
        <v>189989954.51000002</v>
      </c>
      <c r="F24" s="5">
        <f>'Rate Class Energy Model'!K7</f>
        <v>177283841.63</v>
      </c>
      <c r="G24" s="5">
        <f>'Rate Class Energy Model'!K8</f>
        <v>183178133.00999999</v>
      </c>
      <c r="H24" s="5">
        <f>'Rate Class Energy Model'!K9</f>
        <v>188531681.40000001</v>
      </c>
      <c r="I24" s="5">
        <f>'Rate Class Energy Model'!K10</f>
        <v>187992826.44999999</v>
      </c>
      <c r="J24" s="5">
        <f>'Rate Class Energy Model'!K11</f>
        <v>193164947.16999999</v>
      </c>
      <c r="K24" s="5">
        <f>'Rate Class Energy Model'!K12</f>
        <v>198507738.57999998</v>
      </c>
      <c r="L24" s="5">
        <f>'Rate Class Energy Model'!K60</f>
        <v>176274851.76817456</v>
      </c>
      <c r="M24" s="5">
        <f>'Rate Class Energy Model'!K61</f>
        <v>169332351.76817456</v>
      </c>
    </row>
    <row r="25" spans="1:13">
      <c r="A25" t="s">
        <v>39</v>
      </c>
      <c r="B25" s="5">
        <f>'Rate Class Load Model'!C2</f>
        <v>675435.28559999994</v>
      </c>
      <c r="C25" s="5">
        <f>'Rate Class Load Model'!C3</f>
        <v>626041.3097000001</v>
      </c>
      <c r="D25" s="5">
        <f>'Rate Class Load Model'!C4</f>
        <v>572083.02580000006</v>
      </c>
      <c r="E25" s="5">
        <f>'Rate Class Load Model'!C5</f>
        <v>530288.73339999991</v>
      </c>
      <c r="F25" s="28">
        <f>'Rate Class Load Model'!C6</f>
        <v>516956.12800000003</v>
      </c>
      <c r="G25" s="28">
        <f>'Rate Class Load Model'!C7</f>
        <v>504570.848</v>
      </c>
      <c r="H25" s="28">
        <f>'Rate Class Load Model'!C8</f>
        <v>517091.88530000014</v>
      </c>
      <c r="I25" s="28">
        <f>'Rate Class Load Model'!C9</f>
        <v>510032.45079999993</v>
      </c>
      <c r="J25" s="28">
        <f>'Rate Class Load Model'!C10</f>
        <v>512108.56049999996</v>
      </c>
      <c r="K25" s="28">
        <f>'Rate Class Load Model'!C11</f>
        <v>535701.6155999999</v>
      </c>
      <c r="L25" s="28">
        <f>'Rate Class Load Model'!C12</f>
        <v>486067.78556135576</v>
      </c>
      <c r="M25" s="28">
        <f>'Rate Class Load Model'!C13</f>
        <v>466924.2403113636</v>
      </c>
    </row>
    <row r="26" spans="1:13">
      <c r="D26" s="50"/>
      <c r="E26" s="24"/>
      <c r="F26" s="24"/>
      <c r="K26" s="24"/>
      <c r="L26" s="24"/>
      <c r="M26" s="24"/>
    </row>
    <row r="27" spans="1:13">
      <c r="A27" s="527" t="str">
        <f>'Rate Class Energy Model'!L2</f>
        <v>Large User</v>
      </c>
      <c r="B27" s="528"/>
      <c r="C27" s="528"/>
      <c r="D27" s="528"/>
      <c r="E27" s="528"/>
      <c r="F27" s="528"/>
      <c r="G27" s="528"/>
      <c r="H27" s="528"/>
      <c r="I27" s="529"/>
      <c r="J27" s="528"/>
      <c r="K27" s="528"/>
      <c r="L27" s="528"/>
      <c r="M27" s="528"/>
    </row>
    <row r="28" spans="1:13">
      <c r="A28" s="530" t="s">
        <v>37</v>
      </c>
      <c r="B28" s="529">
        <f>'Rate Class Customer Model'!F3</f>
        <v>0</v>
      </c>
      <c r="C28" s="529">
        <f>'Rate Class Customer Model'!F4</f>
        <v>0</v>
      </c>
      <c r="D28" s="529">
        <f>'Rate Class Customer Model'!F5</f>
        <v>0</v>
      </c>
      <c r="E28" s="529">
        <f>'Rate Class Customer Model'!F6</f>
        <v>0</v>
      </c>
      <c r="F28" s="529">
        <f>'Rate Class Customer Model'!F7</f>
        <v>0</v>
      </c>
      <c r="G28" s="529">
        <f>'Rate Class Customer Model'!F8</f>
        <v>0</v>
      </c>
      <c r="H28" s="529">
        <f>'Rate Class Customer Model'!F9</f>
        <v>0</v>
      </c>
      <c r="I28" s="529">
        <f>'Rate Class Customer Model'!F10</f>
        <v>0</v>
      </c>
      <c r="J28" s="529">
        <f>'Rate Class Customer Model'!F11</f>
        <v>0</v>
      </c>
      <c r="K28" s="529">
        <f>'Rate Class Customer Model'!F12</f>
        <v>0</v>
      </c>
      <c r="L28" s="529">
        <f>'Rate Class Customer Model'!F13</f>
        <v>0</v>
      </c>
      <c r="M28" s="529">
        <f>'Rate Class Customer Model'!F14</f>
        <v>0</v>
      </c>
    </row>
    <row r="29" spans="1:13">
      <c r="A29" s="530" t="s">
        <v>38</v>
      </c>
      <c r="B29" s="529">
        <f>'Rate Class Energy Model'!L3</f>
        <v>0</v>
      </c>
      <c r="C29" s="529">
        <f>'Rate Class Energy Model'!L4</f>
        <v>0</v>
      </c>
      <c r="D29" s="529">
        <f>'Rate Class Energy Model'!L5</f>
        <v>0</v>
      </c>
      <c r="E29" s="529">
        <f>'Rate Class Energy Model'!L6</f>
        <v>0</v>
      </c>
      <c r="F29" s="529">
        <f>'Rate Class Energy Model'!L7</f>
        <v>0</v>
      </c>
      <c r="G29" s="529">
        <f>'Rate Class Energy Model'!L8</f>
        <v>0</v>
      </c>
      <c r="H29" s="529">
        <f>'Rate Class Energy Model'!L9</f>
        <v>0</v>
      </c>
      <c r="I29" s="529">
        <f>'Rate Class Energy Model'!L10</f>
        <v>0</v>
      </c>
      <c r="J29" s="529">
        <f>'Rate Class Energy Model'!L11</f>
        <v>0</v>
      </c>
      <c r="K29" s="529">
        <f>'Rate Class Energy Model'!L12</f>
        <v>0</v>
      </c>
      <c r="L29" s="529">
        <f>'Rate Class Energy Model'!L60</f>
        <v>0</v>
      </c>
      <c r="M29" s="529">
        <f>'Rate Class Energy Model'!L61</f>
        <v>0</v>
      </c>
    </row>
    <row r="30" spans="1:13">
      <c r="A30" s="530" t="s">
        <v>39</v>
      </c>
      <c r="B30" s="529">
        <f>'Rate Class Load Model'!D2</f>
        <v>0</v>
      </c>
      <c r="C30" s="529">
        <f>'Rate Class Load Model'!D3</f>
        <v>0</v>
      </c>
      <c r="D30" s="529">
        <f>'Rate Class Load Model'!D4</f>
        <v>0</v>
      </c>
      <c r="E30" s="529">
        <f>'Rate Class Load Model'!D5</f>
        <v>0</v>
      </c>
      <c r="F30" s="529">
        <f>'Rate Class Load Model'!D6</f>
        <v>0</v>
      </c>
      <c r="G30" s="529">
        <f>'Rate Class Load Model'!D7</f>
        <v>0</v>
      </c>
      <c r="H30" s="529">
        <f>'Rate Class Load Model'!D8</f>
        <v>0</v>
      </c>
      <c r="I30" s="529">
        <f>'Rate Class Load Model'!D9</f>
        <v>0</v>
      </c>
      <c r="J30" s="529">
        <f>'Rate Class Load Model'!D10</f>
        <v>0</v>
      </c>
      <c r="K30" s="529">
        <f>'Rate Class Load Model'!D11</f>
        <v>0</v>
      </c>
      <c r="L30" s="529">
        <f>'Rate Class Load Model'!D12</f>
        <v>0</v>
      </c>
      <c r="M30" s="529">
        <f>'Rate Class Load Model'!D13</f>
        <v>0</v>
      </c>
    </row>
    <row r="31" spans="1:13">
      <c r="K31" s="24"/>
      <c r="L31" s="24"/>
      <c r="M31" s="24"/>
    </row>
    <row r="32" spans="1:13">
      <c r="A32" s="44" t="str">
        <f>'Rate Class Energy Model'!M2</f>
        <v>Street Lighting</v>
      </c>
      <c r="K32" s="24"/>
      <c r="L32" s="24"/>
      <c r="M32" s="24"/>
    </row>
    <row r="33" spans="1:13">
      <c r="A33" t="s">
        <v>51</v>
      </c>
      <c r="B33" s="5">
        <f>'Rate Class Customer Model'!G3</f>
        <v>12962</v>
      </c>
      <c r="C33" s="5">
        <f>'Rate Class Customer Model'!G4</f>
        <v>12976</v>
      </c>
      <c r="D33" s="5">
        <f>'Rate Class Customer Model'!G5</f>
        <v>13135</v>
      </c>
      <c r="E33" s="5">
        <f>'Rate Class Customer Model'!G6</f>
        <v>13038.75</v>
      </c>
      <c r="F33" s="28">
        <f>'Rate Class Customer Model'!G7</f>
        <v>13170</v>
      </c>
      <c r="G33" s="28">
        <f>'Rate Class Customer Model'!G8</f>
        <v>13090.833333333334</v>
      </c>
      <c r="H33" s="28">
        <f>'Rate Class Customer Model'!G9</f>
        <v>13172.083333333334</v>
      </c>
      <c r="I33" s="28">
        <f>'Rate Class Customer Model'!G10</f>
        <v>13095.333333333334</v>
      </c>
      <c r="J33" s="28">
        <f>'Rate Class Customer Model'!G11</f>
        <v>13148.318033854166</v>
      </c>
      <c r="K33" s="28">
        <f>'Rate Class Customer Model'!G12</f>
        <v>13197.213741430789</v>
      </c>
      <c r="L33" s="28">
        <f>'Rate Class Customer Model'!G13</f>
        <v>13245.738644907577</v>
      </c>
      <c r="M33" s="28">
        <f>'Rate Class Customer Model'!G14</f>
        <v>13274.451896791892</v>
      </c>
    </row>
    <row r="34" spans="1:13">
      <c r="A34" t="s">
        <v>38</v>
      </c>
      <c r="B34" s="5">
        <f>'Rate Class Energy Model'!M3</f>
        <v>9862692.7200000007</v>
      </c>
      <c r="C34" s="5">
        <f>'Rate Class Energy Model'!M4</f>
        <v>10907925.719999999</v>
      </c>
      <c r="D34" s="5">
        <f>'Rate Class Energy Model'!M5</f>
        <v>10834527.1</v>
      </c>
      <c r="E34" s="5">
        <f>'Rate Class Energy Model'!M6</f>
        <v>11591322.310000001</v>
      </c>
      <c r="F34" s="5">
        <f>'Rate Class Energy Model'!M7</f>
        <v>11241250.439999999</v>
      </c>
      <c r="G34" s="5">
        <f>'Rate Class Energy Model'!M8</f>
        <v>11244632.459999999</v>
      </c>
      <c r="H34" s="5">
        <f>'Rate Class Energy Model'!M9</f>
        <v>11062691.710000001</v>
      </c>
      <c r="I34" s="5">
        <f>'Rate Class Energy Model'!M10</f>
        <v>10555413.669999998</v>
      </c>
      <c r="J34" s="5">
        <f>'Rate Class Energy Model'!M11</f>
        <v>10310975.15</v>
      </c>
      <c r="K34" s="5">
        <f>'Rate Class Energy Model'!M12</f>
        <v>9533360.5500000007</v>
      </c>
      <c r="L34" s="5">
        <f>'Rate Class Energy Model'!M60</f>
        <v>8884823.5846332554</v>
      </c>
      <c r="M34" s="5">
        <f>'Rate Class Energy Model'!M61</f>
        <v>8290565.3705995455</v>
      </c>
    </row>
    <row r="35" spans="1:13">
      <c r="A35" t="s">
        <v>39</v>
      </c>
      <c r="B35" s="5">
        <f>'Rate Class Load Model'!E2</f>
        <v>30656.799999999996</v>
      </c>
      <c r="C35" s="5">
        <f>'Rate Class Load Model'!E3</f>
        <v>30889.010000000002</v>
      </c>
      <c r="D35" s="5">
        <f>'Rate Class Load Model'!E4</f>
        <v>31499.200000000001</v>
      </c>
      <c r="E35" s="5">
        <f>'Rate Class Load Model'!E5</f>
        <v>31053.320000000007</v>
      </c>
      <c r="F35" s="5">
        <f>'Rate Class Load Model'!E6</f>
        <v>31561.720000000008</v>
      </c>
      <c r="G35" s="5">
        <f>'Rate Class Load Model'!E7</f>
        <v>31849.550000000003</v>
      </c>
      <c r="H35" s="5">
        <f>'Rate Class Load Model'!E8</f>
        <v>30858.559999999998</v>
      </c>
      <c r="I35" s="5">
        <f>'Rate Class Load Model'!E9</f>
        <v>29850.29</v>
      </c>
      <c r="J35" s="5">
        <f>'Rate Class Load Model'!E10</f>
        <v>29216.71</v>
      </c>
      <c r="K35" s="5">
        <f>'Rate Class Load Model'!E11</f>
        <v>27043.15</v>
      </c>
      <c r="L35" s="5">
        <f>'Rate Class Load Model'!E12</f>
        <v>25281.042893165009</v>
      </c>
      <c r="M35" s="5">
        <f>'Rate Class Load Model'!E13</f>
        <v>23590.129477102848</v>
      </c>
    </row>
    <row r="37" spans="1:13">
      <c r="A37" s="44" t="str">
        <f>'Rate Class Energy Model'!N2</f>
        <v>Sentinel Lighting</v>
      </c>
    </row>
    <row r="38" spans="1:13">
      <c r="A38" t="s">
        <v>51</v>
      </c>
      <c r="B38" s="5">
        <f>'Rate Class Customer Model'!H3</f>
        <v>164</v>
      </c>
      <c r="C38" s="5">
        <f>'Rate Class Customer Model'!H4</f>
        <v>153</v>
      </c>
      <c r="D38" s="5">
        <f>'Rate Class Customer Model'!H5</f>
        <v>149.83333333333334</v>
      </c>
      <c r="E38" s="5">
        <f>'Rate Class Customer Model'!H6</f>
        <v>157.91666666666666</v>
      </c>
      <c r="F38" s="5">
        <f>'Rate Class Customer Model'!H7</f>
        <v>166.75</v>
      </c>
      <c r="G38" s="5">
        <f>'Rate Class Customer Model'!H8</f>
        <v>147.58333333333334</v>
      </c>
      <c r="H38" s="5">
        <f>'Rate Class Customer Model'!H9</f>
        <v>167.16666666666666</v>
      </c>
      <c r="I38" s="5">
        <f>'Rate Class Customer Model'!H10</f>
        <v>170.83333333333334</v>
      </c>
      <c r="J38" s="5">
        <f>'Rate Class Customer Model'!H11</f>
        <v>172.08199055989584</v>
      </c>
      <c r="K38" s="5">
        <f>'Rate Class Customer Model'!H12</f>
        <v>170.93070442477861</v>
      </c>
      <c r="L38" s="5">
        <f>'Rate Class Customer Model'!H13</f>
        <v>163.76341081650995</v>
      </c>
      <c r="M38" s="5">
        <f>'Rate Class Customer Model'!H14</f>
        <v>163.76341081650995</v>
      </c>
    </row>
    <row r="39" spans="1:13">
      <c r="A39" t="s">
        <v>38</v>
      </c>
      <c r="B39" s="5">
        <f>'Rate Class Energy Model'!N3</f>
        <v>134611.20000000004</v>
      </c>
      <c r="C39" s="5">
        <f>'Rate Class Energy Model'!N4</f>
        <v>125582.39999999998</v>
      </c>
      <c r="D39" s="5">
        <f>'Rate Class Energy Model'!N5</f>
        <v>122983.2</v>
      </c>
      <c r="E39" s="5">
        <f>'Rate Class Energy Model'!N6</f>
        <v>129617.99999999999</v>
      </c>
      <c r="F39" s="5">
        <f>'Rate Class Energy Model'!N7</f>
        <v>136868.40000000002</v>
      </c>
      <c r="G39" s="5">
        <f>'Rate Class Energy Model'!N8</f>
        <v>121136.40000000001</v>
      </c>
      <c r="H39" s="5">
        <f>'Rate Class Energy Model'!N9</f>
        <v>141784.07999999999</v>
      </c>
      <c r="I39" s="5">
        <f>'Rate Class Energy Model'!N10</f>
        <v>144894</v>
      </c>
      <c r="J39" s="5">
        <f>'Rate Class Energy Model'!N11</f>
        <v>146313.06111328123</v>
      </c>
      <c r="K39" s="5">
        <f>'Rate Class Energy Model'!N12</f>
        <v>112765.46778066158</v>
      </c>
      <c r="L39" s="5">
        <f>'Rate Class Energy Model'!N60</f>
        <v>108037.10011156654</v>
      </c>
      <c r="M39" s="5">
        <f>'Rate Class Energy Model'!N61</f>
        <v>108037.10011156654</v>
      </c>
    </row>
    <row r="40" spans="1:13">
      <c r="A40" t="s">
        <v>39</v>
      </c>
      <c r="B40" s="5">
        <f>'Rate Class Load Model'!F2</f>
        <v>373.92000000000007</v>
      </c>
      <c r="C40" s="5">
        <f>'Rate Class Load Model'!F3</f>
        <v>348.84</v>
      </c>
      <c r="D40" s="5">
        <f>'Rate Class Load Model'!F4</f>
        <v>341.62</v>
      </c>
      <c r="E40" s="5">
        <f>'Rate Class Load Model'!F5</f>
        <v>360.04999999999995</v>
      </c>
      <c r="F40" s="5">
        <f>'Rate Class Load Model'!F6</f>
        <v>380.19000000000005</v>
      </c>
      <c r="G40" s="5">
        <f>'Rate Class Load Model'!F7</f>
        <v>336.49</v>
      </c>
      <c r="H40" s="5">
        <f>'Rate Class Load Model'!F8</f>
        <v>381.14000000000004</v>
      </c>
      <c r="I40" s="5">
        <f>'Rate Class Load Model'!F9</f>
        <v>389.5</v>
      </c>
      <c r="J40" s="5">
        <f>'Rate Class Load Model'!F10</f>
        <v>392.34693847656257</v>
      </c>
      <c r="K40" s="5">
        <f>'Rate Class Load Model'!F11</f>
        <v>307.67526796460157</v>
      </c>
      <c r="L40" s="5">
        <f>'Rate Class Load Model'!F12</f>
        <v>294.77413946971797</v>
      </c>
      <c r="M40" s="5">
        <f>'Rate Class Load Model'!F13</f>
        <v>294.77413946971797</v>
      </c>
    </row>
    <row r="41" spans="1:13">
      <c r="M41" s="5"/>
    </row>
    <row r="42" spans="1:13">
      <c r="A42" s="44" t="str">
        <f>'Rate Class Energy Model'!O2</f>
        <v>Unmetered Scattered Load</v>
      </c>
      <c r="B42" s="5"/>
      <c r="C42" s="5"/>
      <c r="D42" s="5"/>
      <c r="E42" s="5"/>
      <c r="F42" s="5"/>
      <c r="G42" s="5"/>
      <c r="H42" s="5"/>
      <c r="J42" s="5"/>
      <c r="L42" s="5"/>
      <c r="M42" s="5"/>
    </row>
    <row r="43" spans="1:13">
      <c r="A43" t="s">
        <v>51</v>
      </c>
      <c r="B43" s="5">
        <f>'Rate Class Customer Model'!I3</f>
        <v>428</v>
      </c>
      <c r="C43" s="5">
        <f>'Rate Class Customer Model'!I4</f>
        <v>435</v>
      </c>
      <c r="D43" s="5">
        <f>'Rate Class Customer Model'!I5</f>
        <v>457</v>
      </c>
      <c r="E43" s="5">
        <f>'Rate Class Customer Model'!I6</f>
        <v>458.5</v>
      </c>
      <c r="F43" s="5">
        <f>'Rate Class Customer Model'!I7</f>
        <v>469.25</v>
      </c>
      <c r="G43" s="5">
        <f>'Rate Class Customer Model'!I8</f>
        <v>470.08333333333331</v>
      </c>
      <c r="H43" s="5">
        <f>'Rate Class Customer Model'!I9</f>
        <v>469.83333333333331</v>
      </c>
      <c r="I43" s="5">
        <f>'Rate Class Customer Model'!I10</f>
        <v>465.5</v>
      </c>
      <c r="J43" s="5">
        <f>'Rate Class Customer Model'!I11</f>
        <v>462.49702962239581</v>
      </c>
      <c r="K43" s="5">
        <f>'Rate Class Customer Model'!I12</f>
        <v>451.08502161006135</v>
      </c>
      <c r="L43" s="5">
        <f>'Rate Class Customer Model'!I13</f>
        <v>439.66158081582279</v>
      </c>
      <c r="M43" s="5">
        <f>'Rate Class Customer Model'!I14</f>
        <v>439.66158081582279</v>
      </c>
    </row>
    <row r="44" spans="1:13">
      <c r="A44" t="s">
        <v>38</v>
      </c>
      <c r="B44" s="5">
        <f>'Rate Class Energy Model'!O3</f>
        <v>1856376.03</v>
      </c>
      <c r="C44" s="5">
        <f>'Rate Class Energy Model'!O4</f>
        <v>2031490.7000000002</v>
      </c>
      <c r="D44" s="5">
        <f>'Rate Class Energy Model'!O5</f>
        <v>1952922.6400000001</v>
      </c>
      <c r="E44" s="5">
        <f>'Rate Class Energy Model'!O6</f>
        <v>1974983.6700000004</v>
      </c>
      <c r="F44" s="5">
        <f>'Rate Class Energy Model'!O7</f>
        <v>1946641.3000000003</v>
      </c>
      <c r="G44" s="5">
        <f>'Rate Class Energy Model'!O8</f>
        <v>1971315.4000000004</v>
      </c>
      <c r="H44" s="5">
        <f>'Rate Class Energy Model'!O9</f>
        <v>1980462.86</v>
      </c>
      <c r="I44" s="5">
        <f>'Rate Class Energy Model'!O10</f>
        <v>1992260.1800000002</v>
      </c>
      <c r="J44" s="5">
        <f>'Rate Class Energy Model'!O11</f>
        <v>2099765.3300000005</v>
      </c>
      <c r="K44" s="5">
        <f>'Rate Class Energy Model'!O12</f>
        <v>2203934.8200000003</v>
      </c>
      <c r="L44" s="5">
        <f>'Rate Class Energy Model'!O60</f>
        <v>2148121.5747701586</v>
      </c>
      <c r="M44" s="5">
        <f>'Rate Class Energy Model'!O61</f>
        <v>2148121.5747701586</v>
      </c>
    </row>
    <row r="45" spans="1:13">
      <c r="K45" s="5"/>
    </row>
    <row r="46" spans="1:13">
      <c r="A46" s="44" t="s">
        <v>52</v>
      </c>
      <c r="B46" s="5"/>
      <c r="D46" s="5"/>
      <c r="E46" s="5"/>
      <c r="F46" s="5"/>
      <c r="H46" s="5"/>
      <c r="J46" s="28"/>
    </row>
    <row r="47" spans="1:13">
      <c r="A47" t="s">
        <v>43</v>
      </c>
      <c r="B47" s="5">
        <f>SUM(B10+B14+B18+B23+B28+B33+B38+B43)</f>
        <v>62690.416666666672</v>
      </c>
      <c r="C47" s="5">
        <f t="shared" ref="C47:M47" si="1">SUM(C10+C14+C18+C23+C28+C33+C38+C43)</f>
        <v>62745</v>
      </c>
      <c r="D47" s="5">
        <f t="shared" si="1"/>
        <v>63062.5</v>
      </c>
      <c r="E47" s="5">
        <f t="shared" si="1"/>
        <v>63060.916666666664</v>
      </c>
      <c r="F47" s="5">
        <f t="shared" si="1"/>
        <v>63373.916666666664</v>
      </c>
      <c r="G47" s="5">
        <f t="shared" si="1"/>
        <v>63473.5</v>
      </c>
      <c r="H47" s="5">
        <f t="shared" si="1"/>
        <v>63575.666666666664</v>
      </c>
      <c r="I47" s="5">
        <f t="shared" si="1"/>
        <v>63734.500000000007</v>
      </c>
      <c r="J47" s="5">
        <f t="shared" si="1"/>
        <v>63983.127339680992</v>
      </c>
      <c r="K47" s="5">
        <f t="shared" si="1"/>
        <v>64191.858287517374</v>
      </c>
      <c r="L47" s="5">
        <f t="shared" si="1"/>
        <v>64371.970093095115</v>
      </c>
      <c r="M47" s="5">
        <f t="shared" si="1"/>
        <v>64541.751937998488</v>
      </c>
    </row>
    <row r="48" spans="1:13">
      <c r="A48" t="s">
        <v>38</v>
      </c>
      <c r="B48" s="5">
        <f>SUM(B11+B15+B19+B24+B29+B34+B39+B44)</f>
        <v>1039037823.4400008</v>
      </c>
      <c r="C48" s="5">
        <f t="shared" ref="C48:M48" si="2">SUM(C11+C15+C19+C24+C29+C34+C39+C44)</f>
        <v>1031120515.9500011</v>
      </c>
      <c r="D48" s="5">
        <f t="shared" si="2"/>
        <v>1005493354.6399989</v>
      </c>
      <c r="E48" s="5">
        <f t="shared" si="2"/>
        <v>976724641.65999937</v>
      </c>
      <c r="F48" s="5">
        <f t="shared" si="2"/>
        <v>944010732.54999959</v>
      </c>
      <c r="G48" s="5">
        <f t="shared" si="2"/>
        <v>957941351.48999953</v>
      </c>
      <c r="H48" s="5">
        <f t="shared" si="2"/>
        <v>950013126.06999981</v>
      </c>
      <c r="I48" s="5">
        <f t="shared" si="2"/>
        <v>963120842.92527819</v>
      </c>
      <c r="J48" s="5">
        <f t="shared" si="2"/>
        <v>965070092.80775356</v>
      </c>
      <c r="K48" s="5">
        <f t="shared" si="2"/>
        <v>938758818.01477861</v>
      </c>
      <c r="L48" s="5">
        <f t="shared" si="2"/>
        <v>926626361.46880984</v>
      </c>
      <c r="M48" s="5">
        <f t="shared" si="2"/>
        <v>921578850.48693848</v>
      </c>
    </row>
    <row r="49" spans="1:14">
      <c r="A49" t="s">
        <v>42</v>
      </c>
      <c r="B49" s="5">
        <f>SUM(B20+B25+B30+B35+B40)</f>
        <v>1422058.1355999999</v>
      </c>
      <c r="C49" s="5">
        <f t="shared" ref="C49:M49" si="3">SUM(C20+C25+C30+C35+C40)</f>
        <v>1386045.6597000002</v>
      </c>
      <c r="D49" s="5">
        <f t="shared" si="3"/>
        <v>1351773.1158000003</v>
      </c>
      <c r="E49" s="5">
        <f t="shared" si="3"/>
        <v>1280978.0134000001</v>
      </c>
      <c r="F49" s="5">
        <f t="shared" si="3"/>
        <v>1272192.8879999998</v>
      </c>
      <c r="G49" s="5">
        <f t="shared" si="3"/>
        <v>1269254.318</v>
      </c>
      <c r="H49" s="5">
        <f t="shared" si="3"/>
        <v>1282504.8353000002</v>
      </c>
      <c r="I49" s="5">
        <f t="shared" si="3"/>
        <v>1263171.5308000001</v>
      </c>
      <c r="J49" s="5">
        <f t="shared" si="3"/>
        <v>1232544.3674384768</v>
      </c>
      <c r="K49" s="5">
        <f t="shared" si="3"/>
        <v>1231215.2208679644</v>
      </c>
      <c r="L49" s="5">
        <f t="shared" si="3"/>
        <v>1171858.0137335472</v>
      </c>
      <c r="M49" s="5">
        <f t="shared" si="3"/>
        <v>1147803.921002209</v>
      </c>
    </row>
    <row r="51" spans="1:14">
      <c r="A51" s="44" t="s">
        <v>53</v>
      </c>
      <c r="I51" s="5"/>
      <c r="K51" s="5"/>
    </row>
    <row r="52" spans="1:14">
      <c r="A52" t="s">
        <v>43</v>
      </c>
      <c r="B52" s="5">
        <f>'Rate Class Customer Model'!J3</f>
        <v>62690.416666666672</v>
      </c>
      <c r="C52" s="5">
        <f>'Rate Class Customer Model'!J4</f>
        <v>62745</v>
      </c>
      <c r="D52" s="5">
        <f>'Rate Class Customer Model'!J5</f>
        <v>63062.5</v>
      </c>
      <c r="E52" s="5">
        <f>'Rate Class Customer Model'!J6</f>
        <v>63060.916666666664</v>
      </c>
      <c r="F52" s="5">
        <f>'Rate Class Customer Model'!J7</f>
        <v>63373.916666666664</v>
      </c>
      <c r="G52" s="5">
        <f>'Rate Class Customer Model'!J8</f>
        <v>63473.5</v>
      </c>
      <c r="H52" s="5">
        <f>'Rate Class Customer Model'!J9</f>
        <v>63575.666666666664</v>
      </c>
      <c r="I52" s="5">
        <f>'Rate Class Customer Model'!J10</f>
        <v>63734.500000000007</v>
      </c>
      <c r="J52" s="5">
        <f>'Rate Class Customer Model'!J11</f>
        <v>63983.127339680992</v>
      </c>
      <c r="K52" s="5">
        <f>'Rate Class Customer Model'!J12</f>
        <v>64191.858287517374</v>
      </c>
      <c r="L52" s="5">
        <f>'Rate Class Customer Model'!J13</f>
        <v>64371.970093095115</v>
      </c>
      <c r="M52" s="535">
        <f>'Rate Class Customer Model'!J14</f>
        <v>64541.751937998488</v>
      </c>
      <c r="N52" s="72" t="s">
        <v>443</v>
      </c>
    </row>
    <row r="53" spans="1:14" ht="12" customHeight="1">
      <c r="A53" t="s">
        <v>38</v>
      </c>
      <c r="B53" s="5">
        <f>'Rate Class Energy Model'!P3</f>
        <v>1039037823.4400008</v>
      </c>
      <c r="C53" s="5">
        <f>'Rate Class Energy Model'!P4</f>
        <v>1031120515.9500011</v>
      </c>
      <c r="D53" s="5">
        <f>'Rate Class Energy Model'!P5</f>
        <v>1005493354.6399989</v>
      </c>
      <c r="E53" s="5">
        <f>'Rate Class Energy Model'!P6</f>
        <v>976724641.65999937</v>
      </c>
      <c r="F53" s="5">
        <f>'Rate Class Energy Model'!P7</f>
        <v>944010732.54999959</v>
      </c>
      <c r="G53" s="5">
        <f>'Rate Class Energy Model'!P8</f>
        <v>957941351.48999953</v>
      </c>
      <c r="H53" s="5">
        <f>'Rate Class Energy Model'!P9</f>
        <v>950013126.06999981</v>
      </c>
      <c r="I53" s="5">
        <f>'Rate Class Energy Model'!P10</f>
        <v>963120842.92527819</v>
      </c>
      <c r="J53" s="5">
        <f>'Rate Class Energy Model'!P11</f>
        <v>965070092.80775356</v>
      </c>
      <c r="K53" s="5">
        <f>'Rate Class Energy Model'!P12</f>
        <v>938758818.01477861</v>
      </c>
      <c r="L53" s="5">
        <f>'Rate Class Energy Model'!P60</f>
        <v>926626361.46880984</v>
      </c>
      <c r="M53" s="535">
        <f>'Rate Class Energy Model'!P61</f>
        <v>921578850.48693848</v>
      </c>
      <c r="N53" s="72" t="s">
        <v>443</v>
      </c>
    </row>
    <row r="54" spans="1:14">
      <c r="A54" t="s">
        <v>42</v>
      </c>
      <c r="B54" s="5">
        <f>'Rate Class Load Model'!G2</f>
        <v>1422058.1355999999</v>
      </c>
      <c r="C54" s="5">
        <f>'Rate Class Load Model'!G3</f>
        <v>1386045.6597000002</v>
      </c>
      <c r="D54" s="5">
        <f>'Rate Class Load Model'!G4</f>
        <v>1351773.1158000003</v>
      </c>
      <c r="E54" s="5">
        <f>'Rate Class Load Model'!G5</f>
        <v>1280978.0134000001</v>
      </c>
      <c r="F54" s="28">
        <f>'Rate Class Load Model'!G6</f>
        <v>1272192.8879999998</v>
      </c>
      <c r="G54" s="28">
        <f>'Rate Class Load Model'!G7</f>
        <v>1269254.318</v>
      </c>
      <c r="H54" s="28">
        <f>'Rate Class Load Model'!G8</f>
        <v>1282504.8353000002</v>
      </c>
      <c r="I54" s="28">
        <f>'Rate Class Load Model'!G9</f>
        <v>1263171.5308000001</v>
      </c>
      <c r="J54" s="28">
        <f>'Rate Class Load Model'!G10</f>
        <v>1232544.3674384768</v>
      </c>
      <c r="K54" s="28">
        <f>'Rate Class Load Model'!G11</f>
        <v>1231215.2208679644</v>
      </c>
      <c r="L54" s="28">
        <f>'Rate Class Load Model'!G12</f>
        <v>1171858.0137335472</v>
      </c>
      <c r="M54" s="535">
        <f>'Rate Class Load Model'!G13</f>
        <v>1147803.921002209</v>
      </c>
      <c r="N54" s="72" t="s">
        <v>443</v>
      </c>
    </row>
    <row r="56" spans="1:14">
      <c r="A56" s="44" t="s">
        <v>54</v>
      </c>
      <c r="B56" s="5"/>
      <c r="C56" s="5"/>
      <c r="H56" s="28"/>
      <c r="I56" s="5"/>
      <c r="J56" s="5"/>
      <c r="K56" s="5"/>
    </row>
    <row r="57" spans="1:14">
      <c r="A57" t="s">
        <v>43</v>
      </c>
      <c r="B57" s="5">
        <f t="shared" ref="B57" si="4">B47-B52</f>
        <v>0</v>
      </c>
      <c r="C57" s="5">
        <f t="shared" ref="C57:M57" si="5">C47-C52</f>
        <v>0</v>
      </c>
      <c r="D57" s="5">
        <f t="shared" si="5"/>
        <v>0</v>
      </c>
      <c r="E57" s="5">
        <f t="shared" si="5"/>
        <v>0</v>
      </c>
      <c r="F57" s="5">
        <f t="shared" si="5"/>
        <v>0</v>
      </c>
      <c r="G57" s="5">
        <f t="shared" si="5"/>
        <v>0</v>
      </c>
      <c r="H57" s="5">
        <f t="shared" si="5"/>
        <v>0</v>
      </c>
      <c r="I57" s="5">
        <f t="shared" si="5"/>
        <v>0</v>
      </c>
      <c r="J57" s="5">
        <f t="shared" si="5"/>
        <v>0</v>
      </c>
      <c r="K57" s="5">
        <f t="shared" si="5"/>
        <v>0</v>
      </c>
      <c r="L57" s="5">
        <f t="shared" si="5"/>
        <v>0</v>
      </c>
      <c r="M57" s="5">
        <f t="shared" si="5"/>
        <v>0</v>
      </c>
    </row>
    <row r="58" spans="1:14">
      <c r="A58" t="s">
        <v>38</v>
      </c>
      <c r="B58" s="5">
        <f t="shared" ref="B58" si="6">B48-B53</f>
        <v>0</v>
      </c>
      <c r="C58" s="5">
        <f t="shared" ref="C58:M58" si="7">C48-C53</f>
        <v>0</v>
      </c>
      <c r="D58" s="5">
        <f t="shared" si="7"/>
        <v>0</v>
      </c>
      <c r="E58" s="5">
        <f t="shared" si="7"/>
        <v>0</v>
      </c>
      <c r="F58" s="5">
        <f t="shared" si="7"/>
        <v>0</v>
      </c>
      <c r="G58" s="5">
        <f t="shared" si="7"/>
        <v>0</v>
      </c>
      <c r="H58" s="5">
        <f t="shared" si="7"/>
        <v>0</v>
      </c>
      <c r="I58" s="5">
        <f t="shared" si="7"/>
        <v>0</v>
      </c>
      <c r="J58" s="5">
        <f t="shared" si="7"/>
        <v>0</v>
      </c>
      <c r="K58" s="5">
        <f t="shared" si="7"/>
        <v>0</v>
      </c>
      <c r="L58" s="5">
        <f t="shared" si="7"/>
        <v>0</v>
      </c>
      <c r="M58" s="5">
        <f t="shared" si="7"/>
        <v>0</v>
      </c>
    </row>
    <row r="59" spans="1:14">
      <c r="A59" t="s">
        <v>42</v>
      </c>
      <c r="B59" s="5">
        <f>B49-B54</f>
        <v>0</v>
      </c>
      <c r="C59" s="5">
        <f t="shared" ref="C59:M59" si="8">C49-C54</f>
        <v>0</v>
      </c>
      <c r="D59" s="5">
        <f t="shared" si="8"/>
        <v>0</v>
      </c>
      <c r="E59" s="5">
        <f t="shared" si="8"/>
        <v>0</v>
      </c>
      <c r="F59" s="5">
        <f t="shared" si="8"/>
        <v>0</v>
      </c>
      <c r="G59" s="5">
        <f t="shared" si="8"/>
        <v>0</v>
      </c>
      <c r="H59" s="5">
        <f t="shared" si="8"/>
        <v>0</v>
      </c>
      <c r="I59" s="5">
        <f t="shared" si="8"/>
        <v>0</v>
      </c>
      <c r="J59" s="5">
        <f t="shared" si="8"/>
        <v>0</v>
      </c>
      <c r="K59" s="5">
        <f t="shared" si="8"/>
        <v>0</v>
      </c>
      <c r="L59" s="5">
        <f t="shared" si="8"/>
        <v>0</v>
      </c>
      <c r="M59" s="5">
        <f t="shared" si="8"/>
        <v>0</v>
      </c>
    </row>
    <row r="61" spans="1:14">
      <c r="K61" s="287"/>
    </row>
    <row r="62" spans="1:14">
      <c r="K62" s="287"/>
    </row>
  </sheetData>
  <phoneticPr fontId="0" type="noConversion"/>
  <pageMargins left="0.39370078740157483" right="0.74803149606299213" top="0.74803149606299213" bottom="0.74803149606299213" header="0.51181102362204722" footer="0.51181102362204722"/>
  <pageSetup paperSize="3" scale="89" orientation="landscape" verticalDpi="300" r:id="rId1"/>
  <headerFooter alignWithMargins="0">
    <oddFooter>&amp;L&amp;Z&amp;F&amp;A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61"/>
  <sheetViews>
    <sheetView topLeftCell="A222" workbookViewId="0">
      <selection activeCell="K227" sqref="K227"/>
    </sheetView>
  </sheetViews>
  <sheetFormatPr defaultRowHeight="12.75"/>
  <cols>
    <col min="1" max="1" width="11.85546875" customWidth="1"/>
    <col min="2" max="2" width="18" style="5" customWidth="1"/>
    <col min="3" max="3" width="11.7109375" style="1" customWidth="1"/>
    <col min="4" max="4" width="13.42578125" style="1" customWidth="1"/>
    <col min="5" max="5" width="10.140625" style="1" customWidth="1"/>
    <col min="6" max="7" width="12.42578125" style="1" customWidth="1"/>
    <col min="8" max="8" width="14.42578125" style="38" hidden="1" customWidth="1"/>
    <col min="9" max="10" width="12.42578125" style="1" hidden="1" customWidth="1"/>
    <col min="11" max="11" width="15.42578125" style="1" bestFit="1" customWidth="1"/>
    <col min="12" max="12" width="17" style="1" customWidth="1"/>
    <col min="13" max="13" width="12.42578125" style="1" customWidth="1"/>
    <col min="14" max="14" width="25.85546875" bestFit="1" customWidth="1"/>
    <col min="15" max="17" width="18" customWidth="1"/>
    <col min="18" max="18" width="17.140625" customWidth="1"/>
    <col min="19" max="20" width="15.7109375" customWidth="1"/>
    <col min="21" max="21" width="14.140625" bestFit="1" customWidth="1"/>
    <col min="22" max="22" width="25.85546875" bestFit="1" customWidth="1"/>
    <col min="23" max="23" width="25.85546875" customWidth="1"/>
    <col min="24" max="24" width="19.28515625" bestFit="1" customWidth="1"/>
    <col min="25" max="25" width="19.140625" style="5" bestFit="1" customWidth="1"/>
    <col min="26" max="26" width="26.140625" style="5" bestFit="1" customWidth="1"/>
    <col min="27" max="27" width="23" style="5" bestFit="1" customWidth="1"/>
    <col min="28" max="28" width="14.7109375" style="5" bestFit="1" customWidth="1"/>
    <col min="29" max="29" width="20.140625" style="5" bestFit="1" customWidth="1"/>
    <col min="30" max="30" width="12.140625" style="5" bestFit="1" customWidth="1"/>
    <col min="31" max="31" width="21" style="5" bestFit="1" customWidth="1"/>
    <col min="32" max="32" width="13.140625" style="5" bestFit="1" customWidth="1"/>
    <col min="33" max="33" width="9.140625" style="5"/>
  </cols>
  <sheetData>
    <row r="1" spans="1:32">
      <c r="G1"/>
      <c r="H1" s="604" t="s">
        <v>76</v>
      </c>
      <c r="I1" s="604"/>
      <c r="J1" s="604"/>
    </row>
    <row r="2" spans="1:32" ht="42" customHeight="1">
      <c r="B2" s="6" t="s">
        <v>0</v>
      </c>
      <c r="C2" s="11" t="s">
        <v>1</v>
      </c>
      <c r="D2" s="11" t="s">
        <v>2</v>
      </c>
      <c r="E2" s="11" t="s">
        <v>3</v>
      </c>
      <c r="F2" s="11" t="s">
        <v>14</v>
      </c>
      <c r="G2" s="11" t="s">
        <v>56</v>
      </c>
      <c r="H2" s="36" t="s">
        <v>4</v>
      </c>
      <c r="I2" s="11" t="s">
        <v>49</v>
      </c>
      <c r="J2" s="11" t="s">
        <v>58</v>
      </c>
      <c r="K2" s="11" t="s">
        <v>6</v>
      </c>
      <c r="L2" s="11" t="s">
        <v>7</v>
      </c>
      <c r="M2" s="11" t="s">
        <v>8</v>
      </c>
      <c r="Y2"/>
      <c r="Z2"/>
      <c r="AA2"/>
      <c r="AB2"/>
      <c r="AC2"/>
      <c r="AD2"/>
      <c r="AE2"/>
      <c r="AF2"/>
    </row>
    <row r="3" spans="1:32" hidden="1">
      <c r="A3" s="2">
        <v>36161</v>
      </c>
      <c r="B3" s="12">
        <f>'[11]CoS 2017 Load History'!B41</f>
        <v>112653596.7</v>
      </c>
      <c r="C3" s="9">
        <f>'Weather Data'!B99</f>
        <v>994.7</v>
      </c>
      <c r="D3" s="9">
        <f>'Weather Data'!C99</f>
        <v>0</v>
      </c>
      <c r="E3" s="9">
        <v>31</v>
      </c>
      <c r="F3" s="9">
        <v>0</v>
      </c>
      <c r="G3" s="18">
        <v>0</v>
      </c>
      <c r="H3" s="38">
        <v>105.44819844915847</v>
      </c>
      <c r="I3" s="18">
        <f>'[11]CoS 2017 Load History'!F41+'[11]CoS 2017 Load History'!J41+'[11]CoS 2017 Load History'!O41+'[11]CoS 2017 Load History'!T41</f>
        <v>41614</v>
      </c>
      <c r="J3" s="9">
        <v>319.92</v>
      </c>
      <c r="K3" s="9"/>
      <c r="L3" s="9"/>
      <c r="M3" s="14"/>
      <c r="Y3"/>
      <c r="Z3"/>
      <c r="AA3"/>
      <c r="AB3"/>
      <c r="AC3"/>
      <c r="AD3"/>
      <c r="AE3"/>
      <c r="AF3"/>
    </row>
    <row r="4" spans="1:32" hidden="1">
      <c r="A4" s="2">
        <v>36192</v>
      </c>
      <c r="B4" s="12">
        <f>'[11]CoS 2017 Load History'!B42</f>
        <v>91844790.5</v>
      </c>
      <c r="C4" s="9">
        <f>'Weather Data'!B100</f>
        <v>718.7</v>
      </c>
      <c r="D4" s="9">
        <f>'Weather Data'!C100</f>
        <v>0</v>
      </c>
      <c r="E4" s="9">
        <v>28</v>
      </c>
      <c r="F4" s="9">
        <v>0</v>
      </c>
      <c r="G4" s="18">
        <v>0</v>
      </c>
      <c r="H4" s="38">
        <v>106.08666118100913</v>
      </c>
      <c r="I4" s="18">
        <f>'[11]CoS 2017 Load History'!F42+'[11]CoS 2017 Load History'!J42+'[11]CoS 2017 Load History'!O42+'[11]CoS 2017 Load History'!T42</f>
        <v>48381</v>
      </c>
      <c r="J4" s="9">
        <v>319.87200000000001</v>
      </c>
      <c r="K4" s="9"/>
      <c r="L4" s="9"/>
      <c r="M4" s="14"/>
      <c r="Y4"/>
      <c r="Z4"/>
      <c r="AA4"/>
      <c r="AB4"/>
      <c r="AC4"/>
      <c r="AD4"/>
      <c r="AE4"/>
      <c r="AF4"/>
    </row>
    <row r="5" spans="1:32" hidden="1">
      <c r="A5" s="2">
        <v>36220</v>
      </c>
      <c r="B5" s="12">
        <f>'[11]CoS 2017 Load History'!B43</f>
        <v>94187868.199999988</v>
      </c>
      <c r="C5" s="9">
        <f>'Weather Data'!B101</f>
        <v>710.1</v>
      </c>
      <c r="D5" s="9">
        <f>'Weather Data'!C101</f>
        <v>0</v>
      </c>
      <c r="E5" s="9">
        <v>31</v>
      </c>
      <c r="F5" s="9">
        <v>1</v>
      </c>
      <c r="G5" s="18">
        <v>0</v>
      </c>
      <c r="H5" s="38">
        <v>106.72898964661303</v>
      </c>
      <c r="I5" s="18">
        <f>'[11]CoS 2017 Load History'!F43+'[11]CoS 2017 Load History'!J43+'[11]CoS 2017 Load History'!O43+'[11]CoS 2017 Load History'!T43</f>
        <v>48563</v>
      </c>
      <c r="J5" s="9">
        <v>368.28</v>
      </c>
      <c r="K5" s="9"/>
      <c r="L5" s="9"/>
      <c r="M5" s="14"/>
      <c r="Y5"/>
      <c r="Z5"/>
      <c r="AA5"/>
      <c r="AB5"/>
      <c r="AC5"/>
      <c r="AD5"/>
      <c r="AE5"/>
      <c r="AF5"/>
    </row>
    <row r="6" spans="1:32" hidden="1">
      <c r="A6" s="2">
        <v>36251</v>
      </c>
      <c r="B6" s="12">
        <f>'[11]CoS 2017 Load History'!B44</f>
        <v>83302866.800000012</v>
      </c>
      <c r="C6" s="9">
        <f>'Weather Data'!B102</f>
        <v>407.7</v>
      </c>
      <c r="D6" s="9">
        <f>'Weather Data'!C102</f>
        <v>0</v>
      </c>
      <c r="E6" s="9">
        <v>30</v>
      </c>
      <c r="F6" s="9">
        <v>1</v>
      </c>
      <c r="G6" s="18">
        <v>0</v>
      </c>
      <c r="H6" s="38">
        <v>107.37520725203085</v>
      </c>
      <c r="I6" s="18">
        <f>'[11]CoS 2017 Load History'!F44+'[11]CoS 2017 Load History'!J44+'[11]CoS 2017 Load History'!O44+'[11]CoS 2017 Load History'!T44</f>
        <v>48520</v>
      </c>
      <c r="J6" s="9">
        <v>336.24</v>
      </c>
      <c r="K6" s="9"/>
      <c r="L6" s="9"/>
      <c r="M6" s="14"/>
      <c r="Y6"/>
      <c r="Z6"/>
      <c r="AA6"/>
      <c r="AB6"/>
      <c r="AC6"/>
      <c r="AD6"/>
      <c r="AE6"/>
      <c r="AF6"/>
    </row>
    <row r="7" spans="1:32" hidden="1">
      <c r="A7" s="2">
        <v>36281</v>
      </c>
      <c r="B7" s="12">
        <f>'[11]CoS 2017 Load History'!B45</f>
        <v>79992116</v>
      </c>
      <c r="C7" s="9">
        <f>'Weather Data'!B103</f>
        <v>224.7</v>
      </c>
      <c r="D7" s="9">
        <f>'Weather Data'!C103</f>
        <v>2.6</v>
      </c>
      <c r="E7" s="9">
        <v>31</v>
      </c>
      <c r="F7" s="9">
        <v>1</v>
      </c>
      <c r="G7" s="18">
        <v>0</v>
      </c>
      <c r="H7" s="38">
        <v>108.02533754504118</v>
      </c>
      <c r="I7" s="18">
        <f>'[11]CoS 2017 Load History'!F45+'[11]CoS 2017 Load History'!J45+'[11]CoS 2017 Load History'!O45+'[11]CoS 2017 Load History'!T45</f>
        <v>48474</v>
      </c>
      <c r="J7" s="9">
        <v>319.92</v>
      </c>
      <c r="K7" s="9"/>
      <c r="L7" s="9"/>
      <c r="M7" s="14"/>
      <c r="Y7"/>
      <c r="Z7"/>
      <c r="AA7"/>
      <c r="AB7"/>
      <c r="AC7"/>
      <c r="AD7"/>
      <c r="AE7"/>
      <c r="AF7"/>
    </row>
    <row r="8" spans="1:32" hidden="1">
      <c r="A8" s="2">
        <v>36312</v>
      </c>
      <c r="B8" s="12">
        <f>'[11]CoS 2017 Load History'!B46</f>
        <v>77505956.700000003</v>
      </c>
      <c r="C8" s="9">
        <f>'Weather Data'!B104</f>
        <v>91.9</v>
      </c>
      <c r="D8" s="9">
        <f>'Weather Data'!C104</f>
        <v>11.4</v>
      </c>
      <c r="E8" s="9">
        <v>30</v>
      </c>
      <c r="F8" s="9">
        <v>0</v>
      </c>
      <c r="G8" s="18">
        <v>0</v>
      </c>
      <c r="H8" s="38">
        <v>108.6794042159986</v>
      </c>
      <c r="I8" s="18">
        <f>'[11]CoS 2017 Load History'!F46+'[11]CoS 2017 Load History'!J46+'[11]CoS 2017 Load History'!O46+'[11]CoS 2017 Load History'!T46</f>
        <v>48444</v>
      </c>
      <c r="J8" s="9">
        <v>352.08</v>
      </c>
      <c r="K8" s="9"/>
      <c r="L8" s="9"/>
      <c r="M8" s="14"/>
      <c r="Y8"/>
      <c r="Z8"/>
      <c r="AA8"/>
      <c r="AB8"/>
      <c r="AC8"/>
      <c r="AD8"/>
      <c r="AE8"/>
      <c r="AF8"/>
    </row>
    <row r="9" spans="1:32" hidden="1">
      <c r="A9" s="2">
        <v>36342</v>
      </c>
      <c r="B9" s="12">
        <f>'[11]CoS 2017 Load History'!B47</f>
        <v>82122401</v>
      </c>
      <c r="C9" s="9">
        <f>'Weather Data'!B105</f>
        <v>24.2</v>
      </c>
      <c r="D9" s="9">
        <f>'Weather Data'!C105</f>
        <v>59.3</v>
      </c>
      <c r="E9" s="9">
        <v>31</v>
      </c>
      <c r="F9" s="9">
        <v>0</v>
      </c>
      <c r="G9" s="18">
        <v>0</v>
      </c>
      <c r="H9" s="38">
        <v>109.33743109869688</v>
      </c>
      <c r="I9" s="18">
        <f>'[11]CoS 2017 Load History'!F47+'[11]CoS 2017 Load History'!J47+'[11]CoS 2017 Load History'!O47+'[11]CoS 2017 Load History'!T47</f>
        <v>48601</v>
      </c>
      <c r="J9" s="9">
        <v>336.28800000000001</v>
      </c>
      <c r="K9" s="9"/>
      <c r="L9" s="9"/>
      <c r="M9" s="14"/>
      <c r="Y9"/>
      <c r="Z9"/>
      <c r="AA9"/>
      <c r="AB9"/>
      <c r="AC9"/>
      <c r="AD9"/>
      <c r="AE9"/>
      <c r="AF9"/>
    </row>
    <row r="10" spans="1:32" hidden="1">
      <c r="A10" s="2">
        <v>36373</v>
      </c>
      <c r="B10" s="12">
        <f>'[11]CoS 2017 Load History'!B48</f>
        <v>78031999</v>
      </c>
      <c r="C10" s="9">
        <f>'Weather Data'!B106</f>
        <v>74</v>
      </c>
      <c r="D10" s="9">
        <f>'Weather Data'!C106</f>
        <v>12.2</v>
      </c>
      <c r="E10" s="9">
        <v>31</v>
      </c>
      <c r="F10" s="9">
        <v>0</v>
      </c>
      <c r="G10" s="18">
        <v>0</v>
      </c>
      <c r="H10" s="38">
        <v>109.99944217123755</v>
      </c>
      <c r="I10" s="18">
        <f>'[11]CoS 2017 Load History'!F48+'[11]CoS 2017 Load History'!J48+'[11]CoS 2017 Load History'!O48+'[11]CoS 2017 Load History'!T48</f>
        <v>48623</v>
      </c>
      <c r="J10" s="9">
        <v>336.28800000000001</v>
      </c>
      <c r="K10" s="9"/>
      <c r="L10" s="9"/>
      <c r="M10" s="14"/>
      <c r="Y10"/>
      <c r="Z10"/>
      <c r="AA10"/>
      <c r="AB10"/>
      <c r="AC10"/>
      <c r="AD10"/>
      <c r="AE10"/>
      <c r="AF10"/>
    </row>
    <row r="11" spans="1:32" hidden="1">
      <c r="A11" s="2">
        <v>36404</v>
      </c>
      <c r="B11" s="12">
        <f>'[11]CoS 2017 Load History'!B49</f>
        <v>69444119.299999997</v>
      </c>
      <c r="C11" s="9">
        <f>'Weather Data'!B107</f>
        <v>194</v>
      </c>
      <c r="D11" s="9">
        <f>'Weather Data'!C107</f>
        <v>5.7</v>
      </c>
      <c r="E11" s="9">
        <v>30</v>
      </c>
      <c r="F11" s="9">
        <v>1</v>
      </c>
      <c r="G11" s="18">
        <v>0</v>
      </c>
      <c r="H11" s="38">
        <v>110.66546155690358</v>
      </c>
      <c r="I11" s="18">
        <f>'[11]CoS 2017 Load History'!F49+'[11]CoS 2017 Load History'!J49+'[11]CoS 2017 Load History'!O49+'[11]CoS 2017 Load History'!T49</f>
        <v>48713</v>
      </c>
      <c r="J11" s="9">
        <v>336.24</v>
      </c>
      <c r="K11" s="9"/>
      <c r="L11" s="9"/>
      <c r="M11" s="14"/>
      <c r="Y11"/>
      <c r="Z11"/>
      <c r="AA11"/>
      <c r="AB11"/>
      <c r="AC11"/>
      <c r="AD11"/>
      <c r="AE11"/>
      <c r="AF11"/>
    </row>
    <row r="12" spans="1:32" hidden="1">
      <c r="A12" s="2">
        <v>36434</v>
      </c>
      <c r="B12" s="12">
        <f>'[11]CoS 2017 Load History'!B50</f>
        <v>84165425.299999997</v>
      </c>
      <c r="C12" s="9">
        <f>'Weather Data'!B108</f>
        <v>423.1</v>
      </c>
      <c r="D12" s="9">
        <f>'Weather Data'!C108</f>
        <v>0</v>
      </c>
      <c r="E12" s="9">
        <v>31</v>
      </c>
      <c r="F12" s="9">
        <v>1</v>
      </c>
      <c r="G12" s="18">
        <v>0</v>
      </c>
      <c r="H12" s="38">
        <v>111.33551352503846</v>
      </c>
      <c r="I12" s="18">
        <f>'[11]CoS 2017 Load History'!F50+'[11]CoS 2017 Load History'!J50+'[11]CoS 2017 Load History'!O50+'[11]CoS 2017 Load History'!T50</f>
        <v>48678</v>
      </c>
      <c r="J12" s="9">
        <v>319.92</v>
      </c>
      <c r="K12" s="9"/>
      <c r="L12" s="9"/>
      <c r="M12" s="14"/>
      <c r="Y12"/>
      <c r="Z12"/>
      <c r="AA12"/>
      <c r="AB12"/>
      <c r="AC12"/>
      <c r="AD12"/>
      <c r="AE12"/>
      <c r="AF12"/>
    </row>
    <row r="13" spans="1:32" hidden="1">
      <c r="A13" s="2">
        <v>36465</v>
      </c>
      <c r="B13" s="12">
        <f>'[11]CoS 2017 Load History'!B51</f>
        <v>89152255.599999994</v>
      </c>
      <c r="C13" s="9">
        <f>'Weather Data'!B109</f>
        <v>500.7</v>
      </c>
      <c r="D13" s="9">
        <f>'Weather Data'!C109</f>
        <v>0</v>
      </c>
      <c r="E13" s="9">
        <v>30</v>
      </c>
      <c r="F13" s="9">
        <v>1</v>
      </c>
      <c r="G13" s="18">
        <v>0</v>
      </c>
      <c r="H13" s="38">
        <v>112.00962249193054</v>
      </c>
      <c r="I13" s="18">
        <f>'[11]CoS 2017 Load History'!F51+'[11]CoS 2017 Load History'!J51+'[11]CoS 2017 Load History'!O51+'[11]CoS 2017 Load History'!T51</f>
        <v>48672</v>
      </c>
      <c r="J13" s="9">
        <v>352.08</v>
      </c>
      <c r="K13" s="9"/>
      <c r="L13" s="9"/>
      <c r="M13" s="14"/>
      <c r="Y13"/>
      <c r="Z13"/>
      <c r="AA13"/>
      <c r="AB13"/>
      <c r="AC13"/>
      <c r="AD13"/>
      <c r="AE13"/>
      <c r="AF13"/>
    </row>
    <row r="14" spans="1:32" hidden="1">
      <c r="A14" s="2">
        <v>36495</v>
      </c>
      <c r="B14" s="12">
        <f>'[11]CoS 2017 Load History'!B52</f>
        <v>104140645</v>
      </c>
      <c r="C14" s="9">
        <f>'Weather Data'!B110</f>
        <v>817.1</v>
      </c>
      <c r="D14" s="9">
        <f>'Weather Data'!C110</f>
        <v>0</v>
      </c>
      <c r="E14" s="9">
        <v>31</v>
      </c>
      <c r="F14" s="9">
        <v>0</v>
      </c>
      <c r="G14" s="18">
        <v>0</v>
      </c>
      <c r="H14" s="38">
        <v>112.68781302170287</v>
      </c>
      <c r="I14" s="18">
        <f>'[11]CoS 2017 Load History'!F52+'[11]CoS 2017 Load History'!J52+'[11]CoS 2017 Load History'!O52+'[11]CoS 2017 Load History'!T52</f>
        <v>48261</v>
      </c>
      <c r="J14" s="9">
        <v>336.28800000000001</v>
      </c>
      <c r="K14" s="9"/>
      <c r="L14" s="9"/>
      <c r="M14" s="14"/>
      <c r="Y14"/>
      <c r="Z14"/>
      <c r="AA14"/>
      <c r="AB14"/>
      <c r="AC14"/>
      <c r="AD14"/>
      <c r="AE14"/>
      <c r="AF14"/>
    </row>
    <row r="15" spans="1:32" hidden="1">
      <c r="A15" s="2">
        <v>36526</v>
      </c>
      <c r="B15" s="12">
        <f>'[11]CoS 2017 Load History'!B53</f>
        <v>107111200.5</v>
      </c>
      <c r="C15" s="9">
        <f>'Weather Data'!B111</f>
        <v>963.5</v>
      </c>
      <c r="D15" s="9">
        <f>'Weather Data'!C111</f>
        <v>0</v>
      </c>
      <c r="E15" s="9">
        <v>31</v>
      </c>
      <c r="F15" s="9">
        <v>0</v>
      </c>
      <c r="G15" s="18">
        <v>0</v>
      </c>
      <c r="H15" s="38">
        <v>113.20550742744629</v>
      </c>
      <c r="I15" s="18">
        <f>'[11]CoS 2017 Load History'!F53+'[11]CoS 2017 Load History'!J53+'[11]CoS 2017 Load History'!O53+'[11]CoS 2017 Load History'!T53</f>
        <v>48558</v>
      </c>
      <c r="J15" s="9">
        <v>319.92</v>
      </c>
      <c r="K15" s="9"/>
      <c r="L15" s="9"/>
      <c r="M15" s="14"/>
      <c r="Y15"/>
      <c r="Z15"/>
      <c r="AA15"/>
      <c r="AB15"/>
      <c r="AC15"/>
      <c r="AD15"/>
      <c r="AE15"/>
      <c r="AF15"/>
    </row>
    <row r="16" spans="1:32" hidden="1">
      <c r="A16" s="2">
        <v>36557</v>
      </c>
      <c r="B16" s="12">
        <f>'[11]CoS 2017 Load History'!B54</f>
        <v>93736958.200000003</v>
      </c>
      <c r="C16" s="9">
        <f>'Weather Data'!B112</f>
        <v>711.5</v>
      </c>
      <c r="D16" s="9">
        <f>'Weather Data'!C112</f>
        <v>0</v>
      </c>
      <c r="E16" s="9">
        <v>29</v>
      </c>
      <c r="F16" s="9">
        <v>0</v>
      </c>
      <c r="G16" s="18">
        <v>0</v>
      </c>
      <c r="H16" s="38">
        <v>113.72558015157706</v>
      </c>
      <c r="I16" s="18">
        <f>'[11]CoS 2017 Load History'!F54+'[11]CoS 2017 Load History'!J54+'[11]CoS 2017 Load History'!O54+'[11]CoS 2017 Load History'!T54</f>
        <v>48571</v>
      </c>
      <c r="J16" s="9">
        <v>336.16799999999995</v>
      </c>
      <c r="K16" s="9"/>
      <c r="L16" s="9"/>
      <c r="M16" s="14"/>
      <c r="Y16"/>
      <c r="Z16"/>
      <c r="AA16"/>
      <c r="AB16"/>
      <c r="AC16"/>
      <c r="AD16"/>
      <c r="AE16"/>
      <c r="AF16"/>
    </row>
    <row r="17" spans="1:32" ht="15" hidden="1" customHeight="1">
      <c r="A17" s="2">
        <v>36586</v>
      </c>
      <c r="B17" s="12">
        <f>'[11]CoS 2017 Load History'!B55</f>
        <v>90806909.799999997</v>
      </c>
      <c r="C17" s="9">
        <f>'Weather Data'!B113</f>
        <v>574.6</v>
      </c>
      <c r="D17" s="9">
        <f>'Weather Data'!C113</f>
        <v>0</v>
      </c>
      <c r="E17" s="9">
        <v>31</v>
      </c>
      <c r="F17" s="9">
        <v>1</v>
      </c>
      <c r="G17" s="18">
        <v>0</v>
      </c>
      <c r="H17" s="38">
        <v>114.24804212022897</v>
      </c>
      <c r="I17" s="18">
        <f>'[11]CoS 2017 Load History'!F55+'[11]CoS 2017 Load History'!J55+'[11]CoS 2017 Load History'!O55+'[11]CoS 2017 Load History'!T55</f>
        <v>48618</v>
      </c>
      <c r="J17" s="9">
        <v>368.28</v>
      </c>
      <c r="K17" s="9"/>
      <c r="L17" s="9"/>
      <c r="M17" s="14"/>
      <c r="Y17"/>
      <c r="Z17"/>
      <c r="AA17"/>
      <c r="AB17"/>
      <c r="AC17"/>
      <c r="AD17"/>
      <c r="AE17"/>
      <c r="AF17"/>
    </row>
    <row r="18" spans="1:32" hidden="1">
      <c r="A18" s="2">
        <v>36617</v>
      </c>
      <c r="B18" s="12">
        <f>'[11]CoS 2017 Load History'!B56</f>
        <v>83542339.300000012</v>
      </c>
      <c r="C18" s="9">
        <f>'Weather Data'!B114</f>
        <v>485.6</v>
      </c>
      <c r="D18" s="9">
        <f>'Weather Data'!C114</f>
        <v>0</v>
      </c>
      <c r="E18" s="9">
        <v>30</v>
      </c>
      <c r="F18" s="9">
        <v>1</v>
      </c>
      <c r="G18" s="18">
        <v>0</v>
      </c>
      <c r="H18" s="38">
        <v>114.77290430973115</v>
      </c>
      <c r="I18" s="18">
        <f>'[11]CoS 2017 Load History'!F56+'[11]CoS 2017 Load History'!J56+'[11]CoS 2017 Load History'!O56+'[11]CoS 2017 Load History'!T56</f>
        <v>48673</v>
      </c>
      <c r="J18" s="9">
        <v>303.83999999999997</v>
      </c>
      <c r="K18" s="9"/>
      <c r="L18" s="9"/>
      <c r="M18" s="14"/>
      <c r="Y18"/>
      <c r="Z18"/>
      <c r="AA18"/>
      <c r="AB18"/>
      <c r="AC18"/>
      <c r="AD18"/>
      <c r="AE18"/>
      <c r="AF18"/>
    </row>
    <row r="19" spans="1:32" hidden="1">
      <c r="A19" s="2">
        <v>36647</v>
      </c>
      <c r="B19" s="12">
        <f>'[11]CoS 2017 Load History'!B57</f>
        <v>79464457.200000003</v>
      </c>
      <c r="C19" s="9">
        <f>'Weather Data'!B115</f>
        <v>260.5</v>
      </c>
      <c r="D19" s="9">
        <f>'Weather Data'!C115</f>
        <v>0</v>
      </c>
      <c r="E19" s="9">
        <v>31</v>
      </c>
      <c r="F19" s="9">
        <v>1</v>
      </c>
      <c r="G19" s="18">
        <v>0</v>
      </c>
      <c r="H19" s="38">
        <v>115.30017774683859</v>
      </c>
      <c r="I19" s="18">
        <f>'[11]CoS 2017 Load History'!F57+'[11]CoS 2017 Load History'!J57+'[11]CoS 2017 Load History'!O57+'[11]CoS 2017 Load History'!T57</f>
        <v>48729</v>
      </c>
      <c r="J19" s="9">
        <v>351.91199999999998</v>
      </c>
      <c r="K19" s="9"/>
      <c r="L19" s="9"/>
      <c r="M19" s="14"/>
      <c r="Y19"/>
      <c r="Z19"/>
      <c r="AA19"/>
      <c r="AB19"/>
      <c r="AC19"/>
      <c r="AD19"/>
      <c r="AE19"/>
      <c r="AF19"/>
    </row>
    <row r="20" spans="1:32" hidden="1">
      <c r="A20" s="2">
        <v>36678</v>
      </c>
      <c r="B20" s="12">
        <f>'[11]CoS 2017 Load History'!B58</f>
        <v>75943872.5</v>
      </c>
      <c r="C20" s="9">
        <f>'Weather Data'!B116</f>
        <v>155.69999999999999</v>
      </c>
      <c r="D20" s="9">
        <f>'Weather Data'!C116</f>
        <v>2.2999999999999998</v>
      </c>
      <c r="E20" s="9">
        <v>30</v>
      </c>
      <c r="F20" s="9">
        <v>0</v>
      </c>
      <c r="G20" s="18">
        <v>0</v>
      </c>
      <c r="H20" s="38">
        <v>115.82987350896386</v>
      </c>
      <c r="I20" s="18">
        <f>'[11]CoS 2017 Load History'!F58+'[11]CoS 2017 Load History'!J58+'[11]CoS 2017 Load History'!O58+'[11]CoS 2017 Load History'!T58</f>
        <v>48584</v>
      </c>
      <c r="J20" s="9">
        <v>352.08</v>
      </c>
      <c r="K20" s="9"/>
      <c r="L20" s="9"/>
      <c r="M20" s="14"/>
      <c r="Y20"/>
      <c r="Z20"/>
      <c r="AA20"/>
      <c r="AB20"/>
      <c r="AC20"/>
      <c r="AD20"/>
      <c r="AE20"/>
      <c r="AF20"/>
    </row>
    <row r="21" spans="1:32" hidden="1">
      <c r="A21" s="2">
        <v>36708</v>
      </c>
      <c r="B21" s="12">
        <f>'[11]CoS 2017 Load History'!B59</f>
        <v>78797711</v>
      </c>
      <c r="C21" s="9">
        <f>'Weather Data'!B117</f>
        <v>55.7</v>
      </c>
      <c r="D21" s="9">
        <f>'Weather Data'!C117</f>
        <v>20.8</v>
      </c>
      <c r="E21" s="9">
        <v>31</v>
      </c>
      <c r="F21" s="9">
        <v>0</v>
      </c>
      <c r="G21" s="18">
        <v>0</v>
      </c>
      <c r="H21" s="38">
        <v>116.36200272440982</v>
      </c>
      <c r="I21" s="18">
        <f>'[11]CoS 2017 Load History'!F59+'[11]CoS 2017 Load History'!J59+'[11]CoS 2017 Load History'!O59+'[11]CoS 2017 Load History'!T59</f>
        <v>48481</v>
      </c>
      <c r="J21" s="9">
        <v>319.92</v>
      </c>
      <c r="K21" s="9"/>
      <c r="L21" s="9"/>
      <c r="M21" s="14"/>
      <c r="Y21"/>
      <c r="Z21"/>
      <c r="AA21"/>
      <c r="AB21"/>
      <c r="AC21"/>
      <c r="AD21"/>
      <c r="AE21"/>
      <c r="AF21"/>
    </row>
    <row r="22" spans="1:32" hidden="1">
      <c r="A22" s="2">
        <v>36739</v>
      </c>
      <c r="B22" s="12">
        <f>'[11]CoS 2017 Load History'!B60</f>
        <v>75332986.099999994</v>
      </c>
      <c r="C22" s="9">
        <f>'Weather Data'!B118</f>
        <v>63.4</v>
      </c>
      <c r="D22" s="9">
        <f>'Weather Data'!C118</f>
        <v>9.8000000000000007</v>
      </c>
      <c r="E22" s="9">
        <v>31</v>
      </c>
      <c r="F22" s="9">
        <v>0</v>
      </c>
      <c r="G22" s="18">
        <v>0</v>
      </c>
      <c r="H22" s="38">
        <v>116.89657657260338</v>
      </c>
      <c r="I22" s="18">
        <f>'[11]CoS 2017 Load History'!F60+'[11]CoS 2017 Load History'!J60+'[11]CoS 2017 Load History'!O60+'[11]CoS 2017 Load History'!T60</f>
        <v>48676</v>
      </c>
      <c r="J22" s="9">
        <v>351.91199999999998</v>
      </c>
      <c r="K22" s="9"/>
      <c r="L22" s="9"/>
      <c r="M22" s="14"/>
      <c r="Y22"/>
      <c r="Z22"/>
      <c r="AA22"/>
      <c r="AB22"/>
      <c r="AC22"/>
      <c r="AD22"/>
      <c r="AE22"/>
      <c r="AF22"/>
    </row>
    <row r="23" spans="1:32" hidden="1">
      <c r="A23" s="2">
        <v>36770</v>
      </c>
      <c r="B23" s="12">
        <f>'[11]CoS 2017 Load History'!B61</f>
        <v>67696548</v>
      </c>
      <c r="C23" s="9">
        <f>'Weather Data'!B119</f>
        <v>223.3</v>
      </c>
      <c r="D23" s="9">
        <f>'Weather Data'!C119</f>
        <v>0</v>
      </c>
      <c r="E23" s="9">
        <v>30</v>
      </c>
      <c r="F23" s="9">
        <v>1</v>
      </c>
      <c r="G23" s="18">
        <v>0</v>
      </c>
      <c r="H23" s="38">
        <v>117.43360628433041</v>
      </c>
      <c r="I23" s="18">
        <f>'[11]CoS 2017 Load History'!F61+'[11]CoS 2017 Load History'!J61+'[11]CoS 2017 Load History'!O61+'[11]CoS 2017 Load History'!T61</f>
        <v>48938</v>
      </c>
      <c r="J23" s="9">
        <v>319.68</v>
      </c>
      <c r="K23" s="9"/>
      <c r="L23" s="9"/>
      <c r="M23" s="14"/>
      <c r="Y23"/>
      <c r="Z23"/>
      <c r="AA23"/>
      <c r="AB23"/>
      <c r="AC23"/>
      <c r="AD23"/>
      <c r="AE23"/>
      <c r="AF23"/>
    </row>
    <row r="24" spans="1:32" hidden="1">
      <c r="A24" s="2">
        <v>36800</v>
      </c>
      <c r="B24" s="12">
        <f>'[11]CoS 2017 Load History'!B62</f>
        <v>83136508</v>
      </c>
      <c r="C24" s="9">
        <f>'Weather Data'!B120</f>
        <v>372.2</v>
      </c>
      <c r="D24" s="9">
        <f>'Weather Data'!C120</f>
        <v>0</v>
      </c>
      <c r="E24" s="9">
        <v>31</v>
      </c>
      <c r="F24" s="9">
        <v>1</v>
      </c>
      <c r="G24" s="18">
        <v>0</v>
      </c>
      <c r="H24" s="38">
        <v>117.97310314197166</v>
      </c>
      <c r="I24" s="18">
        <f>'[11]CoS 2017 Load History'!F62+'[11]CoS 2017 Load History'!J62+'[11]CoS 2017 Load History'!O62+'[11]CoS 2017 Load History'!T62</f>
        <v>48705</v>
      </c>
      <c r="J24" s="9">
        <v>336.28800000000001</v>
      </c>
      <c r="K24" s="9"/>
      <c r="L24" s="9"/>
      <c r="M24" s="14"/>
      <c r="Y24"/>
      <c r="Z24"/>
      <c r="AA24"/>
      <c r="AB24"/>
      <c r="AC24"/>
      <c r="AD24"/>
      <c r="AE24"/>
      <c r="AF24"/>
    </row>
    <row r="25" spans="1:32" hidden="1">
      <c r="A25" s="2">
        <v>36831</v>
      </c>
      <c r="B25" s="12">
        <f>'[11]CoS 2017 Load History'!B63</f>
        <v>92345974.900000006</v>
      </c>
      <c r="C25" s="9">
        <f>'Weather Data'!B121</f>
        <v>561.6</v>
      </c>
      <c r="D25" s="9">
        <f>'Weather Data'!C121</f>
        <v>0</v>
      </c>
      <c r="E25" s="9">
        <v>30</v>
      </c>
      <c r="F25" s="9">
        <v>1</v>
      </c>
      <c r="G25" s="18">
        <v>0</v>
      </c>
      <c r="H25" s="38">
        <v>118.51507847973981</v>
      </c>
      <c r="I25" s="18">
        <f>'[11]CoS 2017 Load History'!F63+'[11]CoS 2017 Load History'!J63+'[11]CoS 2017 Load History'!O63+'[11]CoS 2017 Load History'!T63</f>
        <v>48721</v>
      </c>
      <c r="J25" s="9">
        <v>352.08</v>
      </c>
      <c r="K25" s="9"/>
      <c r="L25" s="9"/>
      <c r="M25" s="14"/>
      <c r="Y25"/>
      <c r="Z25"/>
      <c r="AA25"/>
      <c r="AB25"/>
      <c r="AC25"/>
      <c r="AD25"/>
      <c r="AE25"/>
      <c r="AF25"/>
    </row>
    <row r="26" spans="1:32" hidden="1">
      <c r="A26" s="2">
        <v>36861</v>
      </c>
      <c r="B26" s="12">
        <f>'[11]CoS 2017 Load History'!B64</f>
        <v>115028093.5</v>
      </c>
      <c r="C26" s="9">
        <f>'Weather Data'!B122</f>
        <v>1041.3</v>
      </c>
      <c r="D26" s="9">
        <f>'Weather Data'!C122</f>
        <v>0</v>
      </c>
      <c r="E26" s="9">
        <v>31</v>
      </c>
      <c r="F26" s="9">
        <v>0</v>
      </c>
      <c r="G26" s="18">
        <v>0</v>
      </c>
      <c r="H26" s="38">
        <v>119.05954368391765</v>
      </c>
      <c r="I26" s="18">
        <f>'[11]CoS 2017 Load History'!F64+'[11]CoS 2017 Load History'!J64+'[11]CoS 2017 Load History'!O64+'[11]CoS 2017 Load History'!T64</f>
        <v>48735</v>
      </c>
      <c r="J26" s="9">
        <v>304.29599999999999</v>
      </c>
      <c r="K26" s="9"/>
      <c r="L26" s="9"/>
      <c r="M26" s="14"/>
      <c r="Y26"/>
      <c r="Z26"/>
      <c r="AA26"/>
      <c r="AB26"/>
      <c r="AC26"/>
      <c r="AD26"/>
      <c r="AE26"/>
      <c r="AF26"/>
    </row>
    <row r="27" spans="1:32" hidden="1">
      <c r="A27" s="2">
        <v>36892</v>
      </c>
      <c r="B27" s="12">
        <f>'[11]CoS 2017 Load History'!B65</f>
        <v>105962994.40000001</v>
      </c>
      <c r="C27" s="9">
        <f>'Weather Data'!B123</f>
        <v>898.8</v>
      </c>
      <c r="D27" s="9">
        <f>'Weather Data'!C123</f>
        <v>0</v>
      </c>
      <c r="E27" s="9">
        <v>31</v>
      </c>
      <c r="F27" s="9">
        <v>0</v>
      </c>
      <c r="G27" s="18">
        <v>0</v>
      </c>
      <c r="H27" s="38">
        <v>119.23206305749976</v>
      </c>
      <c r="I27" s="18">
        <f>'[11]CoS 2017 Load History'!F65+'[11]CoS 2017 Load History'!J65+'[11]CoS 2017 Load History'!O65+'[11]CoS 2017 Load History'!T65</f>
        <v>48633</v>
      </c>
      <c r="J27" s="9">
        <v>351.91199999999998</v>
      </c>
      <c r="K27" s="9"/>
      <c r="L27" s="9"/>
      <c r="M27" s="14"/>
      <c r="Y27"/>
      <c r="Z27"/>
      <c r="AA27"/>
      <c r="AB27"/>
      <c r="AC27"/>
      <c r="AD27"/>
      <c r="AE27"/>
      <c r="AF27"/>
    </row>
    <row r="28" spans="1:32" hidden="1">
      <c r="A28" s="2">
        <v>36925</v>
      </c>
      <c r="B28" s="12">
        <f>'[11]CoS 2017 Load History'!B66</f>
        <v>95758180</v>
      </c>
      <c r="C28" s="9">
        <f>'Weather Data'!B124</f>
        <v>918.9</v>
      </c>
      <c r="D28" s="9">
        <f>'Weather Data'!C124</f>
        <v>0</v>
      </c>
      <c r="E28" s="9">
        <v>28</v>
      </c>
      <c r="F28" s="9">
        <v>0</v>
      </c>
      <c r="G28" s="18">
        <v>0</v>
      </c>
      <c r="H28" s="38">
        <v>119.40483241468957</v>
      </c>
      <c r="I28" s="18">
        <f>'[11]CoS 2017 Load History'!F66+'[11]CoS 2017 Load History'!J66+'[11]CoS 2017 Load History'!O66+'[11]CoS 2017 Load History'!T66</f>
        <v>48668</v>
      </c>
      <c r="J28" s="9">
        <v>319.87200000000001</v>
      </c>
      <c r="K28" s="9"/>
      <c r="L28" s="9"/>
      <c r="M28" s="14"/>
      <c r="Y28"/>
      <c r="Z28"/>
      <c r="AA28"/>
      <c r="AB28"/>
      <c r="AC28"/>
      <c r="AD28"/>
      <c r="AE28"/>
      <c r="AF28"/>
    </row>
    <row r="29" spans="1:32" hidden="1">
      <c r="A29" s="2">
        <v>36958</v>
      </c>
      <c r="B29" s="12">
        <f>'[11]CoS 2017 Load History'!B67</f>
        <v>94701570.700000003</v>
      </c>
      <c r="C29" s="9">
        <f>'Weather Data'!B125</f>
        <v>702.7</v>
      </c>
      <c r="D29" s="9">
        <f>'Weather Data'!C125</f>
        <v>0</v>
      </c>
      <c r="E29" s="9">
        <v>31</v>
      </c>
      <c r="F29" s="9">
        <v>1</v>
      </c>
      <c r="G29" s="18">
        <v>0</v>
      </c>
      <c r="H29" s="38">
        <v>119.57785211771773</v>
      </c>
      <c r="I29" s="18">
        <f>'[11]CoS 2017 Load History'!F67+'[11]CoS 2017 Load History'!J67+'[11]CoS 2017 Load History'!O67+'[11]CoS 2017 Load History'!T67</f>
        <v>48701</v>
      </c>
      <c r="J29" s="9">
        <v>351.91199999999998</v>
      </c>
      <c r="K29" s="9"/>
      <c r="L29" s="9"/>
      <c r="M29" s="14"/>
      <c r="Y29"/>
      <c r="Z29"/>
      <c r="AA29"/>
      <c r="AB29"/>
      <c r="AC29"/>
      <c r="AD29"/>
      <c r="AE29"/>
      <c r="AF29"/>
    </row>
    <row r="30" spans="1:32" hidden="1">
      <c r="A30" s="2">
        <v>36991</v>
      </c>
      <c r="B30" s="12">
        <f>'[11]CoS 2017 Load History'!B68</f>
        <v>85485176.099999994</v>
      </c>
      <c r="C30" s="9">
        <f>'Weather Data'!B126</f>
        <v>430.7</v>
      </c>
      <c r="D30" s="9">
        <f>'Weather Data'!C126</f>
        <v>0</v>
      </c>
      <c r="E30" s="9">
        <v>30</v>
      </c>
      <c r="F30" s="9">
        <v>1</v>
      </c>
      <c r="G30" s="18">
        <v>0</v>
      </c>
      <c r="H30" s="38">
        <v>119.75112252933975</v>
      </c>
      <c r="I30" s="18">
        <f>'[11]CoS 2017 Load History'!F68+'[11]CoS 2017 Load History'!J68+'[11]CoS 2017 Load History'!O68+'[11]CoS 2017 Load History'!T68</f>
        <v>48644</v>
      </c>
      <c r="J30" s="9">
        <v>319.68</v>
      </c>
      <c r="K30" s="9"/>
      <c r="L30" s="9"/>
      <c r="M30" s="14"/>
      <c r="Y30"/>
      <c r="Z30"/>
      <c r="AA30"/>
      <c r="AB30"/>
      <c r="AC30"/>
      <c r="AD30"/>
      <c r="AE30"/>
      <c r="AF30"/>
    </row>
    <row r="31" spans="1:32" hidden="1">
      <c r="A31" s="2">
        <v>37024</v>
      </c>
      <c r="B31" s="12">
        <f>'[11]CoS 2017 Load History'!B69</f>
        <v>80081468.5</v>
      </c>
      <c r="C31" s="9">
        <f>'Weather Data'!B127</f>
        <v>239.9</v>
      </c>
      <c r="D31" s="9">
        <f>'Weather Data'!C127</f>
        <v>0</v>
      </c>
      <c r="E31" s="9">
        <v>31</v>
      </c>
      <c r="F31" s="9">
        <v>1</v>
      </c>
      <c r="G31" s="18">
        <v>0</v>
      </c>
      <c r="H31" s="38">
        <v>119.92464401283681</v>
      </c>
      <c r="I31" s="18">
        <f>'[11]CoS 2017 Load History'!F69+'[11]CoS 2017 Load History'!J69+'[11]CoS 2017 Load History'!O69+'[11]CoS 2017 Load History'!T69</f>
        <v>48728</v>
      </c>
      <c r="J31" s="9">
        <v>351.91199999999998</v>
      </c>
      <c r="K31" s="9"/>
      <c r="L31" s="9"/>
      <c r="M31" s="14"/>
      <c r="Y31"/>
      <c r="Z31"/>
      <c r="AA31"/>
      <c r="AB31"/>
      <c r="AC31"/>
      <c r="AD31"/>
      <c r="AE31"/>
      <c r="AF31"/>
    </row>
    <row r="32" spans="1:32" hidden="1">
      <c r="A32" s="2">
        <v>37057</v>
      </c>
      <c r="B32" s="12">
        <f>'[11]CoS 2017 Load History'!B70</f>
        <v>77568366.300000012</v>
      </c>
      <c r="C32" s="9">
        <f>'Weather Data'!B128</f>
        <v>114</v>
      </c>
      <c r="D32" s="9">
        <f>'Weather Data'!C128</f>
        <v>15.2</v>
      </c>
      <c r="E32" s="9">
        <v>30</v>
      </c>
      <c r="F32" s="9">
        <v>0</v>
      </c>
      <c r="G32" s="18">
        <v>0</v>
      </c>
      <c r="H32" s="38">
        <v>120.09841693201646</v>
      </c>
      <c r="I32" s="18">
        <f>'[11]CoS 2017 Load History'!F70+'[11]CoS 2017 Load History'!J70+'[11]CoS 2017 Load History'!O70+'[11]CoS 2017 Load History'!T70</f>
        <v>48820</v>
      </c>
      <c r="J32" s="9">
        <v>336.24</v>
      </c>
      <c r="K32" s="9"/>
      <c r="L32" s="9"/>
      <c r="M32" s="14"/>
      <c r="Y32"/>
      <c r="Z32"/>
      <c r="AA32"/>
      <c r="AB32"/>
      <c r="AC32"/>
      <c r="AD32"/>
      <c r="AE32"/>
      <c r="AF32"/>
    </row>
    <row r="33" spans="1:32" hidden="1">
      <c r="A33" s="2">
        <v>37090</v>
      </c>
      <c r="B33" s="12">
        <f>'[11]CoS 2017 Load History'!B71</f>
        <v>79435703</v>
      </c>
      <c r="C33" s="9">
        <f>'Weather Data'!B129</f>
        <v>67.2</v>
      </c>
      <c r="D33" s="9">
        <f>'Weather Data'!C129</f>
        <v>29.7</v>
      </c>
      <c r="E33" s="9">
        <v>31</v>
      </c>
      <c r="F33" s="9">
        <v>0</v>
      </c>
      <c r="G33" s="18">
        <v>0</v>
      </c>
      <c r="H33" s="38">
        <v>120.27244165121344</v>
      </c>
      <c r="I33" s="18">
        <f>'[11]CoS 2017 Load History'!F71+'[11]CoS 2017 Load History'!J71+'[11]CoS 2017 Load History'!O71+'[11]CoS 2017 Load History'!T71</f>
        <v>48604</v>
      </c>
      <c r="J33" s="9">
        <v>336.28800000000001</v>
      </c>
      <c r="K33" s="9"/>
      <c r="L33" s="9"/>
      <c r="M33" s="14"/>
      <c r="Y33"/>
      <c r="Z33"/>
      <c r="AA33"/>
      <c r="AB33"/>
      <c r="AC33"/>
      <c r="AD33"/>
      <c r="AE33"/>
      <c r="AF33"/>
    </row>
    <row r="34" spans="1:32" hidden="1">
      <c r="A34" s="2">
        <v>37123</v>
      </c>
      <c r="B34" s="12">
        <f>'[11]CoS 2017 Load History'!B72</f>
        <v>83006555</v>
      </c>
      <c r="C34" s="9">
        <f>'Weather Data'!B130</f>
        <v>40.200000000000003</v>
      </c>
      <c r="D34" s="9">
        <f>'Weather Data'!C130</f>
        <v>56.1</v>
      </c>
      <c r="E34" s="9">
        <v>31</v>
      </c>
      <c r="F34" s="9">
        <v>0</v>
      </c>
      <c r="G34" s="18">
        <v>0</v>
      </c>
      <c r="H34" s="38">
        <v>120.4467185352904</v>
      </c>
      <c r="I34" s="18">
        <f>'[11]CoS 2017 Load History'!F72+'[11]CoS 2017 Load History'!J72+'[11]CoS 2017 Load History'!O72+'[11]CoS 2017 Load History'!T72</f>
        <v>48723</v>
      </c>
      <c r="J34" s="9">
        <v>351.91199999999998</v>
      </c>
      <c r="K34" s="9"/>
      <c r="L34" s="9"/>
      <c r="M34" s="14"/>
      <c r="Y34"/>
      <c r="Z34"/>
      <c r="AA34"/>
      <c r="AB34"/>
      <c r="AC34"/>
      <c r="AD34"/>
      <c r="AE34"/>
      <c r="AF34"/>
    </row>
    <row r="35" spans="1:32" hidden="1">
      <c r="A35" s="2">
        <v>37156</v>
      </c>
      <c r="B35" s="12">
        <f>'[11]CoS 2017 Load History'!B73</f>
        <v>76565456</v>
      </c>
      <c r="C35" s="9">
        <f>'Weather Data'!B131</f>
        <v>187.7</v>
      </c>
      <c r="D35" s="9">
        <f>'Weather Data'!C131</f>
        <v>6.8</v>
      </c>
      <c r="E35" s="9">
        <v>30</v>
      </c>
      <c r="F35" s="9">
        <v>1</v>
      </c>
      <c r="G35" s="18">
        <v>0</v>
      </c>
      <c r="H35" s="38">
        <v>120.62124794963869</v>
      </c>
      <c r="I35" s="18">
        <f>'[11]CoS 2017 Load History'!F73+'[11]CoS 2017 Load History'!J73+'[11]CoS 2017 Load History'!O73+'[11]CoS 2017 Load History'!T73</f>
        <v>48813</v>
      </c>
      <c r="J35" s="9">
        <v>303.83999999999997</v>
      </c>
      <c r="K35" s="9"/>
      <c r="L35" s="9"/>
      <c r="M35" s="14"/>
      <c r="Y35"/>
      <c r="Z35"/>
      <c r="AA35"/>
      <c r="AB35"/>
      <c r="AC35"/>
      <c r="AD35"/>
      <c r="AE35"/>
      <c r="AF35"/>
    </row>
    <row r="36" spans="1:32" hidden="1">
      <c r="A36" s="2">
        <v>37189</v>
      </c>
      <c r="B36" s="12">
        <f>'[11]CoS 2017 Load History'!B74</f>
        <v>85159042.199999988</v>
      </c>
      <c r="C36" s="9">
        <f>'Weather Data'!B132</f>
        <v>408.6</v>
      </c>
      <c r="D36" s="9">
        <f>'Weather Data'!C132</f>
        <v>0</v>
      </c>
      <c r="E36" s="9">
        <v>31</v>
      </c>
      <c r="F36" s="9">
        <v>1</v>
      </c>
      <c r="G36" s="18">
        <v>0</v>
      </c>
      <c r="H36" s="38">
        <v>120.79603026017911</v>
      </c>
      <c r="I36" s="18">
        <f>'[11]CoS 2017 Load History'!F74+'[11]CoS 2017 Load History'!J74+'[11]CoS 2017 Load History'!O74+'[11]CoS 2017 Load History'!T74</f>
        <v>48832</v>
      </c>
      <c r="J36" s="9">
        <v>351.91199999999998</v>
      </c>
      <c r="K36" s="9"/>
      <c r="L36" s="9"/>
      <c r="M36" s="14"/>
      <c r="Y36"/>
      <c r="Z36"/>
      <c r="AA36"/>
      <c r="AB36"/>
      <c r="AC36"/>
      <c r="AD36"/>
      <c r="AE36"/>
      <c r="AF36"/>
    </row>
    <row r="37" spans="1:32" hidden="1">
      <c r="A37" s="2">
        <v>37222</v>
      </c>
      <c r="B37" s="12">
        <f>'[11]CoS 2017 Load History'!B75</f>
        <v>89719754.400000006</v>
      </c>
      <c r="C37" s="9">
        <f>'Weather Data'!B133</f>
        <v>458.8</v>
      </c>
      <c r="D37" s="9">
        <f>'Weather Data'!C133</f>
        <v>0</v>
      </c>
      <c r="E37" s="9">
        <v>30</v>
      </c>
      <c r="F37" s="9">
        <v>1</v>
      </c>
      <c r="G37" s="18">
        <v>0</v>
      </c>
      <c r="H37" s="38">
        <v>120.9710658333627</v>
      </c>
      <c r="I37" s="18">
        <f>'[11]CoS 2017 Load History'!F75+'[11]CoS 2017 Load History'!J75+'[11]CoS 2017 Load History'!O75+'[11]CoS 2017 Load History'!T75</f>
        <v>48869</v>
      </c>
      <c r="J37" s="9">
        <v>352.08</v>
      </c>
      <c r="K37" s="9"/>
      <c r="L37" s="9"/>
      <c r="M37" s="14"/>
      <c r="Y37"/>
      <c r="Z37"/>
      <c r="AA37"/>
      <c r="AB37"/>
      <c r="AC37"/>
      <c r="AD37"/>
      <c r="AE37"/>
      <c r="AF37"/>
    </row>
    <row r="38" spans="1:32" hidden="1">
      <c r="A38" s="2">
        <v>37255</v>
      </c>
      <c r="B38" s="12">
        <f>'[11]CoS 2017 Load History'!B76</f>
        <v>101146790.90000001</v>
      </c>
      <c r="C38" s="9">
        <f>'Weather Data'!B134</f>
        <v>716.4</v>
      </c>
      <c r="D38" s="9">
        <f>'Weather Data'!C134</f>
        <v>0</v>
      </c>
      <c r="E38" s="9">
        <v>31</v>
      </c>
      <c r="F38" s="9">
        <v>0</v>
      </c>
      <c r="G38" s="18">
        <v>0</v>
      </c>
      <c r="H38" s="38">
        <v>121.1463550361714</v>
      </c>
      <c r="I38" s="18">
        <f>'[11]CoS 2017 Load History'!F76+'[11]CoS 2017 Load History'!J76+'[11]CoS 2017 Load History'!O76+'[11]CoS 2017 Load History'!T76</f>
        <v>48759</v>
      </c>
      <c r="J38" s="9">
        <v>304.29599999999999</v>
      </c>
      <c r="K38" s="9"/>
      <c r="L38" s="9"/>
      <c r="M38" s="14"/>
      <c r="Y38"/>
      <c r="Z38"/>
      <c r="AA38"/>
      <c r="AB38"/>
      <c r="AC38"/>
      <c r="AD38"/>
      <c r="AE38"/>
      <c r="AF38"/>
    </row>
    <row r="39" spans="1:32" hidden="1">
      <c r="A39" s="13">
        <v>37275</v>
      </c>
      <c r="B39" s="12">
        <f>'[11]CoS 2017 Load History'!B77</f>
        <v>100881928.3</v>
      </c>
      <c r="C39" s="9">
        <f>'Weather Data'!B135</f>
        <v>873.9</v>
      </c>
      <c r="D39" s="9">
        <f>'Weather Data'!C135</f>
        <v>0</v>
      </c>
      <c r="E39" s="9">
        <v>31</v>
      </c>
      <c r="F39" s="9">
        <v>0</v>
      </c>
      <c r="G39" s="18">
        <v>0</v>
      </c>
      <c r="H39" s="38">
        <v>121.50450639216388</v>
      </c>
      <c r="I39" s="18">
        <f>'[11]CoS 2017 Load History'!F77+'[11]CoS 2017 Load History'!J77+'[11]CoS 2017 Load History'!O77+'[11]CoS 2017 Load History'!T77</f>
        <v>48726</v>
      </c>
      <c r="J39" s="9">
        <v>351.91199999999998</v>
      </c>
      <c r="K39" s="9"/>
      <c r="L39" s="9"/>
      <c r="M39" s="14"/>
      <c r="Y39"/>
      <c r="Z39"/>
      <c r="AA39"/>
      <c r="AB39"/>
      <c r="AC39"/>
      <c r="AD39"/>
      <c r="AE39"/>
      <c r="AF39"/>
    </row>
    <row r="40" spans="1:32" hidden="1">
      <c r="A40" s="2">
        <v>37308</v>
      </c>
      <c r="B40" s="12">
        <f>'[11]CoS 2017 Load History'!B78</f>
        <v>104241221.3</v>
      </c>
      <c r="C40" s="9">
        <f>'Weather Data'!B136</f>
        <v>733</v>
      </c>
      <c r="D40" s="9">
        <f>'Weather Data'!C136</f>
        <v>0</v>
      </c>
      <c r="E40" s="9">
        <v>28</v>
      </c>
      <c r="F40" s="9">
        <v>0</v>
      </c>
      <c r="G40" s="18">
        <v>0</v>
      </c>
      <c r="H40" s="38">
        <v>121.86371656989111</v>
      </c>
      <c r="I40" s="18">
        <f>'[11]CoS 2017 Load History'!F78+'[11]CoS 2017 Load History'!J78+'[11]CoS 2017 Load History'!O78+'[11]CoS 2017 Load History'!T78</f>
        <v>48703</v>
      </c>
      <c r="J40" s="9">
        <v>319.87200000000001</v>
      </c>
      <c r="K40" s="9"/>
      <c r="L40" s="9"/>
      <c r="M40" s="14"/>
      <c r="Y40"/>
      <c r="Z40"/>
      <c r="AA40"/>
      <c r="AB40"/>
      <c r="AC40"/>
      <c r="AD40"/>
      <c r="AE40"/>
      <c r="AF40"/>
    </row>
    <row r="41" spans="1:32" hidden="1">
      <c r="A41" s="2">
        <v>37341</v>
      </c>
      <c r="B41" s="12">
        <f>'[11]CoS 2017 Load History'!B79</f>
        <v>90436363.299999997</v>
      </c>
      <c r="C41" s="9">
        <f>'Weather Data'!B137</f>
        <v>804.7</v>
      </c>
      <c r="D41" s="9">
        <f>'Weather Data'!C137</f>
        <v>0</v>
      </c>
      <c r="E41" s="9">
        <v>31</v>
      </c>
      <c r="F41" s="9">
        <v>1</v>
      </c>
      <c r="G41" s="18">
        <v>0</v>
      </c>
      <c r="H41" s="38">
        <v>122.22398869960362</v>
      </c>
      <c r="I41" s="18">
        <f>'[11]CoS 2017 Load History'!F79+'[11]CoS 2017 Load History'!J79+'[11]CoS 2017 Load History'!O79+'[11]CoS 2017 Load History'!T79</f>
        <v>48793</v>
      </c>
      <c r="J41" s="9">
        <v>319.92</v>
      </c>
      <c r="K41" s="9"/>
      <c r="L41" s="9"/>
      <c r="M41" s="14"/>
      <c r="Y41"/>
      <c r="Z41"/>
      <c r="AA41"/>
      <c r="AB41"/>
      <c r="AC41"/>
      <c r="AD41"/>
      <c r="AE41"/>
      <c r="AF41"/>
    </row>
    <row r="42" spans="1:32" hidden="1">
      <c r="A42" s="2">
        <v>37374</v>
      </c>
      <c r="B42" s="12">
        <f>'[11]CoS 2017 Load History'!B80</f>
        <v>86799127.299999997</v>
      </c>
      <c r="C42" s="9">
        <f>'Weather Data'!B138</f>
        <v>462.3</v>
      </c>
      <c r="D42" s="9">
        <f>'Weather Data'!C138</f>
        <v>0</v>
      </c>
      <c r="E42" s="9">
        <v>30</v>
      </c>
      <c r="F42" s="9">
        <v>1</v>
      </c>
      <c r="G42" s="18">
        <v>0</v>
      </c>
      <c r="H42" s="38">
        <v>122.58532592080604</v>
      </c>
      <c r="I42" s="18">
        <f>'[11]CoS 2017 Load History'!F80+'[11]CoS 2017 Load History'!J80+'[11]CoS 2017 Load History'!O80+'[11]CoS 2017 Load History'!T80</f>
        <v>48808</v>
      </c>
      <c r="J42" s="9">
        <v>352.08</v>
      </c>
      <c r="K42" s="9"/>
      <c r="L42" s="9"/>
      <c r="M42" s="14"/>
      <c r="Y42"/>
      <c r="Z42"/>
      <c r="AA42"/>
      <c r="AB42"/>
      <c r="AC42"/>
      <c r="AD42"/>
      <c r="AE42"/>
      <c r="AF42"/>
    </row>
    <row r="43" spans="1:32" hidden="1">
      <c r="A43" s="2">
        <v>37407</v>
      </c>
      <c r="B43" s="12">
        <f>'[11]CoS 2017 Load History'!B81</f>
        <v>82768005.299999997</v>
      </c>
      <c r="C43" s="9">
        <f>'Weather Data'!B139</f>
        <v>335</v>
      </c>
      <c r="D43" s="9">
        <f>'Weather Data'!C139</f>
        <v>0.5</v>
      </c>
      <c r="E43" s="9">
        <v>31</v>
      </c>
      <c r="F43" s="9">
        <v>1</v>
      </c>
      <c r="G43" s="18">
        <v>0</v>
      </c>
      <c r="H43" s="38">
        <v>122.9477313822845</v>
      </c>
      <c r="I43" s="18">
        <f>'[11]CoS 2017 Load History'!F81+'[11]CoS 2017 Load History'!J81+'[11]CoS 2017 Load History'!O81+'[11]CoS 2017 Load History'!T81</f>
        <v>48769</v>
      </c>
      <c r="J43" s="9">
        <v>351.91199999999998</v>
      </c>
      <c r="K43" s="9"/>
      <c r="L43" s="9"/>
      <c r="M43" s="14"/>
    </row>
    <row r="44" spans="1:32" hidden="1">
      <c r="A44" s="2">
        <v>37408</v>
      </c>
      <c r="B44" s="12">
        <f>'[11]CoS 2017 Load History'!B82</f>
        <v>76349685.299999997</v>
      </c>
      <c r="C44" s="9">
        <f>'Weather Data'!B140</f>
        <v>114.4</v>
      </c>
      <c r="D44" s="9">
        <f>'Weather Data'!C140</f>
        <v>14.2</v>
      </c>
      <c r="E44" s="9">
        <v>30</v>
      </c>
      <c r="F44" s="9">
        <v>0</v>
      </c>
      <c r="G44" s="18">
        <v>0</v>
      </c>
      <c r="H44" s="38">
        <v>123.31120824213403</v>
      </c>
      <c r="I44" s="18">
        <f>'[11]CoS 2017 Load History'!F82+'[11]CoS 2017 Load History'!J82+'[11]CoS 2017 Load History'!O82+'[11]CoS 2017 Load History'!T82</f>
        <v>48799</v>
      </c>
      <c r="J44" s="9">
        <v>319.68</v>
      </c>
      <c r="K44" s="9"/>
      <c r="L44" s="9"/>
      <c r="M44" s="14"/>
    </row>
    <row r="45" spans="1:32" hidden="1">
      <c r="A45" s="2">
        <v>37440</v>
      </c>
      <c r="B45" s="12">
        <f>'[11]CoS 2017 Load History'!B83</f>
        <v>86502455.299999997</v>
      </c>
      <c r="C45" s="9">
        <f>'Weather Data'!B141</f>
        <v>17.899999999999999</v>
      </c>
      <c r="D45" s="9">
        <f>'Weather Data'!C141</f>
        <v>79.3</v>
      </c>
      <c r="E45" s="9">
        <v>31</v>
      </c>
      <c r="F45" s="9">
        <v>0</v>
      </c>
      <c r="G45" s="18">
        <v>0</v>
      </c>
      <c r="H45" s="38">
        <v>123.67575966778612</v>
      </c>
      <c r="I45" s="18">
        <f>'[11]CoS 2017 Load History'!F83+'[11]CoS 2017 Load History'!J83+'[11]CoS 2017 Load History'!O83+'[11]CoS 2017 Load History'!T83</f>
        <v>48743</v>
      </c>
      <c r="J45" s="9">
        <v>351.91199999999998</v>
      </c>
      <c r="K45" s="9"/>
      <c r="L45" s="9"/>
      <c r="M45" s="14"/>
    </row>
    <row r="46" spans="1:32" hidden="1">
      <c r="A46" s="2">
        <v>37473</v>
      </c>
      <c r="B46" s="12">
        <f>'[11]CoS 2017 Load History'!B84</f>
        <v>79170605.299999997</v>
      </c>
      <c r="C46" s="9">
        <f>'Weather Data'!B142</f>
        <v>49.7</v>
      </c>
      <c r="D46" s="9">
        <f>'Weather Data'!C142</f>
        <v>15.5</v>
      </c>
      <c r="E46" s="9">
        <v>31</v>
      </c>
      <c r="F46" s="9">
        <v>0</v>
      </c>
      <c r="G46" s="18">
        <v>0</v>
      </c>
      <c r="H46" s="38">
        <v>124.04138883603632</v>
      </c>
      <c r="I46" s="18">
        <f>'[11]CoS 2017 Load History'!F84+'[11]CoS 2017 Load History'!J84+'[11]CoS 2017 Load History'!O84+'[11]CoS 2017 Load History'!T84</f>
        <v>49094</v>
      </c>
      <c r="J46" s="9">
        <v>336.28800000000001</v>
      </c>
      <c r="K46" s="9"/>
      <c r="L46" s="9"/>
      <c r="M46" s="14"/>
    </row>
    <row r="47" spans="1:32" hidden="1">
      <c r="A47" s="2">
        <v>37506</v>
      </c>
      <c r="B47" s="12">
        <f>'[11]CoS 2017 Load History'!B85</f>
        <v>79953415.299999997</v>
      </c>
      <c r="C47" s="9">
        <f>'Weather Data'!B143</f>
        <v>143.5</v>
      </c>
      <c r="D47" s="9">
        <f>'Weather Data'!C143</f>
        <v>20.9</v>
      </c>
      <c r="E47" s="9">
        <v>30</v>
      </c>
      <c r="F47" s="9">
        <v>1</v>
      </c>
      <c r="G47" s="18">
        <v>0</v>
      </c>
      <c r="H47" s="38">
        <v>124.40809893307186</v>
      </c>
      <c r="I47" s="18">
        <f>'[11]CoS 2017 Load History'!F85+'[11]CoS 2017 Load History'!J85+'[11]CoS 2017 Load History'!O85+'[11]CoS 2017 Load History'!T85</f>
        <v>48939</v>
      </c>
      <c r="J47" s="9">
        <v>319.68</v>
      </c>
      <c r="K47" s="9"/>
      <c r="L47" s="9"/>
      <c r="M47" s="14"/>
    </row>
    <row r="48" spans="1:32" hidden="1">
      <c r="A48" s="2">
        <v>37539</v>
      </c>
      <c r="B48" s="12">
        <f>'[11]CoS 2017 Load History'!B86</f>
        <v>89695545.299999997</v>
      </c>
      <c r="C48" s="9">
        <f>'Weather Data'!B144</f>
        <v>510.1</v>
      </c>
      <c r="D48" s="9">
        <f>'Weather Data'!C144</f>
        <v>0</v>
      </c>
      <c r="E48" s="9">
        <v>31</v>
      </c>
      <c r="F48" s="9">
        <v>1</v>
      </c>
      <c r="G48" s="18">
        <v>0</v>
      </c>
      <c r="H48" s="38">
        <v>124.7758931544995</v>
      </c>
      <c r="I48" s="18">
        <f>'[11]CoS 2017 Load History'!F86+'[11]CoS 2017 Load History'!J86+'[11]CoS 2017 Load History'!O86+'[11]CoS 2017 Load History'!T86</f>
        <v>48931</v>
      </c>
      <c r="J48" s="9">
        <v>351.91199999999998</v>
      </c>
      <c r="K48" s="9"/>
      <c r="L48" s="9"/>
      <c r="M48" s="14"/>
    </row>
    <row r="49" spans="1:13" hidden="1">
      <c r="A49" s="2">
        <v>37572</v>
      </c>
      <c r="B49" s="12">
        <f>'[11]CoS 2017 Load History'!B87</f>
        <v>96385095.299999997</v>
      </c>
      <c r="C49" s="9">
        <f>'Weather Data'!B145</f>
        <v>668</v>
      </c>
      <c r="D49" s="9">
        <f>'Weather Data'!C145</f>
        <v>0</v>
      </c>
      <c r="E49" s="9">
        <v>30</v>
      </c>
      <c r="F49" s="9">
        <v>1</v>
      </c>
      <c r="G49" s="18">
        <v>0</v>
      </c>
      <c r="H49" s="38">
        <v>125.14477470537335</v>
      </c>
      <c r="I49" s="18">
        <f>'[11]CoS 2017 Load History'!F87+'[11]CoS 2017 Load History'!J87+'[11]CoS 2017 Load History'!O87+'[11]CoS 2017 Load History'!T87</f>
        <v>49064</v>
      </c>
      <c r="J49" s="9">
        <v>336.24</v>
      </c>
      <c r="K49" s="9"/>
      <c r="L49" s="9"/>
      <c r="M49" s="14"/>
    </row>
    <row r="50" spans="1:13" hidden="1">
      <c r="A50" s="34">
        <v>37605</v>
      </c>
      <c r="B50" s="12">
        <f>'[11]CoS 2017 Load History'!B88</f>
        <v>104953125.3</v>
      </c>
      <c r="C50" s="9">
        <f>'Weather Data'!B146</f>
        <v>785.6</v>
      </c>
      <c r="D50" s="9">
        <f>'Weather Data'!C146</f>
        <v>0</v>
      </c>
      <c r="E50" s="18">
        <v>31</v>
      </c>
      <c r="F50" s="18">
        <v>0</v>
      </c>
      <c r="G50" s="18">
        <v>0</v>
      </c>
      <c r="H50" s="39">
        <v>125.51474680022261</v>
      </c>
      <c r="I50" s="18">
        <f>'[11]CoS 2017 Load History'!F88+'[11]CoS 2017 Load History'!J88+'[11]CoS 2017 Load History'!O88+'[11]CoS 2017 Load History'!T88</f>
        <v>48869</v>
      </c>
      <c r="J50" s="9">
        <v>319.92</v>
      </c>
      <c r="K50" s="9"/>
      <c r="L50" s="9"/>
      <c r="M50" s="33"/>
    </row>
    <row r="51" spans="1:13" hidden="1">
      <c r="A51" s="2">
        <v>37622</v>
      </c>
      <c r="B51" s="12">
        <f>'[11]CoS 2017 Load History'!B89</f>
        <v>110117330.5</v>
      </c>
      <c r="C51" s="9">
        <f>'Weather Data'!B147</f>
        <v>907.4</v>
      </c>
      <c r="D51" s="9">
        <f>'Weather Data'!C147</f>
        <v>0</v>
      </c>
      <c r="E51" s="9">
        <v>31</v>
      </c>
      <c r="F51" s="9">
        <v>0</v>
      </c>
      <c r="G51" s="18">
        <v>0</v>
      </c>
      <c r="H51" s="38">
        <v>125.66024937363977</v>
      </c>
      <c r="I51" s="18">
        <f>'[11]CoS 2017 Load History'!F89+'[11]CoS 2017 Load History'!J89+'[11]CoS 2017 Load History'!O89+'[11]CoS 2017 Load History'!T89</f>
        <v>48823</v>
      </c>
      <c r="J51" s="9">
        <v>351.91199999999998</v>
      </c>
      <c r="K51" s="9"/>
      <c r="L51" s="9"/>
      <c r="M51" s="14"/>
    </row>
    <row r="52" spans="1:13" hidden="1">
      <c r="A52" s="2">
        <v>37653</v>
      </c>
      <c r="B52" s="12">
        <f>'[11]CoS 2017 Load History'!B90</f>
        <v>99989942.900000006</v>
      </c>
      <c r="C52" s="9">
        <f>'Weather Data'!B148</f>
        <v>969.6</v>
      </c>
      <c r="D52" s="9">
        <f>'Weather Data'!C148</f>
        <v>0</v>
      </c>
      <c r="E52" s="9">
        <v>28</v>
      </c>
      <c r="F52" s="9">
        <v>0</v>
      </c>
      <c r="G52" s="18">
        <v>0</v>
      </c>
      <c r="H52" s="38">
        <v>125.80592062045517</v>
      </c>
      <c r="I52" s="18">
        <f>'[11]CoS 2017 Load History'!F90+'[11]CoS 2017 Load History'!J90+'[11]CoS 2017 Load History'!O90+'[11]CoS 2017 Load History'!T90</f>
        <v>48686</v>
      </c>
      <c r="J52" s="9">
        <v>319.87200000000001</v>
      </c>
      <c r="K52" s="9"/>
      <c r="L52" s="9"/>
      <c r="M52" s="14"/>
    </row>
    <row r="53" spans="1:13" hidden="1">
      <c r="A53" s="2">
        <v>37681</v>
      </c>
      <c r="B53" s="12">
        <f>'[11]CoS 2017 Load History'!B91</f>
        <v>100611886.68000001</v>
      </c>
      <c r="C53" s="9">
        <f>'Weather Data'!B149</f>
        <v>765.1</v>
      </c>
      <c r="D53" s="9">
        <f>'Weather Data'!C149</f>
        <v>0</v>
      </c>
      <c r="E53" s="9">
        <v>31</v>
      </c>
      <c r="F53" s="9">
        <v>1</v>
      </c>
      <c r="G53" s="18">
        <v>0</v>
      </c>
      <c r="H53" s="38">
        <v>125.9517607362029</v>
      </c>
      <c r="I53" s="18">
        <f>'[11]CoS 2017 Load History'!F91+'[11]CoS 2017 Load History'!J91+'[11]CoS 2017 Load History'!O91+'[11]CoS 2017 Load History'!T91</f>
        <v>48752</v>
      </c>
      <c r="J53" s="9">
        <v>336.28800000000001</v>
      </c>
      <c r="K53" s="9"/>
      <c r="L53" s="9"/>
      <c r="M53" s="14"/>
    </row>
    <row r="54" spans="1:13" hidden="1">
      <c r="A54" s="2">
        <v>37712</v>
      </c>
      <c r="B54" s="12">
        <f>'[11]CoS 2017 Load History'!B92</f>
        <v>87646201.5</v>
      </c>
      <c r="C54" s="9">
        <f>'Weather Data'!B150</f>
        <v>499.3</v>
      </c>
      <c r="D54" s="9">
        <f>'Weather Data'!C150</f>
        <v>0</v>
      </c>
      <c r="E54" s="9">
        <v>30</v>
      </c>
      <c r="F54" s="9">
        <v>1</v>
      </c>
      <c r="G54" s="18">
        <v>0</v>
      </c>
      <c r="H54" s="38">
        <v>126.09776991664374</v>
      </c>
      <c r="I54" s="18">
        <f>'[11]CoS 2017 Load History'!F92+'[11]CoS 2017 Load History'!J92+'[11]CoS 2017 Load History'!O92+'[11]CoS 2017 Load History'!T92</f>
        <v>48864</v>
      </c>
      <c r="J54" s="9">
        <v>336.24</v>
      </c>
      <c r="K54" s="9"/>
      <c r="L54" s="9"/>
      <c r="M54" s="14"/>
    </row>
    <row r="55" spans="1:13" hidden="1">
      <c r="A55" s="2">
        <v>37742</v>
      </c>
      <c r="B55" s="12">
        <f>'[11]CoS 2017 Load History'!B93</f>
        <v>80569551.700000003</v>
      </c>
      <c r="C55" s="9">
        <f>'Weather Data'!B151</f>
        <v>276.39999999999998</v>
      </c>
      <c r="D55" s="9">
        <f>'Weather Data'!C151</f>
        <v>0</v>
      </c>
      <c r="E55" s="9">
        <v>31</v>
      </c>
      <c r="F55" s="9">
        <v>1</v>
      </c>
      <c r="G55" s="18">
        <v>0</v>
      </c>
      <c r="H55" s="38">
        <v>126.2439483577654</v>
      </c>
      <c r="I55" s="18">
        <f>'[11]CoS 2017 Load History'!F93+'[11]CoS 2017 Load History'!J93+'[11]CoS 2017 Load History'!O93+'[11]CoS 2017 Load History'!T93</f>
        <v>49129</v>
      </c>
      <c r="J55" s="9">
        <v>336.28800000000001</v>
      </c>
      <c r="K55" s="9"/>
      <c r="L55" s="9"/>
      <c r="M55" s="14"/>
    </row>
    <row r="56" spans="1:13" hidden="1">
      <c r="A56" s="2">
        <v>37773</v>
      </c>
      <c r="B56" s="12">
        <f>'[11]CoS 2017 Load History'!B94</f>
        <v>76274568.700000003</v>
      </c>
      <c r="C56" s="9">
        <f>'Weather Data'!B152</f>
        <v>129.30000000000001</v>
      </c>
      <c r="D56" s="9">
        <f>'Weather Data'!C152</f>
        <v>0</v>
      </c>
      <c r="E56" s="9">
        <v>30</v>
      </c>
      <c r="F56" s="9">
        <v>0</v>
      </c>
      <c r="G56" s="18">
        <v>0</v>
      </c>
      <c r="H56" s="38">
        <v>126.3902962557828</v>
      </c>
      <c r="I56" s="18">
        <f>'[11]CoS 2017 Load History'!F94+'[11]CoS 2017 Load History'!J94+'[11]CoS 2017 Load History'!O94+'[11]CoS 2017 Load History'!T94</f>
        <v>48856</v>
      </c>
      <c r="J56" s="9">
        <v>336.24</v>
      </c>
      <c r="K56" s="9"/>
      <c r="L56" s="9"/>
      <c r="M56" s="14"/>
    </row>
    <row r="57" spans="1:13" hidden="1">
      <c r="A57" s="2">
        <v>37803</v>
      </c>
      <c r="B57" s="12">
        <f>'[11]CoS 2017 Load History'!B95</f>
        <v>82862067</v>
      </c>
      <c r="C57" s="9">
        <f>'Weather Data'!B153</f>
        <v>29.9</v>
      </c>
      <c r="D57" s="9">
        <f>'Weather Data'!C153</f>
        <v>18.2</v>
      </c>
      <c r="E57" s="9">
        <v>31</v>
      </c>
      <c r="F57" s="9">
        <v>0</v>
      </c>
      <c r="G57" s="18">
        <v>0</v>
      </c>
      <c r="H57" s="38">
        <v>126.5368138071383</v>
      </c>
      <c r="I57" s="18">
        <f>'[11]CoS 2017 Load History'!F95+'[11]CoS 2017 Load History'!J95+'[11]CoS 2017 Load History'!O95+'[11]CoS 2017 Load History'!T95</f>
        <v>48776</v>
      </c>
      <c r="J57" s="9">
        <v>351.91199999999998</v>
      </c>
      <c r="K57" s="9"/>
      <c r="L57" s="9"/>
      <c r="M57" s="14"/>
    </row>
    <row r="58" spans="1:13" hidden="1">
      <c r="A58" s="2">
        <v>37834</v>
      </c>
      <c r="B58" s="12">
        <f>'[11]CoS 2017 Load History'!B96</f>
        <v>84559303.400000006</v>
      </c>
      <c r="C58" s="9">
        <f>'Weather Data'!B154</f>
        <v>35.6</v>
      </c>
      <c r="D58" s="9">
        <f>'Weather Data'!C154</f>
        <v>50.9</v>
      </c>
      <c r="E58" s="9">
        <v>31</v>
      </c>
      <c r="F58" s="9">
        <v>0</v>
      </c>
      <c r="G58" s="18">
        <v>0</v>
      </c>
      <c r="H58" s="38">
        <v>126.68350120850199</v>
      </c>
      <c r="I58" s="18">
        <f>'[11]CoS 2017 Load History'!F96+'[11]CoS 2017 Load History'!J96+'[11]CoS 2017 Load History'!O96+'[11]CoS 2017 Load History'!T96</f>
        <v>49114</v>
      </c>
      <c r="J58" s="9">
        <v>319.92</v>
      </c>
      <c r="K58" s="9"/>
      <c r="L58" s="9"/>
      <c r="M58" s="14"/>
    </row>
    <row r="59" spans="1:13" hidden="1">
      <c r="A59" s="2">
        <v>37865</v>
      </c>
      <c r="B59" s="12">
        <f>'[11]CoS 2017 Load History'!B97</f>
        <v>81130423.579999998</v>
      </c>
      <c r="C59" s="9">
        <f>'Weather Data'!B155</f>
        <v>164</v>
      </c>
      <c r="D59" s="9">
        <f>'Weather Data'!C155</f>
        <v>6.7</v>
      </c>
      <c r="E59" s="9">
        <v>30</v>
      </c>
      <c r="F59" s="9">
        <v>1</v>
      </c>
      <c r="G59" s="18">
        <v>0</v>
      </c>
      <c r="H59" s="38">
        <v>126.83035865677196</v>
      </c>
      <c r="I59" s="18">
        <f>'[11]CoS 2017 Load History'!F97+'[11]CoS 2017 Load History'!J97+'[11]CoS 2017 Load History'!O97+'[11]CoS 2017 Load History'!T97</f>
        <v>49137</v>
      </c>
      <c r="J59" s="9">
        <v>336.24</v>
      </c>
      <c r="K59" s="9"/>
      <c r="L59" s="9"/>
      <c r="M59" s="14"/>
    </row>
    <row r="60" spans="1:13" hidden="1">
      <c r="A60" s="2">
        <v>37895</v>
      </c>
      <c r="B60" s="12">
        <f>'[11]CoS 2017 Load History'!B98</f>
        <v>88166144.840000004</v>
      </c>
      <c r="C60" s="9">
        <f>'Weather Data'!B156</f>
        <v>414.2</v>
      </c>
      <c r="D60" s="9">
        <f>'Weather Data'!C156</f>
        <v>0</v>
      </c>
      <c r="E60" s="9">
        <v>31</v>
      </c>
      <c r="F60" s="9">
        <v>1</v>
      </c>
      <c r="G60" s="18">
        <v>0</v>
      </c>
      <c r="H60" s="38">
        <v>126.97738634907456</v>
      </c>
      <c r="I60" s="18">
        <f>'[11]CoS 2017 Load History'!F98+'[11]CoS 2017 Load History'!J98+'[11]CoS 2017 Load History'!O98+'[11]CoS 2017 Load History'!T98</f>
        <v>49015</v>
      </c>
      <c r="J60" s="9">
        <v>351.91199999999998</v>
      </c>
      <c r="K60" s="9"/>
      <c r="L60" s="9"/>
      <c r="M60" s="14"/>
    </row>
    <row r="61" spans="1:13" hidden="1">
      <c r="A61" s="2">
        <v>37926</v>
      </c>
      <c r="B61" s="12">
        <f>'[11]CoS 2017 Load History'!B99</f>
        <v>96589038.900000006</v>
      </c>
      <c r="C61" s="9">
        <f>'Weather Data'!B157</f>
        <v>632.9</v>
      </c>
      <c r="D61" s="9">
        <f>'Weather Data'!C157</f>
        <v>0</v>
      </c>
      <c r="E61" s="9">
        <v>30</v>
      </c>
      <c r="F61" s="9">
        <v>1</v>
      </c>
      <c r="G61" s="18">
        <v>0</v>
      </c>
      <c r="H61" s="38">
        <v>127.12458448276465</v>
      </c>
      <c r="I61" s="18">
        <f>'[11]CoS 2017 Load History'!F99+'[11]CoS 2017 Load History'!J99+'[11]CoS 2017 Load History'!O99+'[11]CoS 2017 Load History'!T99</f>
        <v>49020</v>
      </c>
      <c r="J61" s="9">
        <v>319.68</v>
      </c>
      <c r="K61" s="9"/>
      <c r="L61" s="9"/>
      <c r="M61" s="14"/>
    </row>
    <row r="62" spans="1:13" hidden="1">
      <c r="A62" s="2">
        <v>37956</v>
      </c>
      <c r="B62" s="12">
        <f>'[11]CoS 2017 Load History'!B100</f>
        <v>106439293.92</v>
      </c>
      <c r="C62" s="9">
        <f>'Weather Data'!B158</f>
        <v>785.9</v>
      </c>
      <c r="D62" s="9">
        <f>'Weather Data'!C158</f>
        <v>0</v>
      </c>
      <c r="E62" s="9">
        <v>31</v>
      </c>
      <c r="F62" s="9">
        <v>0</v>
      </c>
      <c r="G62" s="18">
        <v>0</v>
      </c>
      <c r="H62" s="38">
        <v>127.27195325542573</v>
      </c>
      <c r="I62" s="18">
        <f>'[11]CoS 2017 Load History'!F100+'[11]CoS 2017 Load History'!J100+'[11]CoS 2017 Load History'!O100+'[11]CoS 2017 Load History'!T100</f>
        <v>48963</v>
      </c>
      <c r="J62" s="9">
        <v>336.28800000000001</v>
      </c>
      <c r="K62" s="9"/>
      <c r="L62" s="9"/>
      <c r="M62" s="14"/>
    </row>
    <row r="63" spans="1:13" hidden="1">
      <c r="A63" s="2">
        <v>37987</v>
      </c>
      <c r="B63" s="12">
        <f>'[11]CoS 2017 Load History'!B101</f>
        <v>117228007.68000001</v>
      </c>
      <c r="C63" s="9">
        <f>'Weather Data'!B159</f>
        <v>1140.5999999999999</v>
      </c>
      <c r="D63" s="9">
        <f>'Weather Data'!C159</f>
        <v>0</v>
      </c>
      <c r="E63" s="9">
        <v>31</v>
      </c>
      <c r="F63" s="9">
        <v>0</v>
      </c>
      <c r="G63" s="18">
        <v>0</v>
      </c>
      <c r="H63" s="38">
        <v>127.53411264087498</v>
      </c>
      <c r="I63" s="18">
        <f>'[11]CoS 2017 Load History'!F101+'[11]CoS 2017 Load History'!J101+'[11]CoS 2017 Load History'!O101+'[11]CoS 2017 Load History'!T101</f>
        <v>49009</v>
      </c>
      <c r="J63" s="9">
        <v>336.28800000000001</v>
      </c>
      <c r="K63" s="9"/>
      <c r="L63" s="9"/>
      <c r="M63" s="14"/>
    </row>
    <row r="64" spans="1:13" hidden="1">
      <c r="A64" s="2">
        <v>38018</v>
      </c>
      <c r="B64" s="12">
        <f>'[11]CoS 2017 Load History'!B102</f>
        <v>97189182.640000001</v>
      </c>
      <c r="C64" s="9">
        <f>'Weather Data'!B160</f>
        <v>778.3</v>
      </c>
      <c r="D64" s="9">
        <f>'Weather Data'!C160</f>
        <v>0</v>
      </c>
      <c r="E64" s="9">
        <v>29</v>
      </c>
      <c r="F64" s="9">
        <v>0</v>
      </c>
      <c r="G64" s="18">
        <v>0</v>
      </c>
      <c r="H64" s="38">
        <v>127.79681203173486</v>
      </c>
      <c r="I64" s="18">
        <f>'[11]CoS 2017 Load History'!F102+'[11]CoS 2017 Load History'!J102+'[11]CoS 2017 Load History'!O102+'[11]CoS 2017 Load History'!T102</f>
        <v>48895</v>
      </c>
      <c r="J64" s="9">
        <v>320.16000000000003</v>
      </c>
      <c r="K64" s="9"/>
      <c r="L64" s="9"/>
      <c r="M64" s="14"/>
    </row>
    <row r="65" spans="1:33" hidden="1">
      <c r="A65" s="2">
        <v>38047</v>
      </c>
      <c r="B65" s="12">
        <f>'[11]CoS 2017 Load History'!B103</f>
        <v>96948633.640000001</v>
      </c>
      <c r="C65" s="9">
        <f>'Weather Data'!B161</f>
        <v>684.3</v>
      </c>
      <c r="D65" s="9">
        <f>'Weather Data'!C161</f>
        <v>0</v>
      </c>
      <c r="E65" s="9">
        <v>31</v>
      </c>
      <c r="F65" s="9">
        <v>1</v>
      </c>
      <c r="G65" s="18">
        <v>0</v>
      </c>
      <c r="H65" s="38">
        <v>128.06005254032812</v>
      </c>
      <c r="I65" s="18">
        <f>'[11]CoS 2017 Load History'!F103+'[11]CoS 2017 Load History'!J103+'[11]CoS 2017 Load History'!O103+'[11]CoS 2017 Load History'!T103</f>
        <v>48989</v>
      </c>
      <c r="J65" s="9">
        <v>368.28</v>
      </c>
      <c r="K65" s="9"/>
      <c r="L65" s="9"/>
      <c r="M65" s="14"/>
    </row>
    <row r="66" spans="1:33" hidden="1">
      <c r="A66" s="2">
        <v>38078</v>
      </c>
      <c r="B66" s="12">
        <f>'[11]CoS 2017 Load History'!B104</f>
        <v>85520823.479999989</v>
      </c>
      <c r="C66" s="9">
        <f>'Weather Data'!B162</f>
        <v>472.4</v>
      </c>
      <c r="D66" s="9">
        <f>'Weather Data'!C162</f>
        <v>0</v>
      </c>
      <c r="E66" s="9">
        <v>30</v>
      </c>
      <c r="F66" s="9">
        <v>1</v>
      </c>
      <c r="G66" s="18">
        <v>0</v>
      </c>
      <c r="H66" s="38">
        <v>128.32383528126866</v>
      </c>
      <c r="I66" s="18">
        <f>'[11]CoS 2017 Load History'!F104+'[11]CoS 2017 Load History'!J104+'[11]CoS 2017 Load History'!O104+'[11]CoS 2017 Load History'!T104</f>
        <v>48893</v>
      </c>
      <c r="J66" s="9">
        <v>336.24</v>
      </c>
      <c r="K66" s="9"/>
      <c r="L66" s="9"/>
      <c r="M66" s="14"/>
    </row>
    <row r="67" spans="1:33" hidden="1">
      <c r="A67" s="2">
        <v>38108</v>
      </c>
      <c r="B67" s="12">
        <f>'[11]CoS 2017 Load History'!B105</f>
        <v>80898890.099999994</v>
      </c>
      <c r="C67" s="9">
        <f>'Weather Data'!B163</f>
        <v>333.2</v>
      </c>
      <c r="D67" s="9">
        <f>'Weather Data'!C163</f>
        <v>0</v>
      </c>
      <c r="E67" s="9">
        <v>31</v>
      </c>
      <c r="F67" s="9">
        <v>1</v>
      </c>
      <c r="G67" s="18">
        <v>0</v>
      </c>
      <c r="H67" s="38">
        <v>128.58816137146633</v>
      </c>
      <c r="I67" s="18">
        <f>'[11]CoS 2017 Load History'!F105+'[11]CoS 2017 Load History'!J105+'[11]CoS 2017 Load History'!O105+'[11]CoS 2017 Load History'!T105</f>
        <v>48909</v>
      </c>
      <c r="J67" s="9">
        <v>319.92</v>
      </c>
      <c r="K67" s="9"/>
      <c r="L67" s="9"/>
      <c r="M67" s="14"/>
    </row>
    <row r="68" spans="1:33" hidden="1">
      <c r="A68" s="2">
        <v>38139</v>
      </c>
      <c r="B68" s="12">
        <f>'[11]CoS 2017 Load History'!B106</f>
        <v>75735633.539999992</v>
      </c>
      <c r="C68" s="9">
        <f>'Weather Data'!B164</f>
        <v>145.80000000000001</v>
      </c>
      <c r="D68" s="9">
        <f>'Weather Data'!C164</f>
        <v>3.1</v>
      </c>
      <c r="E68" s="9">
        <v>30</v>
      </c>
      <c r="F68" s="9">
        <v>0</v>
      </c>
      <c r="G68" s="18">
        <v>0</v>
      </c>
      <c r="H68" s="38">
        <v>128.85303193013166</v>
      </c>
      <c r="I68" s="18">
        <f>'[11]CoS 2017 Load History'!F106+'[11]CoS 2017 Load History'!J106+'[11]CoS 2017 Load History'!O106+'[11]CoS 2017 Load History'!T106</f>
        <v>49010</v>
      </c>
      <c r="J68" s="9">
        <v>352.08</v>
      </c>
      <c r="K68" s="9"/>
      <c r="L68" s="9"/>
      <c r="M68" s="14"/>
    </row>
    <row r="69" spans="1:33" hidden="1">
      <c r="A69" s="2">
        <v>38169</v>
      </c>
      <c r="B69" s="12">
        <f>'[11]CoS 2017 Load History'!B107</f>
        <v>80131442.399999991</v>
      </c>
      <c r="C69" s="9">
        <f>'Weather Data'!B165</f>
        <v>67.400000000000006</v>
      </c>
      <c r="D69" s="9">
        <f>'Weather Data'!C165</f>
        <v>22</v>
      </c>
      <c r="E69" s="9">
        <v>31</v>
      </c>
      <c r="F69" s="9">
        <v>0</v>
      </c>
      <c r="G69" s="18">
        <v>0</v>
      </c>
      <c r="H69" s="38">
        <v>129.11844807878055</v>
      </c>
      <c r="I69" s="18">
        <f>'[11]CoS 2017 Load History'!F107+'[11]CoS 2017 Load History'!J107+'[11]CoS 2017 Load History'!O107+'[11]CoS 2017 Load History'!T107</f>
        <v>49165</v>
      </c>
      <c r="J69" s="9">
        <v>336.28800000000001</v>
      </c>
      <c r="K69" s="9"/>
      <c r="L69" s="9"/>
      <c r="M69" s="14"/>
    </row>
    <row r="70" spans="1:33" hidden="1">
      <c r="A70" s="2">
        <v>38200</v>
      </c>
      <c r="B70" s="12">
        <f>'[11]CoS 2017 Load History'!B108</f>
        <v>79250403.920000002</v>
      </c>
      <c r="C70" s="9">
        <f>'Weather Data'!B166</f>
        <v>123</v>
      </c>
      <c r="D70" s="9">
        <f>'Weather Data'!C166</f>
        <v>1.8</v>
      </c>
      <c r="E70" s="9">
        <v>31</v>
      </c>
      <c r="F70" s="9">
        <v>0</v>
      </c>
      <c r="G70" s="18">
        <v>0</v>
      </c>
      <c r="H70" s="38">
        <v>129.38441094123903</v>
      </c>
      <c r="I70" s="18">
        <f>'[11]CoS 2017 Load History'!F108+'[11]CoS 2017 Load History'!J108+'[11]CoS 2017 Load History'!O108+'[11]CoS 2017 Load History'!T108</f>
        <v>49003</v>
      </c>
      <c r="J70" s="9">
        <v>336.28800000000001</v>
      </c>
      <c r="K70" s="9"/>
      <c r="L70" s="9"/>
      <c r="M70" s="14"/>
    </row>
    <row r="71" spans="1:33" hidden="1">
      <c r="A71" s="2">
        <v>38231</v>
      </c>
      <c r="B71" s="12">
        <f>'[11]CoS 2017 Load History'!B109</f>
        <v>79463540.870000005</v>
      </c>
      <c r="C71" s="9">
        <f>'Weather Data'!B167</f>
        <v>132.9</v>
      </c>
      <c r="D71" s="9">
        <f>'Weather Data'!C167</f>
        <v>4.7</v>
      </c>
      <c r="E71" s="9">
        <v>30</v>
      </c>
      <c r="F71" s="9">
        <v>1</v>
      </c>
      <c r="G71" s="18">
        <v>0</v>
      </c>
      <c r="H71" s="38">
        <v>129.65092164364802</v>
      </c>
      <c r="I71" s="18">
        <f>'[11]CoS 2017 Load History'!F109+'[11]CoS 2017 Load History'!J109+'[11]CoS 2017 Load History'!O109+'[11]CoS 2017 Load History'!T109</f>
        <v>49172</v>
      </c>
      <c r="J71" s="9">
        <v>336.24</v>
      </c>
      <c r="K71" s="9"/>
      <c r="L71" s="9"/>
      <c r="M71" s="14"/>
    </row>
    <row r="72" spans="1:33" hidden="1">
      <c r="A72" s="2">
        <v>38261</v>
      </c>
      <c r="B72" s="12">
        <f>'[11]CoS 2017 Load History'!B110</f>
        <v>85902608.560000002</v>
      </c>
      <c r="C72" s="9">
        <f>'Weather Data'!B168</f>
        <v>372.7</v>
      </c>
      <c r="D72" s="9">
        <f>'Weather Data'!C168</f>
        <v>0</v>
      </c>
      <c r="E72" s="9">
        <v>31</v>
      </c>
      <c r="F72" s="9">
        <v>1</v>
      </c>
      <c r="G72" s="18">
        <v>0</v>
      </c>
      <c r="H72" s="38">
        <v>129.91798131446814</v>
      </c>
      <c r="I72" s="18">
        <f>'[11]CoS 2017 Load History'!F110+'[11]CoS 2017 Load History'!J110+'[11]CoS 2017 Load History'!O110+'[11]CoS 2017 Load History'!T110</f>
        <v>49208</v>
      </c>
      <c r="J72" s="9">
        <v>319.92</v>
      </c>
      <c r="K72" s="9"/>
      <c r="L72" s="9"/>
      <c r="M72" s="14"/>
    </row>
    <row r="73" spans="1:33" hidden="1">
      <c r="A73" s="2">
        <v>38292</v>
      </c>
      <c r="B73" s="12">
        <f>'[11]CoS 2017 Load History'!B111</f>
        <v>92812844.200000003</v>
      </c>
      <c r="C73" s="9">
        <f>'Weather Data'!B169</f>
        <v>554.9</v>
      </c>
      <c r="D73" s="9">
        <f>'Weather Data'!C169</f>
        <v>0</v>
      </c>
      <c r="E73" s="9">
        <v>30</v>
      </c>
      <c r="F73" s="9">
        <v>1</v>
      </c>
      <c r="G73" s="18">
        <v>0</v>
      </c>
      <c r="H73" s="38">
        <v>130.18559108448443</v>
      </c>
      <c r="I73" s="18">
        <f>'[11]CoS 2017 Load History'!F111+'[11]CoS 2017 Load History'!J111+'[11]CoS 2017 Load History'!O111+'[11]CoS 2017 Load History'!T111</f>
        <v>49304</v>
      </c>
      <c r="J73" s="9">
        <v>352.08</v>
      </c>
      <c r="K73" s="9"/>
      <c r="L73" s="9"/>
      <c r="M73" s="14"/>
    </row>
    <row r="74" spans="1:33" hidden="1">
      <c r="A74" s="2">
        <v>38322</v>
      </c>
      <c r="B74" s="12">
        <f>'[11]CoS 2017 Load History'!B112</f>
        <v>111590910.58</v>
      </c>
      <c r="C74" s="9">
        <f>'Weather Data'!B170</f>
        <v>926.6</v>
      </c>
      <c r="D74" s="9">
        <f>'Weather Data'!C170</f>
        <v>0</v>
      </c>
      <c r="E74" s="9">
        <v>31</v>
      </c>
      <c r="F74" s="9">
        <v>0</v>
      </c>
      <c r="G74" s="18">
        <v>0</v>
      </c>
      <c r="H74" s="38">
        <v>130.45375208681136</v>
      </c>
      <c r="I74" s="18">
        <f>'[11]CoS 2017 Load History'!F112+'[11]CoS 2017 Load History'!J112+'[11]CoS 2017 Load History'!O112+'[11]CoS 2017 Load History'!T112</f>
        <v>49108</v>
      </c>
      <c r="J74" s="9">
        <v>336.28800000000001</v>
      </c>
      <c r="K74" s="9"/>
      <c r="L74" s="9"/>
      <c r="M74" s="14"/>
    </row>
    <row r="75" spans="1:33" s="15" customFormat="1" hidden="1">
      <c r="A75" s="2">
        <v>38353</v>
      </c>
      <c r="B75" s="12">
        <f>'[11]CoS 2017 Load History'!B113</f>
        <v>114618041.7</v>
      </c>
      <c r="C75" s="9">
        <f>'Weather Data'!B171</f>
        <v>1084.3</v>
      </c>
      <c r="D75" s="9">
        <f>'Weather Data'!C171</f>
        <v>0</v>
      </c>
      <c r="E75" s="9">
        <v>31</v>
      </c>
      <c r="F75" s="9">
        <v>0</v>
      </c>
      <c r="G75" s="18">
        <v>0</v>
      </c>
      <c r="H75" s="38">
        <v>130.74370215685079</v>
      </c>
      <c r="I75" s="18">
        <f>'[11]CoS 2017 Load History'!F113+'[11]CoS 2017 Load History'!J113+'[11]CoS 2017 Load History'!O113+'[11]CoS 2017 Load History'!T113</f>
        <v>49093</v>
      </c>
      <c r="J75" s="9">
        <v>319.92</v>
      </c>
      <c r="K75" s="9"/>
      <c r="L75" s="9"/>
      <c r="M75" s="14"/>
      <c r="N75"/>
      <c r="O75"/>
      <c r="P75"/>
      <c r="Q75"/>
      <c r="R75"/>
      <c r="S75"/>
      <c r="T75"/>
      <c r="U75"/>
      <c r="V75"/>
      <c r="W75"/>
      <c r="X75"/>
      <c r="Y75" s="10"/>
      <c r="Z75" s="10"/>
      <c r="AA75" s="10"/>
      <c r="AB75" s="10"/>
      <c r="AC75" s="10"/>
      <c r="AD75" s="10"/>
      <c r="AE75" s="10"/>
      <c r="AF75" s="10"/>
      <c r="AG75" s="10"/>
    </row>
    <row r="76" spans="1:33" hidden="1">
      <c r="A76" s="2">
        <v>38384</v>
      </c>
      <c r="B76" s="12">
        <f>'[11]CoS 2017 Load History'!B114</f>
        <v>92976782.650000006</v>
      </c>
      <c r="C76" s="9">
        <f>'Weather Data'!B172</f>
        <v>755.9</v>
      </c>
      <c r="D76" s="9">
        <f>'Weather Data'!C172</f>
        <v>0</v>
      </c>
      <c r="E76" s="9">
        <v>28</v>
      </c>
      <c r="F76" s="9">
        <v>0</v>
      </c>
      <c r="G76" s="18">
        <v>0</v>
      </c>
      <c r="H76" s="38">
        <v>131.0342966778299</v>
      </c>
      <c r="I76" s="18">
        <f>'[11]CoS 2017 Load History'!F114+'[11]CoS 2017 Load History'!J114+'[11]CoS 2017 Load History'!O114+'[11]CoS 2017 Load History'!T114</f>
        <v>48961</v>
      </c>
      <c r="J76" s="9">
        <v>319.87200000000001</v>
      </c>
      <c r="K76" s="9"/>
      <c r="L76" s="9"/>
      <c r="M76" s="14"/>
    </row>
    <row r="77" spans="1:33" hidden="1">
      <c r="A77" s="2">
        <v>38412</v>
      </c>
      <c r="B77" s="12">
        <f>'[11]CoS 2017 Load History'!B115</f>
        <v>99295276.140000001</v>
      </c>
      <c r="C77" s="9">
        <f>'Weather Data'!B173</f>
        <v>814.1</v>
      </c>
      <c r="D77" s="9">
        <f>'Weather Data'!C173</f>
        <v>0</v>
      </c>
      <c r="E77" s="9">
        <v>31</v>
      </c>
      <c r="F77" s="9">
        <v>1</v>
      </c>
      <c r="G77" s="18">
        <v>0</v>
      </c>
      <c r="H77" s="38">
        <v>131.32553708212293</v>
      </c>
      <c r="I77" s="18">
        <f>'[11]CoS 2017 Load History'!F115+'[11]CoS 2017 Load History'!J115+'[11]CoS 2017 Load History'!O115+'[11]CoS 2017 Load History'!T115</f>
        <v>49025</v>
      </c>
      <c r="J77" s="9">
        <v>351.91199999999998</v>
      </c>
      <c r="K77" s="9"/>
      <c r="L77" s="9"/>
      <c r="M77" s="14"/>
    </row>
    <row r="78" spans="1:33" hidden="1">
      <c r="A78" s="2">
        <v>38443</v>
      </c>
      <c r="B78" s="12">
        <f>'[11]CoS 2017 Load History'!B116</f>
        <v>83247752.900000006</v>
      </c>
      <c r="C78" s="9">
        <f>'Weather Data'!B174</f>
        <v>408.1</v>
      </c>
      <c r="D78" s="9">
        <f>'Weather Data'!C174</f>
        <v>0</v>
      </c>
      <c r="E78" s="9">
        <v>30</v>
      </c>
      <c r="F78" s="9">
        <v>1</v>
      </c>
      <c r="G78" s="18">
        <v>0</v>
      </c>
      <c r="H78" s="38">
        <v>131.61742480528775</v>
      </c>
      <c r="I78" s="18">
        <f>'[11]CoS 2017 Load History'!F116+'[11]CoS 2017 Load History'!J116+'[11]CoS 2017 Load History'!O116+'[11]CoS 2017 Load History'!T116</f>
        <v>49277</v>
      </c>
      <c r="J78" s="9">
        <v>336.24</v>
      </c>
      <c r="K78" s="9"/>
      <c r="L78" s="9"/>
      <c r="M78" s="14"/>
    </row>
    <row r="79" spans="1:33" hidden="1">
      <c r="A79" s="2">
        <v>38473</v>
      </c>
      <c r="B79" s="12">
        <f>'[11]CoS 2017 Load History'!B117</f>
        <v>82551529.650000006</v>
      </c>
      <c r="C79" s="9">
        <f>'Weather Data'!B175</f>
        <v>306.2</v>
      </c>
      <c r="D79" s="9">
        <f>'Weather Data'!C175</f>
        <v>0</v>
      </c>
      <c r="E79" s="9">
        <v>31</v>
      </c>
      <c r="F79" s="9">
        <v>1</v>
      </c>
      <c r="G79" s="18">
        <v>0</v>
      </c>
      <c r="H79" s="38">
        <v>131.90996128607298</v>
      </c>
      <c r="I79" s="18">
        <f>'[11]CoS 2017 Load History'!F117+'[11]CoS 2017 Load History'!J117+'[11]CoS 2017 Load History'!O117+'[11]CoS 2017 Load History'!T117</f>
        <v>49131</v>
      </c>
      <c r="J79" s="9">
        <v>336.28800000000001</v>
      </c>
      <c r="K79" s="9"/>
      <c r="L79" s="9"/>
      <c r="M79" s="14"/>
    </row>
    <row r="80" spans="1:33" hidden="1">
      <c r="A80" s="2">
        <v>38504</v>
      </c>
      <c r="B80" s="12">
        <f>'[11]CoS 2017 Load History'!B118</f>
        <v>81801216.799999997</v>
      </c>
      <c r="C80" s="9">
        <f>'Weather Data'!B176</f>
        <v>72.599999999999994</v>
      </c>
      <c r="D80" s="9">
        <f>'Weather Data'!C176</f>
        <v>16.8</v>
      </c>
      <c r="E80" s="9">
        <v>30</v>
      </c>
      <c r="F80" s="9">
        <v>0</v>
      </c>
      <c r="G80" s="18">
        <v>0</v>
      </c>
      <c r="H80" s="38">
        <v>132.20314796642501</v>
      </c>
      <c r="I80" s="18">
        <f>'[11]CoS 2017 Load History'!F118+'[11]CoS 2017 Load History'!J118+'[11]CoS 2017 Load History'!O118+'[11]CoS 2017 Load History'!T118</f>
        <v>49074</v>
      </c>
      <c r="J80" s="9">
        <v>352.08</v>
      </c>
      <c r="K80" s="9"/>
      <c r="L80" s="9"/>
      <c r="M80" s="14"/>
    </row>
    <row r="81" spans="1:33" hidden="1">
      <c r="A81" s="2">
        <v>38534</v>
      </c>
      <c r="B81" s="12">
        <f>'[11]CoS 2017 Load History'!B119</f>
        <v>86082380.5</v>
      </c>
      <c r="C81" s="9">
        <f>'Weather Data'!B177</f>
        <v>45.3</v>
      </c>
      <c r="D81" s="9">
        <f>'Weather Data'!C177</f>
        <v>53</v>
      </c>
      <c r="E81" s="9">
        <v>31</v>
      </c>
      <c r="F81" s="9">
        <v>0</v>
      </c>
      <c r="G81" s="18">
        <v>0</v>
      </c>
      <c r="H81" s="38">
        <v>132.49698629149512</v>
      </c>
      <c r="I81" s="18">
        <f>'[11]CoS 2017 Load History'!F119+'[11]CoS 2017 Load History'!J119+'[11]CoS 2017 Load History'!O119+'[11]CoS 2017 Load History'!T119</f>
        <v>49201</v>
      </c>
      <c r="J81" s="9">
        <v>319.92</v>
      </c>
      <c r="K81" s="9"/>
      <c r="L81" s="9"/>
      <c r="M81" s="14"/>
    </row>
    <row r="82" spans="1:33" hidden="1">
      <c r="A82" s="2">
        <v>38565</v>
      </c>
      <c r="B82" s="12">
        <f>'[11]CoS 2017 Load History'!B120</f>
        <v>85624066.270000011</v>
      </c>
      <c r="C82" s="9">
        <f>'Weather Data'!B178</f>
        <v>46.3</v>
      </c>
      <c r="D82" s="9">
        <f>'Weather Data'!C178</f>
        <v>29.6</v>
      </c>
      <c r="E82" s="9">
        <v>31</v>
      </c>
      <c r="F82" s="9">
        <v>0</v>
      </c>
      <c r="G82" s="18">
        <v>0</v>
      </c>
      <c r="H82" s="38">
        <v>132.79147770964664</v>
      </c>
      <c r="I82" s="18">
        <f>'[11]CoS 2017 Load History'!F120+'[11]CoS 2017 Load History'!J120+'[11]CoS 2017 Load History'!O120+'[11]CoS 2017 Load History'!T120</f>
        <v>49176</v>
      </c>
      <c r="J82" s="9">
        <v>351.91199999999998</v>
      </c>
      <c r="K82" s="9"/>
      <c r="L82" s="9"/>
      <c r="M82" s="14"/>
    </row>
    <row r="83" spans="1:33" hidden="1">
      <c r="A83" s="2">
        <v>38596</v>
      </c>
      <c r="B83" s="12">
        <f>'[11]CoS 2017 Load History'!B121</f>
        <v>81522426.670000002</v>
      </c>
      <c r="C83" s="9">
        <f>'Weather Data'!B179</f>
        <v>148.80000000000001</v>
      </c>
      <c r="D83" s="9">
        <f>'Weather Data'!C179</f>
        <v>15.2</v>
      </c>
      <c r="E83" s="9">
        <v>30</v>
      </c>
      <c r="F83" s="9">
        <v>1</v>
      </c>
      <c r="G83" s="18">
        <v>0</v>
      </c>
      <c r="H83" s="38">
        <v>133.08662367246211</v>
      </c>
      <c r="I83" s="18">
        <f>'[11]CoS 2017 Load History'!F121+'[11]CoS 2017 Load History'!J121+'[11]CoS 2017 Load History'!O121+'[11]CoS 2017 Load History'!T121</f>
        <v>49322</v>
      </c>
      <c r="J83" s="9">
        <v>336.24</v>
      </c>
      <c r="K83" s="9"/>
      <c r="L83" s="9"/>
      <c r="M83" s="14"/>
    </row>
    <row r="84" spans="1:33" hidden="1">
      <c r="A84" s="2">
        <v>38626</v>
      </c>
      <c r="B84" s="12">
        <f>'[11]CoS 2017 Load History'!B122</f>
        <v>87834995.239999995</v>
      </c>
      <c r="C84" s="9">
        <f>'Weather Data'!B180</f>
        <v>347.3</v>
      </c>
      <c r="D84" s="9">
        <f>'Weather Data'!C180</f>
        <v>0</v>
      </c>
      <c r="E84" s="9">
        <v>31</v>
      </c>
      <c r="F84" s="9">
        <v>1</v>
      </c>
      <c r="G84" s="18">
        <v>0</v>
      </c>
      <c r="H84" s="38">
        <v>133.38242563475035</v>
      </c>
      <c r="I84" s="18">
        <f>'[11]CoS 2017 Load History'!F122+'[11]CoS 2017 Load History'!J122+'[11]CoS 2017 Load History'!O122+'[11]CoS 2017 Load History'!T122</f>
        <v>49184</v>
      </c>
      <c r="J84" s="9">
        <v>319.92</v>
      </c>
      <c r="K84" s="9"/>
      <c r="L84" s="9"/>
      <c r="M84" s="14"/>
    </row>
    <row r="85" spans="1:33" hidden="1">
      <c r="A85" s="2">
        <v>38657</v>
      </c>
      <c r="B85" s="12">
        <f>'[11]CoS 2017 Load History'!B123</f>
        <v>96580697.819999993</v>
      </c>
      <c r="C85" s="9">
        <f>'Weather Data'!B181</f>
        <v>606.9</v>
      </c>
      <c r="D85" s="9">
        <f>'Weather Data'!C181</f>
        <v>0</v>
      </c>
      <c r="E85" s="9">
        <v>30</v>
      </c>
      <c r="F85" s="9">
        <v>1</v>
      </c>
      <c r="G85" s="18">
        <v>0</v>
      </c>
      <c r="H85" s="38">
        <v>133.67888505455369</v>
      </c>
      <c r="I85" s="18">
        <f>'[11]CoS 2017 Load History'!F123+'[11]CoS 2017 Load History'!J123+'[11]CoS 2017 Load History'!O123+'[11]CoS 2017 Load History'!T123</f>
        <v>49245</v>
      </c>
      <c r="J85" s="9">
        <v>352.08</v>
      </c>
      <c r="K85" s="9"/>
      <c r="L85" s="9"/>
      <c r="M85" s="14"/>
    </row>
    <row r="86" spans="1:33" s="35" customFormat="1" hidden="1">
      <c r="A86" s="2">
        <v>38687</v>
      </c>
      <c r="B86" s="12">
        <f>'[11]CoS 2017 Load History'!B124</f>
        <v>109162247.52</v>
      </c>
      <c r="C86" s="9">
        <f>'Weather Data'!B182</f>
        <v>833.4</v>
      </c>
      <c r="D86" s="9">
        <f>'Weather Data'!C182</f>
        <v>0</v>
      </c>
      <c r="E86" s="9">
        <v>31</v>
      </c>
      <c r="F86" s="9">
        <v>0</v>
      </c>
      <c r="G86" s="18">
        <v>0</v>
      </c>
      <c r="H86" s="38">
        <v>133.97600339315525</v>
      </c>
      <c r="I86" s="18">
        <f>'[11]CoS 2017 Load History'!F124+'[11]CoS 2017 Load History'!J124+'[11]CoS 2017 Load History'!O124+'[11]CoS 2017 Load History'!T124</f>
        <v>49216</v>
      </c>
      <c r="J86" s="9">
        <v>319.92</v>
      </c>
      <c r="K86" s="9"/>
      <c r="L86" s="9"/>
      <c r="M86" s="14"/>
      <c r="N86"/>
      <c r="O86"/>
      <c r="P86"/>
      <c r="Q86"/>
      <c r="R86"/>
      <c r="S86"/>
      <c r="T86"/>
      <c r="U86"/>
      <c r="V86"/>
      <c r="W86"/>
      <c r="X86"/>
      <c r="Y86" s="28"/>
      <c r="Z86" s="28"/>
      <c r="AA86" s="28"/>
      <c r="AB86" s="28"/>
      <c r="AC86" s="28"/>
      <c r="AD86" s="28"/>
      <c r="AE86" s="28"/>
      <c r="AF86" s="28"/>
      <c r="AG86" s="28"/>
    </row>
    <row r="87" spans="1:33">
      <c r="A87" s="2">
        <v>38718</v>
      </c>
      <c r="B87" s="12">
        <f>'[11]CoS 2017 Load History'!B125</f>
        <v>102809927.40000001</v>
      </c>
      <c r="C87" s="9">
        <f>'Weather Data'!B183</f>
        <v>797</v>
      </c>
      <c r="D87" s="9">
        <f>'Weather Data'!C183</f>
        <v>0</v>
      </c>
      <c r="E87" s="9">
        <v>31</v>
      </c>
      <c r="F87" s="9">
        <v>0</v>
      </c>
      <c r="G87" s="18">
        <f>'CDM Activity'!C19</f>
        <v>20809.682226219731</v>
      </c>
      <c r="H87" s="38">
        <v>134.25197202423305</v>
      </c>
      <c r="I87" s="18">
        <f>'[11]CoS 2017 Load History'!F125+'[11]CoS 2017 Load History'!J125+'[11]CoS 2017 Load History'!O125+'[11]CoS 2017 Load History'!T125</f>
        <v>49115</v>
      </c>
      <c r="J87" s="9">
        <v>336.28800000000001</v>
      </c>
      <c r="K87" s="9">
        <f>$O$103+C87*$O$104+D87*$O$105+E87*$O$106+F87*$O$107+G87*$O$108</f>
        <v>99794021.701433256</v>
      </c>
      <c r="L87" s="9"/>
      <c r="M87" s="14"/>
      <c r="N87" t="s">
        <v>15</v>
      </c>
      <c r="Y87" s="10"/>
      <c r="Z87" s="10"/>
      <c r="AA87" s="10"/>
    </row>
    <row r="88" spans="1:33" ht="13.5" thickBot="1">
      <c r="A88" s="2">
        <v>38749</v>
      </c>
      <c r="B88" s="12">
        <f>'[11]CoS 2017 Load History'!B126</f>
        <v>95819717.5</v>
      </c>
      <c r="C88" s="9">
        <f>'Weather Data'!B184</f>
        <v>873.4</v>
      </c>
      <c r="D88" s="9">
        <f>'Weather Data'!C184</f>
        <v>0</v>
      </c>
      <c r="E88" s="9">
        <v>28</v>
      </c>
      <c r="F88" s="9">
        <v>0</v>
      </c>
      <c r="G88" s="18">
        <f>'CDM Activity'!C20</f>
        <v>41619.364452439462</v>
      </c>
      <c r="H88" s="38">
        <v>134.52850910550649</v>
      </c>
      <c r="I88" s="18">
        <f>'[11]CoS 2017 Load History'!F126+'[11]CoS 2017 Load History'!J126+'[11]CoS 2017 Load History'!O126+'[11]CoS 2017 Load History'!T126</f>
        <v>49112</v>
      </c>
      <c r="J88" s="9">
        <v>319.87200000000001</v>
      </c>
      <c r="K88" s="9">
        <f t="shared" ref="K88:K151" si="0">$O$103+C88*$O$104+D88*$O$105+E88*$O$106+F88*$O$107+G88*$O$108</f>
        <v>93843766.920929939</v>
      </c>
      <c r="L88" s="9"/>
      <c r="M88" s="14"/>
    </row>
    <row r="89" spans="1:33">
      <c r="A89" s="2">
        <v>38777</v>
      </c>
      <c r="B89" s="12">
        <f>'[11]CoS 2017 Load History'!B127</f>
        <v>96369451.900000006</v>
      </c>
      <c r="C89" s="9">
        <f>'Weather Data'!B185</f>
        <v>659</v>
      </c>
      <c r="D89" s="9">
        <f>'Weather Data'!C185</f>
        <v>0</v>
      </c>
      <c r="E89" s="9">
        <v>31</v>
      </c>
      <c r="F89" s="9">
        <v>1</v>
      </c>
      <c r="G89" s="18">
        <f>'CDM Activity'!C21</f>
        <v>62429.046678659193</v>
      </c>
      <c r="H89" s="38">
        <v>134.80561580788986</v>
      </c>
      <c r="I89" s="18">
        <f>'[11]CoS 2017 Load History'!F127+'[11]CoS 2017 Load History'!J127+'[11]CoS 2017 Load History'!O127+'[11]CoS 2017 Load History'!T127</f>
        <v>49136</v>
      </c>
      <c r="J89" s="9">
        <v>368.28</v>
      </c>
      <c r="K89" s="9">
        <f t="shared" si="0"/>
        <v>92322278.799953789</v>
      </c>
      <c r="L89" s="9"/>
      <c r="M89" s="14"/>
      <c r="N89" s="53" t="s">
        <v>16</v>
      </c>
      <c r="O89" s="53"/>
    </row>
    <row r="90" spans="1:33">
      <c r="A90" s="2">
        <v>38808</v>
      </c>
      <c r="B90" s="12">
        <f>'[11]CoS 2017 Load History'!B128</f>
        <v>82880486.199999988</v>
      </c>
      <c r="C90" s="9">
        <f>'Weather Data'!B186</f>
        <v>366</v>
      </c>
      <c r="D90" s="9">
        <f>'Weather Data'!C186</f>
        <v>0</v>
      </c>
      <c r="E90" s="9">
        <v>30</v>
      </c>
      <c r="F90" s="9">
        <v>1</v>
      </c>
      <c r="G90" s="18">
        <f>'CDM Activity'!C22</f>
        <v>83238.728904878924</v>
      </c>
      <c r="H90" s="38">
        <v>135.08329330470943</v>
      </c>
      <c r="I90" s="18">
        <f>'[11]CoS 2017 Load History'!F128+'[11]CoS 2017 Load History'!J128+'[11]CoS 2017 Load History'!O128+'[11]CoS 2017 Load History'!T128</f>
        <v>49210</v>
      </c>
      <c r="J90" s="9">
        <v>303.83999999999997</v>
      </c>
      <c r="K90" s="9">
        <f t="shared" si="0"/>
        <v>80453043.33311291</v>
      </c>
      <c r="L90" s="9"/>
      <c r="M90" s="14"/>
      <c r="N90" s="40" t="s">
        <v>17</v>
      </c>
      <c r="O90" s="56">
        <v>0.96009572158110279</v>
      </c>
    </row>
    <row r="91" spans="1:33">
      <c r="A91" s="2">
        <v>38838</v>
      </c>
      <c r="B91" s="12">
        <f>'[11]CoS 2017 Load History'!B129</f>
        <v>83638022.400000006</v>
      </c>
      <c r="C91" s="9">
        <f>'Weather Data'!B187</f>
        <v>241.5</v>
      </c>
      <c r="D91" s="9">
        <f>'Weather Data'!C187</f>
        <v>2.4</v>
      </c>
      <c r="E91" s="9">
        <v>31</v>
      </c>
      <c r="F91" s="9">
        <v>1</v>
      </c>
      <c r="G91" s="18">
        <f>'CDM Activity'!C23</f>
        <v>104048.41113109866</v>
      </c>
      <c r="H91" s="38">
        <v>135.36154277170829</v>
      </c>
      <c r="I91" s="18">
        <f>'[11]CoS 2017 Load History'!F129+'[11]CoS 2017 Load History'!J129+'[11]CoS 2017 Load History'!O129+'[11]CoS 2017 Load History'!T129</f>
        <v>49274</v>
      </c>
      <c r="J91" s="9">
        <v>351.91199999999998</v>
      </c>
      <c r="K91" s="9">
        <f t="shared" si="0"/>
        <v>79682733.18283233</v>
      </c>
      <c r="L91" s="9"/>
      <c r="M91" s="14"/>
      <c r="N91" s="40" t="s">
        <v>18</v>
      </c>
      <c r="O91" s="56">
        <v>0.92178379459833848</v>
      </c>
    </row>
    <row r="92" spans="1:33">
      <c r="A92" s="2">
        <v>38869</v>
      </c>
      <c r="B92" s="12">
        <f>'[11]CoS 2017 Load History'!B130</f>
        <v>80788730.799999997</v>
      </c>
      <c r="C92" s="9">
        <f>'Weather Data'!B188</f>
        <v>81.5</v>
      </c>
      <c r="D92" s="9">
        <f>'Weather Data'!C188</f>
        <v>9.3000000000000007</v>
      </c>
      <c r="E92" s="9">
        <v>30</v>
      </c>
      <c r="F92" s="9">
        <v>0</v>
      </c>
      <c r="G92" s="18">
        <f>'CDM Activity'!C24</f>
        <v>124858.0933573184</v>
      </c>
      <c r="H92" s="38">
        <v>135.64036538705133</v>
      </c>
      <c r="I92" s="18">
        <f>'[11]CoS 2017 Load History'!F130+'[11]CoS 2017 Load History'!J130+'[11]CoS 2017 Load History'!O130+'[11]CoS 2017 Load History'!T130</f>
        <v>49064</v>
      </c>
      <c r="J92" s="9">
        <v>352.08</v>
      </c>
      <c r="K92" s="9">
        <f t="shared" si="0"/>
        <v>76100655.861786738</v>
      </c>
      <c r="L92" s="9"/>
      <c r="M92" s="14"/>
      <c r="N92" s="40" t="s">
        <v>19</v>
      </c>
      <c r="O92" s="56">
        <v>0.91835325927370415</v>
      </c>
    </row>
    <row r="93" spans="1:33">
      <c r="A93" s="2">
        <v>38899</v>
      </c>
      <c r="B93" s="12">
        <f>'[11]CoS 2017 Load History'!B131</f>
        <v>88450841.719999999</v>
      </c>
      <c r="C93" s="9">
        <f>'Weather Data'!B189</f>
        <v>23.2</v>
      </c>
      <c r="D93" s="9">
        <f>'Weather Data'!C189</f>
        <v>70.099999999999994</v>
      </c>
      <c r="E93" s="9">
        <v>31</v>
      </c>
      <c r="F93" s="9">
        <v>0</v>
      </c>
      <c r="G93" s="18">
        <f>'CDM Activity'!C25</f>
        <v>145667.77558353814</v>
      </c>
      <c r="H93" s="38">
        <v>135.9197623313303</v>
      </c>
      <c r="I93" s="18">
        <f>'[11]CoS 2017 Load History'!F131+'[11]CoS 2017 Load History'!J131+'[11]CoS 2017 Load History'!O131+'[11]CoS 2017 Load History'!T131</f>
        <v>49016</v>
      </c>
      <c r="J93" s="9">
        <v>319.92</v>
      </c>
      <c r="K93" s="9">
        <f t="shared" si="0"/>
        <v>86260466.107877165</v>
      </c>
      <c r="L93" s="9"/>
      <c r="M93" s="14"/>
      <c r="N93" s="40" t="s">
        <v>20</v>
      </c>
      <c r="O93" s="63">
        <v>2896837.3673279327</v>
      </c>
    </row>
    <row r="94" spans="1:33" ht="13.5" thickBot="1">
      <c r="A94" s="2">
        <v>38930</v>
      </c>
      <c r="B94" s="12">
        <f>'[11]CoS 2017 Load History'!B132</f>
        <v>86080627.399999991</v>
      </c>
      <c r="C94" s="9">
        <f>'Weather Data'!B190</f>
        <v>57.7</v>
      </c>
      <c r="D94" s="9">
        <f>'Weather Data'!C190</f>
        <v>31.7</v>
      </c>
      <c r="E94" s="9">
        <v>31</v>
      </c>
      <c r="F94" s="9">
        <v>0</v>
      </c>
      <c r="G94" s="18">
        <f>'CDM Activity'!C26</f>
        <v>166477.45780975788</v>
      </c>
      <c r="H94" s="38">
        <v>136.19973478756879</v>
      </c>
      <c r="I94" s="18">
        <f>'[11]CoS 2017 Load History'!F132+'[11]CoS 2017 Load History'!J132+'[11]CoS 2017 Load History'!O132+'[11]CoS 2017 Load History'!T132</f>
        <v>49101</v>
      </c>
      <c r="J94" s="9">
        <v>351.91199999999998</v>
      </c>
      <c r="K94" s="9">
        <f t="shared" si="0"/>
        <v>81449724.964839101</v>
      </c>
      <c r="L94" s="9"/>
      <c r="M94" s="14"/>
      <c r="N94" s="51" t="s">
        <v>21</v>
      </c>
      <c r="O94" s="51">
        <v>120</v>
      </c>
    </row>
    <row r="95" spans="1:33">
      <c r="A95" s="2">
        <v>38961</v>
      </c>
      <c r="B95" s="12">
        <f>'[11]CoS 2017 Load History'!B133</f>
        <v>79884628.359999999</v>
      </c>
      <c r="C95" s="9">
        <f>'Weather Data'!B191</f>
        <v>210.5</v>
      </c>
      <c r="D95" s="9">
        <f>'Weather Data'!C191</f>
        <v>1.2</v>
      </c>
      <c r="E95" s="9">
        <v>30</v>
      </c>
      <c r="F95" s="9">
        <v>1</v>
      </c>
      <c r="G95" s="18">
        <f>'CDM Activity'!C27</f>
        <v>187287.14003597762</v>
      </c>
      <c r="H95" s="38">
        <v>136.48028394122719</v>
      </c>
      <c r="I95" s="18">
        <f>'[11]CoS 2017 Load History'!F133+'[11]CoS 2017 Load History'!J133+'[11]CoS 2017 Load History'!O133+'[11]CoS 2017 Load History'!T133</f>
        <v>49313</v>
      </c>
      <c r="J95" s="9">
        <v>319.68</v>
      </c>
      <c r="K95" s="9">
        <f t="shared" si="0"/>
        <v>75623766.72576873</v>
      </c>
      <c r="L95" s="9"/>
      <c r="M95" s="14"/>
    </row>
    <row r="96" spans="1:33" ht="13.5" thickBot="1">
      <c r="A96" s="2">
        <v>38991</v>
      </c>
      <c r="B96" s="12">
        <f>'[11]CoS 2017 Load History'!B134</f>
        <v>88656786.064999998</v>
      </c>
      <c r="C96" s="9">
        <f>'Weather Data'!B192</f>
        <v>440.9</v>
      </c>
      <c r="D96" s="9">
        <f>'Weather Data'!C192</f>
        <v>0</v>
      </c>
      <c r="E96" s="9">
        <v>31</v>
      </c>
      <c r="F96" s="9">
        <v>1</v>
      </c>
      <c r="G96" s="18">
        <f>'CDM Activity'!C28</f>
        <v>208096.82226219735</v>
      </c>
      <c r="H96" s="38">
        <v>136.76141098020776</v>
      </c>
      <c r="I96" s="18">
        <f>'[11]CoS 2017 Load History'!F134+'[11]CoS 2017 Load History'!J134+'[11]CoS 2017 Load History'!O134+'[11]CoS 2017 Load History'!T134</f>
        <v>49112</v>
      </c>
      <c r="J96" s="9">
        <v>336.28800000000001</v>
      </c>
      <c r="K96" s="9">
        <f t="shared" si="0"/>
        <v>85293437.926976621</v>
      </c>
      <c r="L96" s="9"/>
      <c r="M96" s="14"/>
      <c r="N96" t="s">
        <v>22</v>
      </c>
    </row>
    <row r="97" spans="1:27">
      <c r="A97" s="2">
        <v>39022</v>
      </c>
      <c r="B97" s="12">
        <f>'[11]CoS 2017 Load History'!B135</f>
        <v>93307650.700000003</v>
      </c>
      <c r="C97" s="9">
        <f>'Weather Data'!B193</f>
        <v>540.4</v>
      </c>
      <c r="D97" s="9">
        <f>'Weather Data'!C193</f>
        <v>0</v>
      </c>
      <c r="E97" s="9">
        <v>30</v>
      </c>
      <c r="F97" s="9">
        <v>1</v>
      </c>
      <c r="G97" s="18">
        <f>'CDM Activity'!C29</f>
        <v>228906.50448841709</v>
      </c>
      <c r="H97" s="38">
        <v>137.04311709485967</v>
      </c>
      <c r="I97" s="18">
        <f>'[11]CoS 2017 Load History'!F135+'[11]CoS 2017 Load History'!J135+'[11]CoS 2017 Load History'!O135+'[11]CoS 2017 Load History'!T135</f>
        <v>49060</v>
      </c>
      <c r="J97" s="9">
        <v>352.08</v>
      </c>
      <c r="K97" s="9">
        <f t="shared" si="0"/>
        <v>85575684.999120325</v>
      </c>
      <c r="L97" s="9"/>
      <c r="M97" s="14"/>
      <c r="N97" s="52"/>
      <c r="O97" s="52" t="s">
        <v>26</v>
      </c>
      <c r="P97" s="52" t="s">
        <v>27</v>
      </c>
      <c r="Q97" s="52" t="s">
        <v>28</v>
      </c>
      <c r="R97" s="52" t="s">
        <v>29</v>
      </c>
      <c r="S97" s="52" t="s">
        <v>30</v>
      </c>
    </row>
    <row r="98" spans="1:27">
      <c r="A98" s="2">
        <v>39052</v>
      </c>
      <c r="B98" s="12">
        <f>'[11]CoS 2017 Load History'!B136</f>
        <v>101715484.205</v>
      </c>
      <c r="C98" s="9">
        <f>'Weather Data'!B194</f>
        <v>747.4</v>
      </c>
      <c r="D98" s="9">
        <f>'Weather Data'!C194</f>
        <v>0</v>
      </c>
      <c r="E98" s="9">
        <v>31</v>
      </c>
      <c r="F98" s="9">
        <v>0</v>
      </c>
      <c r="G98" s="18">
        <f>'CDM Activity'!C30</f>
        <v>249716.18671463683</v>
      </c>
      <c r="H98" s="38">
        <v>137.32540347798411</v>
      </c>
      <c r="I98" s="18">
        <f>'[11]CoS 2017 Load History'!F136+'[11]CoS 2017 Load History'!J136+'[11]CoS 2017 Load History'!O136+'[11]CoS 2017 Load History'!T136</f>
        <v>49112</v>
      </c>
      <c r="J98" s="9">
        <v>304.29599999999999</v>
      </c>
      <c r="K98" s="9">
        <f t="shared" si="0"/>
        <v>97823723.813412711</v>
      </c>
      <c r="L98" s="9"/>
      <c r="M98" s="14"/>
      <c r="N98" s="40" t="s">
        <v>23</v>
      </c>
      <c r="O98" s="40">
        <v>5</v>
      </c>
      <c r="P98" s="40">
        <v>1.1274191448154236E+16</v>
      </c>
      <c r="Q98" s="40">
        <v>2254838289630847</v>
      </c>
      <c r="R98" s="40">
        <v>268.69969476166432</v>
      </c>
      <c r="S98" s="40">
        <v>2.4553212281339741E-61</v>
      </c>
    </row>
    <row r="99" spans="1:27">
      <c r="A99" s="2">
        <v>39083</v>
      </c>
      <c r="B99" s="12">
        <f>'[11]CoS 2017 Load History'!B137</f>
        <v>106854247.63500001</v>
      </c>
      <c r="C99" s="9">
        <f>'Weather Data'!B195</f>
        <v>913.4</v>
      </c>
      <c r="D99" s="9">
        <f>'Weather Data'!C195</f>
        <v>0</v>
      </c>
      <c r="E99" s="9">
        <v>31</v>
      </c>
      <c r="F99" s="9">
        <v>0</v>
      </c>
      <c r="G99" s="18">
        <f>'CDM Activity'!C31</f>
        <v>270864.72934878524</v>
      </c>
      <c r="H99" s="38">
        <v>137.552207546647</v>
      </c>
      <c r="I99" s="18">
        <f>'[11]CoS 2017 Load History'!F137+'[11]CoS 2017 Load History'!J137+'[11]CoS 2017 Load History'!O137+'[11]CoS 2017 Load History'!T137</f>
        <v>49103</v>
      </c>
      <c r="J99" s="9">
        <v>351.91199999999998</v>
      </c>
      <c r="K99" s="9">
        <f t="shared" si="0"/>
        <v>102922785.8291543</v>
      </c>
      <c r="L99" s="9"/>
      <c r="M99" s="14"/>
      <c r="N99" s="40" t="s">
        <v>24</v>
      </c>
      <c r="O99" s="40">
        <v>114</v>
      </c>
      <c r="P99" s="40">
        <v>956650007533206.87</v>
      </c>
      <c r="Q99" s="40">
        <v>8391666732747.4287</v>
      </c>
      <c r="R99" s="40"/>
      <c r="S99" s="40"/>
      <c r="Y99" s="10"/>
      <c r="Z99" s="10"/>
      <c r="AA99" s="10"/>
    </row>
    <row r="100" spans="1:27" ht="13.5" thickBot="1">
      <c r="A100" s="2">
        <v>39114</v>
      </c>
      <c r="B100" s="12">
        <f>'[11]CoS 2017 Load History'!B138</f>
        <v>101765170.88</v>
      </c>
      <c r="C100" s="9">
        <f>'Weather Data'!B196</f>
        <v>924.7</v>
      </c>
      <c r="D100" s="9">
        <f>'Weather Data'!C196</f>
        <v>0</v>
      </c>
      <c r="E100" s="9">
        <v>28</v>
      </c>
      <c r="F100" s="9">
        <v>0</v>
      </c>
      <c r="G100" s="18">
        <f>'CDM Activity'!C32</f>
        <v>292013.27198293363</v>
      </c>
      <c r="H100" s="38">
        <v>137.77938620066888</v>
      </c>
      <c r="I100" s="18">
        <f>'[11]CoS 2017 Load History'!F138+'[11]CoS 2017 Load History'!J138+'[11]CoS 2017 Load History'!O138+'[11]CoS 2017 Load History'!T138</f>
        <v>49082</v>
      </c>
      <c r="J100" s="9">
        <v>319.87200000000001</v>
      </c>
      <c r="K100" s="9">
        <f t="shared" si="0"/>
        <v>94956444.164511085</v>
      </c>
      <c r="L100" s="9"/>
      <c r="M100" s="14"/>
      <c r="N100" s="51" t="s">
        <v>5</v>
      </c>
      <c r="O100" s="51">
        <v>119</v>
      </c>
      <c r="P100" s="51">
        <v>1.2230841455687442E+16</v>
      </c>
      <c r="Q100" s="51"/>
      <c r="R100" s="51"/>
      <c r="S100" s="51"/>
    </row>
    <row r="101" spans="1:27" ht="13.5" thickBot="1">
      <c r="A101" s="2">
        <v>39142</v>
      </c>
      <c r="B101" s="12">
        <f>'[11]CoS 2017 Load History'!B139</f>
        <v>97266360.674999997</v>
      </c>
      <c r="C101" s="9">
        <f>'Weather Data'!B197</f>
        <v>665</v>
      </c>
      <c r="D101" s="9">
        <f>'Weather Data'!C197</f>
        <v>0</v>
      </c>
      <c r="E101" s="9">
        <v>31</v>
      </c>
      <c r="F101" s="9">
        <v>1</v>
      </c>
      <c r="G101" s="18">
        <f>'CDM Activity'!C33</f>
        <v>313161.81461708201</v>
      </c>
      <c r="H101" s="38">
        <v>138.00694005870795</v>
      </c>
      <c r="I101" s="18">
        <f>'[11]CoS 2017 Load History'!F139+'[11]CoS 2017 Load History'!J139+'[11]CoS 2017 Load History'!O139+'[11]CoS 2017 Load History'!T139</f>
        <v>49148</v>
      </c>
      <c r="J101" s="9">
        <v>351.91199999999998</v>
      </c>
      <c r="K101" s="9">
        <f t="shared" si="0"/>
        <v>92031861.144801155</v>
      </c>
      <c r="L101" s="9"/>
      <c r="M101" s="14"/>
    </row>
    <row r="102" spans="1:27">
      <c r="A102" s="2">
        <v>39173</v>
      </c>
      <c r="B102" s="12">
        <f>'[11]CoS 2017 Load History'!B140</f>
        <v>86347252.030000001</v>
      </c>
      <c r="C102" s="9">
        <f>'Weather Data'!B198</f>
        <v>474.1</v>
      </c>
      <c r="D102" s="9">
        <f>'Weather Data'!C198</f>
        <v>0</v>
      </c>
      <c r="E102" s="9">
        <v>30</v>
      </c>
      <c r="F102" s="9">
        <v>1</v>
      </c>
      <c r="G102" s="18">
        <f>'CDM Activity'!C34</f>
        <v>334310.35725123039</v>
      </c>
      <c r="H102" s="38">
        <v>138.23486974044414</v>
      </c>
      <c r="I102" s="18">
        <f>'[11]CoS 2017 Load History'!F140+'[11]CoS 2017 Load History'!J140+'[11]CoS 2017 Load History'!O140+'[11]CoS 2017 Load History'!T140</f>
        <v>49132</v>
      </c>
      <c r="J102" s="9">
        <v>319.68</v>
      </c>
      <c r="K102" s="9">
        <f t="shared" si="0"/>
        <v>83322915.55947192</v>
      </c>
      <c r="L102" s="9"/>
      <c r="M102" s="14"/>
      <c r="N102" s="52"/>
      <c r="O102" s="52" t="s">
        <v>31</v>
      </c>
      <c r="P102" s="52" t="s">
        <v>20</v>
      </c>
      <c r="Q102" s="52" t="s">
        <v>32</v>
      </c>
      <c r="R102" s="52" t="s">
        <v>33</v>
      </c>
      <c r="S102" s="52" t="s">
        <v>34</v>
      </c>
      <c r="T102" s="52" t="s">
        <v>35</v>
      </c>
    </row>
    <row r="103" spans="1:27">
      <c r="A103" s="2">
        <v>39203</v>
      </c>
      <c r="B103" s="12">
        <f>'[11]CoS 2017 Load History'!B141</f>
        <v>81662415.745000005</v>
      </c>
      <c r="C103" s="9">
        <f>'Weather Data'!B199</f>
        <v>250.9</v>
      </c>
      <c r="D103" s="9">
        <f>'Weather Data'!C199</f>
        <v>0.6</v>
      </c>
      <c r="E103" s="9">
        <v>31</v>
      </c>
      <c r="F103" s="9">
        <v>1</v>
      </c>
      <c r="G103" s="18">
        <f>'CDM Activity'!C35</f>
        <v>355458.89988537878</v>
      </c>
      <c r="H103" s="38">
        <v>138.46317586658083</v>
      </c>
      <c r="I103" s="18">
        <f>'[11]CoS 2017 Load History'!F141+'[11]CoS 2017 Load History'!J141+'[11]CoS 2017 Load History'!O141+'[11]CoS 2017 Load History'!T141</f>
        <v>49220</v>
      </c>
      <c r="J103" s="9">
        <v>351.91199999999998</v>
      </c>
      <c r="K103" s="9">
        <f t="shared" si="0"/>
        <v>79222571.901807934</v>
      </c>
      <c r="L103" s="9"/>
      <c r="M103" s="14"/>
      <c r="N103" s="40" t="s">
        <v>25</v>
      </c>
      <c r="O103" s="63">
        <v>-10359773.80168204</v>
      </c>
      <c r="P103" s="63">
        <v>10202592.306004427</v>
      </c>
      <c r="Q103" s="54">
        <v>-1.0154060351490384</v>
      </c>
      <c r="R103" s="40">
        <v>0.31206253090939895</v>
      </c>
      <c r="S103" s="63">
        <v>-30571030.579264574</v>
      </c>
      <c r="T103" s="63">
        <v>9851482.9759004936</v>
      </c>
    </row>
    <row r="104" spans="1:27">
      <c r="A104" s="2">
        <v>39234</v>
      </c>
      <c r="B104" s="12">
        <f>'[11]CoS 2017 Load History'!B142</f>
        <v>78216252.605000004</v>
      </c>
      <c r="C104" s="9">
        <f>'Weather Data'!B200</f>
        <v>96.7</v>
      </c>
      <c r="D104" s="9">
        <f>'Weather Data'!C200</f>
        <v>6.5</v>
      </c>
      <c r="E104" s="9">
        <v>30</v>
      </c>
      <c r="F104" s="9">
        <v>0</v>
      </c>
      <c r="G104" s="18">
        <f>'CDM Activity'!C36</f>
        <v>376607.44251952716</v>
      </c>
      <c r="H104" s="38">
        <v>138.69185905884657</v>
      </c>
      <c r="I104" s="18">
        <f>'[11]CoS 2017 Load History'!F142+'[11]CoS 2017 Load History'!J142+'[11]CoS 2017 Load History'!O142+'[11]CoS 2017 Load History'!T142</f>
        <v>49334</v>
      </c>
      <c r="J104" s="9">
        <v>336.24</v>
      </c>
      <c r="K104" s="9">
        <f t="shared" si="0"/>
        <v>75667348.907255173</v>
      </c>
      <c r="L104" s="9"/>
      <c r="M104" s="14"/>
      <c r="N104" s="40" t="s">
        <v>1</v>
      </c>
      <c r="O104" s="63">
        <v>30959.19118212628</v>
      </c>
      <c r="P104" s="63">
        <v>1048.7488324536796</v>
      </c>
      <c r="Q104" s="54">
        <v>29.520119807612435</v>
      </c>
      <c r="R104" s="40">
        <v>3.2023042451509916E-55</v>
      </c>
      <c r="S104" s="63">
        <v>28881.627822524366</v>
      </c>
      <c r="T104" s="63">
        <v>33036.754541728194</v>
      </c>
    </row>
    <row r="105" spans="1:27">
      <c r="A105" s="2">
        <v>39264</v>
      </c>
      <c r="B105" s="12">
        <f>'[11]CoS 2017 Load History'!B143</f>
        <v>83572228.700000003</v>
      </c>
      <c r="C105" s="9">
        <f>'Weather Data'!B201</f>
        <v>40.200000000000003</v>
      </c>
      <c r="D105" s="9">
        <f>'Weather Data'!C201</f>
        <v>51.8</v>
      </c>
      <c r="E105" s="9">
        <v>31</v>
      </c>
      <c r="F105" s="9">
        <v>0</v>
      </c>
      <c r="G105" s="18">
        <f>'CDM Activity'!C37</f>
        <v>397755.98515367555</v>
      </c>
      <c r="H105" s="38">
        <v>138.92091993999671</v>
      </c>
      <c r="I105" s="18">
        <f>'[11]CoS 2017 Load History'!F143+'[11]CoS 2017 Load History'!J143+'[11]CoS 2017 Load History'!O143+'[11]CoS 2017 Load History'!T143</f>
        <v>49137</v>
      </c>
      <c r="J105" s="9">
        <v>336.28800000000001</v>
      </c>
      <c r="K105" s="9">
        <f t="shared" si="0"/>
        <v>83525227.774499357</v>
      </c>
      <c r="L105" s="9"/>
      <c r="M105" s="14"/>
      <c r="N105" s="40" t="s">
        <v>2</v>
      </c>
      <c r="O105" s="63">
        <v>152065.44418003873</v>
      </c>
      <c r="P105" s="63">
        <v>25195.492928111027</v>
      </c>
      <c r="Q105" s="54">
        <v>6.0354224707537591</v>
      </c>
      <c r="R105" s="40">
        <v>2.0210624510924709E-8</v>
      </c>
      <c r="S105" s="63">
        <v>102153.36674574554</v>
      </c>
      <c r="T105" s="63">
        <v>201977.52161433193</v>
      </c>
    </row>
    <row r="106" spans="1:27">
      <c r="A106" s="2">
        <v>39295</v>
      </c>
      <c r="B106" s="12">
        <f>'[11]CoS 2017 Load History'!B144</f>
        <v>81872692</v>
      </c>
      <c r="C106" s="9">
        <f>'Weather Data'!B202</f>
        <v>62.9</v>
      </c>
      <c r="D106" s="9">
        <f>'Weather Data'!C202</f>
        <v>22.1</v>
      </c>
      <c r="E106" s="9">
        <v>31</v>
      </c>
      <c r="F106" s="9">
        <v>0</v>
      </c>
      <c r="G106" s="18">
        <f>'CDM Activity'!C38</f>
        <v>418904.52778782393</v>
      </c>
      <c r="H106" s="38">
        <v>139.15035913381516</v>
      </c>
      <c r="I106" s="18">
        <f>'[11]CoS 2017 Load History'!F144+'[11]CoS 2017 Load History'!J144+'[11]CoS 2017 Load History'!O144+'[11]CoS 2017 Load History'!T144</f>
        <v>49202</v>
      </c>
      <c r="J106" s="9">
        <v>351.91199999999998</v>
      </c>
      <c r="K106" s="9">
        <f t="shared" si="0"/>
        <v>79671494.001695096</v>
      </c>
      <c r="L106" s="9"/>
      <c r="M106" s="14"/>
      <c r="N106" s="40" t="s">
        <v>3</v>
      </c>
      <c r="O106" s="63">
        <v>2758672.268169954</v>
      </c>
      <c r="P106" s="63">
        <v>336713.2442882341</v>
      </c>
      <c r="Q106" s="54">
        <v>8.1929425556200233</v>
      </c>
      <c r="R106" s="40">
        <v>4.1767763758927406E-13</v>
      </c>
      <c r="S106" s="63">
        <v>2091645.9246084981</v>
      </c>
      <c r="T106" s="63">
        <v>3425698.61173141</v>
      </c>
    </row>
    <row r="107" spans="1:27">
      <c r="A107" s="2">
        <v>39326</v>
      </c>
      <c r="B107" s="12">
        <f>'[11]CoS 2017 Load History'!B145</f>
        <v>77223168.519999996</v>
      </c>
      <c r="C107" s="9">
        <f>'Weather Data'!B203</f>
        <v>164.7</v>
      </c>
      <c r="D107" s="9">
        <f>'Weather Data'!C203</f>
        <v>9.6</v>
      </c>
      <c r="E107" s="9">
        <v>30</v>
      </c>
      <c r="F107" s="9">
        <v>1</v>
      </c>
      <c r="G107" s="18">
        <f>'CDM Activity'!C39</f>
        <v>440053.07042197231</v>
      </c>
      <c r="H107" s="38">
        <v>139.38017726511606</v>
      </c>
      <c r="I107" s="18">
        <f>'[11]CoS 2017 Load History'!F145+'[11]CoS 2017 Load History'!J145+'[11]CoS 2017 Load History'!O145+'[11]CoS 2017 Load History'!T145</f>
        <v>49181</v>
      </c>
      <c r="J107" s="9">
        <v>303.83999999999997</v>
      </c>
      <c r="K107" s="9">
        <f t="shared" si="0"/>
        <v>75003151.469393522</v>
      </c>
      <c r="L107" s="9"/>
      <c r="M107" s="14"/>
      <c r="N107" s="40" t="s">
        <v>14</v>
      </c>
      <c r="O107" s="63">
        <v>-3120334.1537302136</v>
      </c>
      <c r="P107" s="63">
        <v>633013.320304116</v>
      </c>
      <c r="Q107" s="54">
        <v>-4.9293341129553552</v>
      </c>
      <c r="R107" s="40">
        <v>2.8253676001247318E-6</v>
      </c>
      <c r="S107" s="63">
        <v>-4374328.6657687929</v>
      </c>
      <c r="T107" s="63">
        <v>-1866339.641691634</v>
      </c>
    </row>
    <row r="108" spans="1:27" ht="13.5" thickBot="1">
      <c r="A108" s="2">
        <v>39356</v>
      </c>
      <c r="B108" s="12">
        <f>'[11]CoS 2017 Load History'!B146</f>
        <v>84323902.479999989</v>
      </c>
      <c r="C108" s="9">
        <f>'Weather Data'!B204</f>
        <v>310.60000000000002</v>
      </c>
      <c r="D108" s="9">
        <f>'Weather Data'!C204</f>
        <v>0</v>
      </c>
      <c r="E108" s="9">
        <v>31</v>
      </c>
      <c r="F108" s="9">
        <v>1</v>
      </c>
      <c r="G108" s="18">
        <f>'CDM Activity'!C40</f>
        <v>461201.6130561207</v>
      </c>
      <c r="H108" s="38">
        <v>139.61037495974546</v>
      </c>
      <c r="I108" s="18">
        <f>'[11]CoS 2017 Load History'!F146+'[11]CoS 2017 Load History'!J146+'[11]CoS 2017 Load History'!O146+'[11]CoS 2017 Load History'!T146</f>
        <v>49276</v>
      </c>
      <c r="J108" s="9">
        <v>351.91199999999998</v>
      </c>
      <c r="K108" s="9">
        <f t="shared" si="0"/>
        <v>80778777.746415943</v>
      </c>
      <c r="L108" s="9"/>
      <c r="M108" s="14"/>
      <c r="N108" s="51" t="s">
        <v>56</v>
      </c>
      <c r="O108" s="55">
        <v>-1.899124738104959</v>
      </c>
      <c r="P108" s="55">
        <v>0.26452916231297918</v>
      </c>
      <c r="Q108" s="55">
        <v>-7.1792641745033716</v>
      </c>
      <c r="R108" s="51">
        <v>7.6527591029980791E-11</v>
      </c>
      <c r="S108" s="55">
        <v>-2.4231549712369769</v>
      </c>
      <c r="T108" s="55">
        <v>-1.3750945049729411</v>
      </c>
    </row>
    <row r="109" spans="1:27">
      <c r="A109" s="2">
        <v>39387</v>
      </c>
      <c r="B109" s="12">
        <f>'[11]CoS 2017 Load History'!B147</f>
        <v>90887332.480000004</v>
      </c>
      <c r="C109" s="9">
        <f>'Weather Data'!B205</f>
        <v>620.29999999999995</v>
      </c>
      <c r="D109" s="9">
        <f>'Weather Data'!C205</f>
        <v>0</v>
      </c>
      <c r="E109" s="9">
        <v>30</v>
      </c>
      <c r="F109" s="9">
        <v>1</v>
      </c>
      <c r="G109" s="18">
        <f>'CDM Activity'!C41</f>
        <v>482350.15569026908</v>
      </c>
      <c r="H109" s="38">
        <v>139.84095284458306</v>
      </c>
      <c r="I109" s="18">
        <f>'[11]CoS 2017 Load History'!F147+'[11]CoS 2017 Load History'!J147+'[11]CoS 2017 Load History'!O147+'[11]CoS 2017 Load History'!T147</f>
        <v>49251</v>
      </c>
      <c r="J109" s="9">
        <v>352.08</v>
      </c>
      <c r="K109" s="9">
        <f t="shared" si="0"/>
        <v>87568003.266859114</v>
      </c>
      <c r="L109" s="9"/>
      <c r="M109" s="14"/>
    </row>
    <row r="110" spans="1:27">
      <c r="A110" s="2">
        <v>39417</v>
      </c>
      <c r="B110" s="12">
        <f>'[11]CoS 2017 Load History'!B148</f>
        <v>104649026.3</v>
      </c>
      <c r="C110" s="9">
        <f>'Weather Data'!B206</f>
        <v>925.8</v>
      </c>
      <c r="D110" s="9">
        <f>'Weather Data'!C206</f>
        <v>0</v>
      </c>
      <c r="E110" s="9">
        <v>31</v>
      </c>
      <c r="F110" s="9">
        <v>0</v>
      </c>
      <c r="G110" s="18">
        <f>'CDM Activity'!C42</f>
        <v>503498.69832441746</v>
      </c>
      <c r="H110" s="38">
        <v>140.07191154754381</v>
      </c>
      <c r="I110" s="18">
        <f>'[11]CoS 2017 Load History'!F148+'[11]CoS 2017 Load History'!J148+'[11]CoS 2017 Load History'!O148+'[11]CoS 2017 Load History'!T148</f>
        <v>49094</v>
      </c>
      <c r="J110" s="9">
        <v>304.29599999999999</v>
      </c>
      <c r="K110" s="9">
        <f t="shared" si="0"/>
        <v>102864878.87440749</v>
      </c>
      <c r="L110" s="9"/>
      <c r="M110" s="14"/>
    </row>
    <row r="111" spans="1:27">
      <c r="A111" s="2">
        <v>39448</v>
      </c>
      <c r="B111" s="12">
        <f>'[11]CoS 2017 Load History'!B149</f>
        <v>104935043.73</v>
      </c>
      <c r="C111" s="9">
        <f>'Weather Data'!B207</f>
        <v>934.70000000000016</v>
      </c>
      <c r="D111" s="9">
        <f>'Weather Data'!C207</f>
        <v>0</v>
      </c>
      <c r="E111" s="9">
        <v>31</v>
      </c>
      <c r="F111" s="9">
        <v>0</v>
      </c>
      <c r="G111" s="18">
        <f>'CDM Activity'!C43</f>
        <v>515729.1389423926</v>
      </c>
      <c r="H111" s="37">
        <v>139.96642175819056</v>
      </c>
      <c r="I111" s="18">
        <f>'[11]CoS 2017 Load History'!F149+'[11]CoS 2017 Load History'!J149+'[11]CoS 2017 Load History'!O149+'[11]CoS 2017 Load History'!T149</f>
        <v>49133</v>
      </c>
      <c r="J111" s="1">
        <v>352</v>
      </c>
      <c r="K111" s="9">
        <f t="shared" si="0"/>
        <v>103117188.5435929</v>
      </c>
      <c r="L111" s="9"/>
      <c r="Y111" s="10"/>
      <c r="Z111" s="10"/>
      <c r="AA111" s="10"/>
    </row>
    <row r="112" spans="1:27">
      <c r="A112" s="2">
        <v>39479</v>
      </c>
      <c r="B112" s="12">
        <f>'[11]CoS 2017 Load History'!B150</f>
        <v>96969184.5</v>
      </c>
      <c r="C112" s="9">
        <f>'Weather Data'!B208</f>
        <v>921.50000000000011</v>
      </c>
      <c r="D112" s="9">
        <f>'Weather Data'!C208</f>
        <v>0</v>
      </c>
      <c r="E112" s="9">
        <v>29</v>
      </c>
      <c r="F112" s="9">
        <v>0</v>
      </c>
      <c r="G112" s="18">
        <f>'CDM Activity'!C44</f>
        <v>527959.57956036774</v>
      </c>
      <c r="H112" s="37">
        <v>139.86101141442734</v>
      </c>
      <c r="I112" s="18">
        <f>'[11]CoS 2017 Load History'!F150+'[11]CoS 2017 Load History'!J150+'[11]CoS 2017 Load History'!O150+'[11]CoS 2017 Load History'!T150</f>
        <v>49180</v>
      </c>
      <c r="J112" s="1">
        <v>320</v>
      </c>
      <c r="K112" s="9">
        <f t="shared" si="0"/>
        <v>97167955.5513134</v>
      </c>
      <c r="L112" s="9"/>
    </row>
    <row r="113" spans="1:27">
      <c r="A113" s="2">
        <v>39508</v>
      </c>
      <c r="B113" s="12">
        <f>'[11]CoS 2017 Load History'!B151</f>
        <v>93519586.990500003</v>
      </c>
      <c r="C113" s="9">
        <f>'Weather Data'!B209</f>
        <v>791.9</v>
      </c>
      <c r="D113" s="9">
        <f>'Weather Data'!C209</f>
        <v>0</v>
      </c>
      <c r="E113" s="9">
        <v>31</v>
      </c>
      <c r="F113" s="9">
        <v>1</v>
      </c>
      <c r="G113" s="18">
        <f>'CDM Activity'!C45</f>
        <v>540190.02017834282</v>
      </c>
      <c r="H113" s="37">
        <v>139.75568045642274</v>
      </c>
      <c r="I113" s="18">
        <f>'[11]CoS 2017 Load History'!F151+'[11]CoS 2017 Load History'!J151+'[11]CoS 2017 Load History'!O151+'[11]CoS 2017 Load History'!T151</f>
        <v>49098</v>
      </c>
      <c r="J113" s="1">
        <v>304</v>
      </c>
      <c r="K113" s="9">
        <f t="shared" si="0"/>
        <v>95529427.624384016</v>
      </c>
      <c r="L113" s="9"/>
    </row>
    <row r="114" spans="1:27">
      <c r="A114" s="2">
        <v>39539</v>
      </c>
      <c r="B114" s="12">
        <f>'[11]CoS 2017 Load History'!B152</f>
        <v>82871977.694999993</v>
      </c>
      <c r="C114" s="9">
        <f>'Weather Data'!B210</f>
        <v>456.89999999999986</v>
      </c>
      <c r="D114" s="9">
        <f>'Weather Data'!C210</f>
        <v>0</v>
      </c>
      <c r="E114" s="9">
        <v>30</v>
      </c>
      <c r="F114" s="9">
        <v>1</v>
      </c>
      <c r="G114" s="18">
        <f>'CDM Activity'!C46</f>
        <v>552420.4607963179</v>
      </c>
      <c r="H114" s="37">
        <v>139.65042882439042</v>
      </c>
      <c r="I114" s="18">
        <f>'[11]CoS 2017 Load History'!F152+'[11]CoS 2017 Load History'!J152+'[11]CoS 2017 Load History'!O152+'[11]CoS 2017 Load History'!T152</f>
        <v>49237</v>
      </c>
      <c r="J114" s="1">
        <v>352</v>
      </c>
      <c r="K114" s="9">
        <f t="shared" si="0"/>
        <v>82376199.177866235</v>
      </c>
      <c r="L114" s="9"/>
    </row>
    <row r="115" spans="1:27">
      <c r="A115" s="2">
        <v>39569</v>
      </c>
      <c r="B115" s="12">
        <f>'[11]CoS 2017 Load History'!B153</f>
        <v>79155014.5</v>
      </c>
      <c r="C115" s="9">
        <f>'Weather Data'!B211</f>
        <v>327.7</v>
      </c>
      <c r="D115" s="9">
        <f>'Weather Data'!C211</f>
        <v>0</v>
      </c>
      <c r="E115" s="9">
        <v>31</v>
      </c>
      <c r="F115" s="9">
        <v>1</v>
      </c>
      <c r="G115" s="18">
        <f>'CDM Activity'!C47</f>
        <v>564650.90141429298</v>
      </c>
      <c r="H115" s="37">
        <v>139.54525645858905</v>
      </c>
      <c r="I115" s="18">
        <f>'[11]CoS 2017 Load History'!F153+'[11]CoS 2017 Load History'!J153+'[11]CoS 2017 Load History'!O153+'[11]CoS 2017 Load History'!T153</f>
        <v>49463</v>
      </c>
      <c r="J115" s="1">
        <v>336</v>
      </c>
      <c r="K115" s="9">
        <f t="shared" si="0"/>
        <v>81111716.812969953</v>
      </c>
      <c r="L115" s="9"/>
    </row>
    <row r="116" spans="1:27">
      <c r="A116" s="2">
        <v>39600</v>
      </c>
      <c r="B116" s="12">
        <f>'[11]CoS 2017 Load History'!B154</f>
        <v>75449480.36999999</v>
      </c>
      <c r="C116" s="9">
        <f>'Weather Data'!B212</f>
        <v>109.89999999999998</v>
      </c>
      <c r="D116" s="9">
        <f>'Weather Data'!C212</f>
        <v>4.5999999999999996</v>
      </c>
      <c r="E116" s="9">
        <v>30</v>
      </c>
      <c r="F116" s="9">
        <v>0</v>
      </c>
      <c r="G116" s="18">
        <f>'CDM Activity'!C48</f>
        <v>576881.34203226806</v>
      </c>
      <c r="H116" s="37">
        <v>139.44016329932234</v>
      </c>
      <c r="I116" s="18">
        <f>'[11]CoS 2017 Load History'!F154+'[11]CoS 2017 Load History'!J154+'[11]CoS 2017 Load History'!O154+'[11]CoS 2017 Load History'!T154</f>
        <v>49238</v>
      </c>
      <c r="J116" s="1">
        <v>336</v>
      </c>
      <c r="K116" s="9">
        <f t="shared" si="0"/>
        <v>75406740.769955769</v>
      </c>
      <c r="L116" s="9"/>
    </row>
    <row r="117" spans="1:27">
      <c r="A117" s="2">
        <v>39630</v>
      </c>
      <c r="B117" s="12">
        <f>'[11]CoS 2017 Load History'!B155</f>
        <v>80091639.5</v>
      </c>
      <c r="C117" s="9">
        <f>'Weather Data'!B213</f>
        <v>34.700000000000003</v>
      </c>
      <c r="D117" s="9">
        <f>'Weather Data'!C213</f>
        <v>22.1</v>
      </c>
      <c r="E117" s="9">
        <v>31</v>
      </c>
      <c r="F117" s="9">
        <v>0</v>
      </c>
      <c r="G117" s="18">
        <f>'CDM Activity'!C49</f>
        <v>589111.78265024314</v>
      </c>
      <c r="H117" s="37">
        <v>139.3351492869389</v>
      </c>
      <c r="I117" s="18">
        <f>'[11]CoS 2017 Load History'!F155+'[11]CoS 2017 Load History'!J155+'[11]CoS 2017 Load History'!O155+'[11]CoS 2017 Load History'!T155</f>
        <v>49192</v>
      </c>
      <c r="J117" s="1">
        <v>352</v>
      </c>
      <c r="K117" s="9">
        <f t="shared" si="0"/>
        <v>78475200.002044976</v>
      </c>
      <c r="L117" s="9"/>
    </row>
    <row r="118" spans="1:27">
      <c r="A118" s="2">
        <v>39661</v>
      </c>
      <c r="B118" s="12">
        <f>'[11]CoS 2017 Load History'!B156</f>
        <v>79245285.700000003</v>
      </c>
      <c r="C118" s="9">
        <f>'Weather Data'!B214</f>
        <v>50.400000000000006</v>
      </c>
      <c r="D118" s="9">
        <f>'Weather Data'!C214</f>
        <v>22.200000000000003</v>
      </c>
      <c r="E118" s="9">
        <v>31</v>
      </c>
      <c r="F118" s="9">
        <v>0</v>
      </c>
      <c r="G118" s="18">
        <f>'CDM Activity'!C50</f>
        <v>601342.22326821822</v>
      </c>
      <c r="H118" s="37">
        <v>139.23021436183228</v>
      </c>
      <c r="I118" s="18">
        <f>'[11]CoS 2017 Load History'!F156+'[11]CoS 2017 Load History'!J156+'[11]CoS 2017 Load History'!O156+'[11]CoS 2017 Load History'!T156</f>
        <v>49432</v>
      </c>
      <c r="J118" s="1">
        <v>320</v>
      </c>
      <c r="K118" s="9">
        <f t="shared" si="0"/>
        <v>78953238.715686858</v>
      </c>
      <c r="L118" s="9"/>
    </row>
    <row r="119" spans="1:27">
      <c r="A119" s="2">
        <v>39692</v>
      </c>
      <c r="B119" s="12">
        <f>'[11]CoS 2017 Load History'!B157</f>
        <v>75427974.635000005</v>
      </c>
      <c r="C119" s="9">
        <f>'Weather Data'!B215</f>
        <v>193.29999999999998</v>
      </c>
      <c r="D119" s="9">
        <f>'Weather Data'!C215</f>
        <v>7</v>
      </c>
      <c r="E119" s="9">
        <v>30</v>
      </c>
      <c r="F119" s="9">
        <v>1</v>
      </c>
      <c r="G119" s="18">
        <f>'CDM Activity'!C51</f>
        <v>613572.6638861933</v>
      </c>
      <c r="H119" s="37">
        <v>139.12535846444095</v>
      </c>
      <c r="I119" s="18">
        <f>'[11]CoS 2017 Load History'!F157+'[11]CoS 2017 Load History'!J157+'[11]CoS 2017 Load History'!O157+'[11]CoS 2017 Load History'!T157</f>
        <v>49375</v>
      </c>
      <c r="J119" s="1">
        <v>336</v>
      </c>
      <c r="K119" s="9">
        <f t="shared" si="0"/>
        <v>75163678.829840407</v>
      </c>
      <c r="L119" s="9"/>
    </row>
    <row r="120" spans="1:27">
      <c r="A120" s="2">
        <v>39722</v>
      </c>
      <c r="B120" s="12">
        <f>'[11]CoS 2017 Load History'!B158</f>
        <v>81562556.669999987</v>
      </c>
      <c r="C120" s="9">
        <f>'Weather Data'!B216</f>
        <v>373.09999999999997</v>
      </c>
      <c r="D120" s="9">
        <f>'Weather Data'!C216</f>
        <v>0</v>
      </c>
      <c r="E120" s="9">
        <v>31</v>
      </c>
      <c r="F120" s="9">
        <v>1</v>
      </c>
      <c r="G120" s="18">
        <f>'CDM Activity'!C52</f>
        <v>625803.10450416838</v>
      </c>
      <c r="H120" s="37">
        <v>139.02058153524823</v>
      </c>
      <c r="I120" s="18">
        <f>'[11]CoS 2017 Load History'!F158+'[11]CoS 2017 Load History'!J158+'[11]CoS 2017 Load History'!O158+'[11]CoS 2017 Load History'!T158</f>
        <v>49399</v>
      </c>
      <c r="J120" s="1">
        <v>352</v>
      </c>
      <c r="K120" s="9">
        <f t="shared" si="0"/>
        <v>82401128.430960879</v>
      </c>
      <c r="L120" s="9"/>
    </row>
    <row r="121" spans="1:27">
      <c r="A121" s="2">
        <v>39753</v>
      </c>
      <c r="B121" s="12">
        <f>'[11]CoS 2017 Load History'!B159</f>
        <v>89093068.805000007</v>
      </c>
      <c r="C121" s="9">
        <f>'Weather Data'!B217</f>
        <v>591.00000000000011</v>
      </c>
      <c r="D121" s="9">
        <f>'Weather Data'!C217</f>
        <v>0</v>
      </c>
      <c r="E121" s="9">
        <v>30</v>
      </c>
      <c r="F121" s="9">
        <v>1</v>
      </c>
      <c r="G121" s="18">
        <f>'CDM Activity'!C53</f>
        <v>638033.54512214346</v>
      </c>
      <c r="H121" s="37">
        <v>138.91588351478222</v>
      </c>
      <c r="I121" s="18">
        <f>'[11]CoS 2017 Load History'!F159+'[11]CoS 2017 Load History'!J159+'[11]CoS 2017 Load History'!O159+'[11]CoS 2017 Load History'!T159</f>
        <v>49648</v>
      </c>
      <c r="J121" s="1">
        <v>304</v>
      </c>
      <c r="K121" s="9">
        <f t="shared" si="0"/>
        <v>86365236.789040744</v>
      </c>
      <c r="L121" s="9"/>
    </row>
    <row r="122" spans="1:27">
      <c r="A122" s="2">
        <v>39783</v>
      </c>
      <c r="B122" s="12">
        <f>'[11]CoS 2017 Load History'!B160</f>
        <v>108035010.80000001</v>
      </c>
      <c r="C122" s="9">
        <f>'Weather Data'!B218</f>
        <v>1033.7999999999997</v>
      </c>
      <c r="D122" s="9">
        <f>'Weather Data'!C218</f>
        <v>0</v>
      </c>
      <c r="E122" s="9">
        <v>31</v>
      </c>
      <c r="F122" s="9">
        <v>0</v>
      </c>
      <c r="G122" s="18">
        <f>'CDM Activity'!C54</f>
        <v>650263.98574011854</v>
      </c>
      <c r="H122" s="37">
        <v>138.8112643436159</v>
      </c>
      <c r="I122" s="18">
        <f>'[11]CoS 2017 Load History'!F160+'[11]CoS 2017 Load History'!J160+'[11]CoS 2017 Load History'!O160+'[11]CoS 2017 Load History'!T160</f>
        <v>49441</v>
      </c>
      <c r="J122" s="1">
        <v>336</v>
      </c>
      <c r="K122" s="9">
        <f t="shared" si="0"/>
        <v>105929745.93405087</v>
      </c>
      <c r="L122" s="9"/>
      <c r="M122" s="24"/>
    </row>
    <row r="123" spans="1:27">
      <c r="A123" s="2">
        <v>39814</v>
      </c>
      <c r="B123" s="12">
        <f>'[11]CoS 2017 Load History'!B161</f>
        <v>107537935.205</v>
      </c>
      <c r="C123" s="9">
        <f>'Weather Data'!B219</f>
        <v>1093.3999999999996</v>
      </c>
      <c r="D123" s="9">
        <f>'Weather Data'!C219</f>
        <v>0</v>
      </c>
      <c r="E123" s="9">
        <v>31</v>
      </c>
      <c r="F123" s="9">
        <v>0</v>
      </c>
      <c r="G123" s="18">
        <f>'CDM Activity'!C55</f>
        <v>680823.47460484621</v>
      </c>
      <c r="H123" s="37">
        <v>138.43555825854429</v>
      </c>
      <c r="I123" s="18">
        <f>'[11]CoS 2017 Load History'!F161+'[11]CoS 2017 Load History'!J161+'[11]CoS 2017 Load History'!O161+'[11]CoS 2017 Load History'!T161</f>
        <v>49371</v>
      </c>
      <c r="J123" s="1">
        <v>336</v>
      </c>
      <c r="K123" s="9">
        <f t="shared" si="0"/>
        <v>107716877.44721875</v>
      </c>
      <c r="L123" s="9"/>
      <c r="Y123" s="10"/>
      <c r="Z123" s="10"/>
      <c r="AA123" s="10"/>
    </row>
    <row r="124" spans="1:27">
      <c r="A124" s="2">
        <v>39845</v>
      </c>
      <c r="B124" s="12">
        <f>'[11]CoS 2017 Load History'!B162</f>
        <v>88671356.00500001</v>
      </c>
      <c r="C124" s="9">
        <f>'Weather Data'!B220</f>
        <v>838.90000000000009</v>
      </c>
      <c r="D124" s="9">
        <f>'Weather Data'!C220</f>
        <v>0</v>
      </c>
      <c r="E124" s="9">
        <v>28</v>
      </c>
      <c r="F124" s="9">
        <v>0</v>
      </c>
      <c r="G124" s="18">
        <f>'CDM Activity'!C56</f>
        <v>711382.96346957388</v>
      </c>
      <c r="H124" s="37">
        <v>138.06086905825526</v>
      </c>
      <c r="I124" s="18">
        <f>'[11]CoS 2017 Load History'!F162+'[11]CoS 2017 Load History'!J162+'[11]CoS 2017 Load History'!O162+'[11]CoS 2017 Load History'!T162</f>
        <v>49344</v>
      </c>
      <c r="J124" s="1">
        <v>304</v>
      </c>
      <c r="K124" s="9">
        <f t="shared" si="0"/>
        <v>91503710.205570936</v>
      </c>
      <c r="L124" s="9"/>
    </row>
    <row r="125" spans="1:27">
      <c r="A125" s="2">
        <v>39873</v>
      </c>
      <c r="B125" s="12">
        <f>'[11]CoS 2017 Load History'!B163</f>
        <v>92595903.344999984</v>
      </c>
      <c r="C125" s="9">
        <f>'Weather Data'!B221</f>
        <v>762.3</v>
      </c>
      <c r="D125" s="9">
        <f>'Weather Data'!C221</f>
        <v>0</v>
      </c>
      <c r="E125" s="9">
        <v>31</v>
      </c>
      <c r="F125" s="9">
        <v>1</v>
      </c>
      <c r="G125" s="18">
        <f>'CDM Activity'!C57</f>
        <v>741942.45233430155</v>
      </c>
      <c r="H125" s="37">
        <v>137.68719399045199</v>
      </c>
      <c r="I125" s="18">
        <f>'[11]CoS 2017 Load History'!F163+'[11]CoS 2017 Load History'!J163+'[11]CoS 2017 Load History'!O163+'[11]CoS 2017 Load History'!T163</f>
        <v>49266</v>
      </c>
      <c r="J125" s="1">
        <v>352</v>
      </c>
      <c r="K125" s="9">
        <f t="shared" si="0"/>
        <v>94229882.530512854</v>
      </c>
      <c r="L125" s="9"/>
    </row>
    <row r="126" spans="1:27">
      <c r="A126" s="2">
        <v>39904</v>
      </c>
      <c r="B126" s="12">
        <f>'[11]CoS 2017 Load History'!B164</f>
        <v>80947385.030000001</v>
      </c>
      <c r="C126" s="9">
        <f>'Weather Data'!B222</f>
        <v>453.2</v>
      </c>
      <c r="D126" s="9">
        <f>'Weather Data'!C222</f>
        <v>0</v>
      </c>
      <c r="E126" s="9">
        <v>30</v>
      </c>
      <c r="F126" s="9">
        <v>1</v>
      </c>
      <c r="G126" s="18">
        <f>'CDM Activity'!C58</f>
        <v>772501.94119902921</v>
      </c>
      <c r="H126" s="37">
        <v>137.31453031028698</v>
      </c>
      <c r="I126" s="18">
        <f>'[11]CoS 2017 Load History'!F164+'[11]CoS 2017 Load History'!J164+'[11]CoS 2017 Load History'!O164+'[11]CoS 2017 Load History'!T164</f>
        <v>49342</v>
      </c>
      <c r="J126" s="1">
        <v>320</v>
      </c>
      <c r="K126" s="9">
        <f t="shared" si="0"/>
        <v>81843687.986660808</v>
      </c>
      <c r="L126" s="9"/>
      <c r="M126" s="49"/>
    </row>
    <row r="127" spans="1:27">
      <c r="A127" s="2">
        <v>39934</v>
      </c>
      <c r="B127" s="12">
        <f>'[11]CoS 2017 Load History'!B165</f>
        <v>77386804.879999995</v>
      </c>
      <c r="C127" s="9">
        <f>'Weather Data'!B223</f>
        <v>319.8</v>
      </c>
      <c r="D127" s="9">
        <f>'Weather Data'!C223</f>
        <v>0</v>
      </c>
      <c r="E127" s="9">
        <v>31</v>
      </c>
      <c r="F127" s="9">
        <v>1</v>
      </c>
      <c r="G127" s="18">
        <f>'CDM Activity'!C59</f>
        <v>803061.43006375688</v>
      </c>
      <c r="H127" s="37">
        <v>136.94287528034204</v>
      </c>
      <c r="I127" s="18">
        <f>'[11]CoS 2017 Load History'!F165+'[11]CoS 2017 Load History'!J165+'[11]CoS 2017 Load History'!O165+'[11]CoS 2017 Load History'!T165</f>
        <v>49524</v>
      </c>
      <c r="J127" s="1">
        <v>320</v>
      </c>
      <c r="K127" s="9">
        <f t="shared" si="0"/>
        <v>80414367.869848266</v>
      </c>
      <c r="L127" s="9"/>
    </row>
    <row r="128" spans="1:27">
      <c r="A128" s="2">
        <v>39965</v>
      </c>
      <c r="B128" s="12">
        <f>'[11]CoS 2017 Load History'!B166</f>
        <v>75548044.13499999</v>
      </c>
      <c r="C128" s="9">
        <f>'Weather Data'!B224</f>
        <v>141.80000000000001</v>
      </c>
      <c r="D128" s="9">
        <f>'Weather Data'!C224</f>
        <v>13.7</v>
      </c>
      <c r="E128" s="9">
        <v>30</v>
      </c>
      <c r="F128" s="9">
        <v>0</v>
      </c>
      <c r="G128" s="18">
        <f>'CDM Activity'!C60</f>
        <v>833620.91892848455</v>
      </c>
      <c r="H128" s="37">
        <v>136.57222617060793</v>
      </c>
      <c r="I128" s="18">
        <f>'[11]CoS 2017 Load History'!F166+'[11]CoS 2017 Load History'!J166+'[11]CoS 2017 Load History'!O166+'[11]CoS 2017 Load History'!T166</f>
        <v>49367</v>
      </c>
      <c r="J128" s="1">
        <v>352</v>
      </c>
      <c r="K128" s="9">
        <f t="shared" si="0"/>
        <v>77290554.028969735</v>
      </c>
      <c r="L128" s="9"/>
    </row>
    <row r="129" spans="1:27">
      <c r="A129" s="2">
        <v>39995</v>
      </c>
      <c r="B129" s="12">
        <f>'[11]CoS 2017 Load History'!B167</f>
        <v>75447422.900000006</v>
      </c>
      <c r="C129" s="9">
        <f>'Weather Data'!B225</f>
        <v>74.5</v>
      </c>
      <c r="D129" s="9">
        <f>'Weather Data'!C225</f>
        <v>2</v>
      </c>
      <c r="E129" s="9">
        <v>31</v>
      </c>
      <c r="F129" s="9">
        <v>0</v>
      </c>
      <c r="G129" s="18">
        <f>'CDM Activity'!C61</f>
        <v>864180.40779321222</v>
      </c>
      <c r="H129" s="37">
        <v>136.20258025846454</v>
      </c>
      <c r="I129" s="18">
        <f>'[11]CoS 2017 Load History'!F167+'[11]CoS 2017 Load History'!J167+'[11]CoS 2017 Load History'!O167+'[11]CoS 2017 Load History'!T167</f>
        <v>49317</v>
      </c>
      <c r="J129" s="1">
        <v>352</v>
      </c>
      <c r="K129" s="9">
        <f t="shared" si="0"/>
        <v>76128470.752389297</v>
      </c>
      <c r="L129" s="9"/>
    </row>
    <row r="130" spans="1:27">
      <c r="A130" s="2">
        <v>40026</v>
      </c>
      <c r="B130" s="12">
        <f>'[11]CoS 2017 Load History'!B168</f>
        <v>75448475.599999994</v>
      </c>
      <c r="C130" s="9">
        <f>'Weather Data'!B226</f>
        <v>84.2</v>
      </c>
      <c r="D130" s="9">
        <f>'Weather Data'!C226</f>
        <v>14.2</v>
      </c>
      <c r="E130" s="9">
        <v>31</v>
      </c>
      <c r="F130" s="9">
        <v>0</v>
      </c>
      <c r="G130" s="18">
        <f>'CDM Activity'!C62</f>
        <v>894739.89665793988</v>
      </c>
      <c r="H130" s="37">
        <v>135.83393482866074</v>
      </c>
      <c r="I130" s="18">
        <f>'[11]CoS 2017 Load History'!F168+'[11]CoS 2017 Load History'!J168+'[11]CoS 2017 Load History'!O168+'[11]CoS 2017 Load History'!T168</f>
        <v>49303</v>
      </c>
      <c r="J130" s="1">
        <v>320</v>
      </c>
      <c r="K130" s="9">
        <f t="shared" si="0"/>
        <v>78225937.044565544</v>
      </c>
      <c r="L130" s="9"/>
    </row>
    <row r="131" spans="1:27">
      <c r="A131" s="2">
        <v>40057</v>
      </c>
      <c r="B131" s="12">
        <f>'[11]CoS 2017 Load History'!B169</f>
        <v>75207277.195000008</v>
      </c>
      <c r="C131" s="9">
        <f>'Weather Data'!B227</f>
        <v>102.8</v>
      </c>
      <c r="D131" s="9">
        <f>'Weather Data'!C227</f>
        <v>3.5</v>
      </c>
      <c r="E131" s="9">
        <v>30</v>
      </c>
      <c r="F131" s="9">
        <v>1</v>
      </c>
      <c r="G131" s="18">
        <f>'CDM Activity'!C63</f>
        <v>925299.38552266755</v>
      </c>
      <c r="H131" s="37">
        <v>135.46628717329455</v>
      </c>
      <c r="I131" s="18">
        <f>'[11]CoS 2017 Load History'!F169+'[11]CoS 2017 Load History'!J169+'[11]CoS 2017 Load History'!O169+'[11]CoS 2017 Load History'!T169</f>
        <v>49488</v>
      </c>
      <c r="J131" s="1">
        <v>336</v>
      </c>
      <c r="K131" s="9">
        <f t="shared" si="0"/>
        <v>71237635.044639662</v>
      </c>
      <c r="L131" s="9"/>
    </row>
    <row r="132" spans="1:27">
      <c r="A132" s="2">
        <v>40087</v>
      </c>
      <c r="B132" s="12">
        <f>'[11]CoS 2017 Load History'!B170</f>
        <v>81670054.660000011</v>
      </c>
      <c r="C132" s="9">
        <f>'Weather Data'!B228</f>
        <v>451.40000000000003</v>
      </c>
      <c r="D132" s="9">
        <f>'Weather Data'!C228</f>
        <v>0</v>
      </c>
      <c r="E132" s="9">
        <v>31</v>
      </c>
      <c r="F132" s="9">
        <v>1</v>
      </c>
      <c r="G132" s="18">
        <f>'CDM Activity'!C64</f>
        <v>955858.87438739522</v>
      </c>
      <c r="H132" s="37">
        <v>135.09963459179312</v>
      </c>
      <c r="I132" s="18">
        <f>'[11]CoS 2017 Load History'!F170+'[11]CoS 2017 Load History'!J170+'[11]CoS 2017 Load History'!O170+'[11]CoS 2017 Load History'!T170</f>
        <v>49576</v>
      </c>
      <c r="J132" s="1">
        <v>336</v>
      </c>
      <c r="K132" s="9">
        <f t="shared" si="0"/>
        <v>84198416.022981852</v>
      </c>
      <c r="L132" s="9"/>
    </row>
    <row r="133" spans="1:27">
      <c r="A133" s="2">
        <v>40118</v>
      </c>
      <c r="B133" s="12">
        <f>'[11]CoS 2017 Load History'!B171</f>
        <v>81617697.475000009</v>
      </c>
      <c r="C133" s="9">
        <f>'Weather Data'!B229</f>
        <v>473.49999999999994</v>
      </c>
      <c r="D133" s="9">
        <f>'Weather Data'!C229</f>
        <v>0</v>
      </c>
      <c r="E133" s="9">
        <v>30</v>
      </c>
      <c r="F133" s="9">
        <v>1</v>
      </c>
      <c r="G133" s="18">
        <f>'CDM Activity'!C65</f>
        <v>986418.36325212289</v>
      </c>
      <c r="H133" s="37">
        <v>134.733974390893</v>
      </c>
      <c r="I133" s="18">
        <f>'[11]CoS 2017 Load History'!F171+'[11]CoS 2017 Load History'!J171+'[11]CoS 2017 Load History'!O171+'[11]CoS 2017 Load History'!T171</f>
        <v>49421</v>
      </c>
      <c r="J133" s="1">
        <v>320</v>
      </c>
      <c r="K133" s="9">
        <f t="shared" si="0"/>
        <v>82065905.598650038</v>
      </c>
      <c r="L133" s="9"/>
    </row>
    <row r="134" spans="1:27">
      <c r="A134" s="2">
        <v>40148</v>
      </c>
      <c r="B134" s="12">
        <f>'[11]CoS 2017 Load History'!B172</f>
        <v>101485380.41500001</v>
      </c>
      <c r="C134" s="9">
        <f>'Weather Data'!B230</f>
        <v>914.89999999999986</v>
      </c>
      <c r="D134" s="9">
        <f>'Weather Data'!C230</f>
        <v>0</v>
      </c>
      <c r="E134" s="9">
        <v>31</v>
      </c>
      <c r="F134" s="9">
        <v>0</v>
      </c>
      <c r="G134" s="18">
        <f>'CDM Activity'!C66</f>
        <v>1016977.8521168506</v>
      </c>
      <c r="H134" s="37">
        <v>134.36930388462019</v>
      </c>
      <c r="I134" s="18">
        <f>'[11]CoS 2017 Load History'!F172+'[11]CoS 2017 Load History'!J172+'[11]CoS 2017 Load History'!O172+'[11]CoS 2017 Load History'!T172</f>
        <v>49538</v>
      </c>
      <c r="J134" s="1">
        <v>352</v>
      </c>
      <c r="K134" s="9">
        <f t="shared" si="0"/>
        <v>101552262.72705391</v>
      </c>
      <c r="L134" s="9"/>
    </row>
    <row r="135" spans="1:27">
      <c r="A135" s="2">
        <v>40179</v>
      </c>
      <c r="B135" s="12">
        <f>'[11]CoS 2017 Load History'!B173</f>
        <v>100899510</v>
      </c>
      <c r="C135" s="9">
        <f>'Weather Data'!B231</f>
        <v>900.20000000000027</v>
      </c>
      <c r="D135" s="9">
        <f>'Weather Data'!C231</f>
        <v>0</v>
      </c>
      <c r="E135" s="9">
        <v>31</v>
      </c>
      <c r="F135" s="9">
        <v>0</v>
      </c>
      <c r="G135" s="18">
        <f>'CDM Activity'!C67</f>
        <v>999026.00968987297</v>
      </c>
      <c r="H135" s="37">
        <v>134.73334561620703</v>
      </c>
      <c r="I135" s="18">
        <f>'[11]CoS 2017 Load History'!F173+'[11]CoS 2017 Load History'!J173+'[11]CoS 2017 Load History'!O173+'[11]CoS 2017 Load History'!T173</f>
        <v>49455</v>
      </c>
      <c r="J135" s="9">
        <v>320</v>
      </c>
      <c r="K135" s="9">
        <f t="shared" si="0"/>
        <v>101131255.40472429</v>
      </c>
      <c r="L135" s="9"/>
      <c r="Y135" s="10"/>
      <c r="Z135" s="10"/>
      <c r="AA135" s="10"/>
    </row>
    <row r="136" spans="1:27">
      <c r="A136" s="2">
        <v>40210</v>
      </c>
      <c r="B136" s="12">
        <f>'[11]CoS 2017 Load History'!B174</f>
        <v>85849038</v>
      </c>
      <c r="C136" s="9">
        <f>'Weather Data'!B232</f>
        <v>778.39999999999975</v>
      </c>
      <c r="D136" s="9">
        <f>'Weather Data'!C232</f>
        <v>0</v>
      </c>
      <c r="E136" s="9">
        <v>28</v>
      </c>
      <c r="F136" s="9">
        <v>0</v>
      </c>
      <c r="G136" s="18">
        <f>'CDM Activity'!C68</f>
        <v>981074.16726289538</v>
      </c>
      <c r="H136" s="37">
        <v>135.09837363244745</v>
      </c>
      <c r="I136" s="18">
        <f>'[11]CoS 2017 Load History'!F174+'[11]CoS 2017 Load History'!J174+'[11]CoS 2017 Load History'!O174+'[11]CoS 2017 Load History'!T174</f>
        <v>49476</v>
      </c>
      <c r="J136" s="9">
        <v>304</v>
      </c>
      <c r="K136" s="9">
        <f t="shared" si="0"/>
        <v>89118501.902279064</v>
      </c>
      <c r="L136" s="9"/>
    </row>
    <row r="137" spans="1:27">
      <c r="A137" s="2">
        <v>40238</v>
      </c>
      <c r="B137" s="12">
        <f>'[11]CoS 2017 Load History'!B175</f>
        <v>82851577</v>
      </c>
      <c r="C137" s="9">
        <f>'Weather Data'!B233</f>
        <v>514.4</v>
      </c>
      <c r="D137" s="9">
        <f>'Weather Data'!C233</f>
        <v>0</v>
      </c>
      <c r="E137" s="9">
        <v>31</v>
      </c>
      <c r="F137" s="9">
        <v>1</v>
      </c>
      <c r="G137" s="18">
        <f>'CDM Activity'!C69</f>
        <v>963122.3248359178</v>
      </c>
      <c r="H137" s="37">
        <v>135.46439060544563</v>
      </c>
      <c r="I137" s="18">
        <f>'[11]CoS 2017 Load History'!F175+'[11]CoS 2017 Load History'!J175+'[11]CoS 2017 Load History'!O175+'[11]CoS 2017 Load History'!T175</f>
        <v>49489</v>
      </c>
      <c r="J137" s="9">
        <v>368</v>
      </c>
      <c r="K137" s="9">
        <f t="shared" si="0"/>
        <v>86135050.869025022</v>
      </c>
      <c r="L137" s="9"/>
    </row>
    <row r="138" spans="1:27">
      <c r="A138" s="2">
        <v>40269</v>
      </c>
      <c r="B138" s="12">
        <f>'[11]CoS 2017 Load History'!B176</f>
        <v>74469009</v>
      </c>
      <c r="C138" s="9">
        <f>'Weather Data'!B234</f>
        <v>358.00000000000011</v>
      </c>
      <c r="D138" s="9">
        <f>'Weather Data'!C234</f>
        <v>0</v>
      </c>
      <c r="E138" s="9">
        <v>30</v>
      </c>
      <c r="F138" s="9">
        <v>1</v>
      </c>
      <c r="G138" s="18">
        <f>'CDM Activity'!C70</f>
        <v>945170.48240894021</v>
      </c>
      <c r="H138" s="37">
        <v>135.83139921454512</v>
      </c>
      <c r="I138" s="18">
        <f>'[11]CoS 2017 Load History'!F176+'[11]CoS 2017 Load History'!J176+'[11]CoS 2017 Load History'!O176+'[11]CoS 2017 Load History'!T176</f>
        <v>49454</v>
      </c>
      <c r="J138" s="9">
        <v>320</v>
      </c>
      <c r="K138" s="9">
        <f t="shared" si="0"/>
        <v>78568453.888018161</v>
      </c>
      <c r="L138" s="9"/>
    </row>
    <row r="139" spans="1:27">
      <c r="A139" s="2">
        <v>40299</v>
      </c>
      <c r="B139" s="12">
        <f>'[11]CoS 2017 Load History'!B177</f>
        <v>73655416</v>
      </c>
      <c r="C139" s="9">
        <f>'Weather Data'!B235</f>
        <v>212.40000000000003</v>
      </c>
      <c r="D139" s="9">
        <f>'Weather Data'!C235</f>
        <v>0.6</v>
      </c>
      <c r="E139" s="9">
        <v>31</v>
      </c>
      <c r="F139" s="9">
        <v>1</v>
      </c>
      <c r="G139" s="18">
        <f>'CDM Activity'!C71</f>
        <v>927218.63998196262</v>
      </c>
      <c r="H139" s="37">
        <v>136.19940214634852</v>
      </c>
      <c r="I139" s="18">
        <f>'[11]CoS 2017 Load History'!F177+'[11]CoS 2017 Load History'!J177+'[11]CoS 2017 Load History'!O177+'[11]CoS 2017 Load History'!T177</f>
        <v>49431</v>
      </c>
      <c r="J139" s="9">
        <v>320</v>
      </c>
      <c r="K139" s="9">
        <f t="shared" si="0"/>
        <v>76944799.974626184</v>
      </c>
      <c r="L139" s="9"/>
    </row>
    <row r="140" spans="1:27">
      <c r="A140" s="2">
        <v>40330</v>
      </c>
      <c r="B140" s="12">
        <f>'[11]CoS 2017 Load History'!B178</f>
        <v>71835603</v>
      </c>
      <c r="C140" s="9">
        <f>'Weather Data'!B236</f>
        <v>106.30000000000003</v>
      </c>
      <c r="D140" s="9">
        <f>'Weather Data'!C236</f>
        <v>3.0000000000000004</v>
      </c>
      <c r="E140" s="9">
        <v>30</v>
      </c>
      <c r="F140" s="9">
        <v>0</v>
      </c>
      <c r="G140" s="18">
        <f>'CDM Activity'!C72</f>
        <v>909266.79755498504</v>
      </c>
      <c r="H140" s="37">
        <v>136.56840209473719</v>
      </c>
      <c r="I140" s="18">
        <f>'[11]CoS 2017 Load History'!F178+'[11]CoS 2017 Load History'!J178+'[11]CoS 2017 Load History'!O178+'[11]CoS 2017 Load History'!T178</f>
        <v>49585</v>
      </c>
      <c r="J140" s="9">
        <v>352</v>
      </c>
      <c r="K140" s="9">
        <f t="shared" si="0"/>
        <v>74420741.52984257</v>
      </c>
      <c r="L140" s="9"/>
    </row>
    <row r="141" spans="1:27">
      <c r="A141" s="2">
        <v>40360</v>
      </c>
      <c r="B141" s="12">
        <f>'[11]CoS 2017 Load History'!B179</f>
        <v>80242084</v>
      </c>
      <c r="C141" s="9">
        <f>'Weather Data'!B237</f>
        <v>14.5</v>
      </c>
      <c r="D141" s="9">
        <f>'Weather Data'!C237</f>
        <v>52</v>
      </c>
      <c r="E141" s="9">
        <v>31</v>
      </c>
      <c r="F141" s="9">
        <v>0</v>
      </c>
      <c r="G141" s="18">
        <f>'CDM Activity'!C73</f>
        <v>891314.95512800745</v>
      </c>
      <c r="H141" s="37">
        <v>136.93840176089088</v>
      </c>
      <c r="I141" s="18">
        <f>'[11]CoS 2017 Load History'!F179+'[11]CoS 2017 Load History'!J179+'[11]CoS 2017 Load History'!O179+'[11]CoS 2017 Load History'!T179</f>
        <v>49584</v>
      </c>
      <c r="J141" s="9">
        <v>336</v>
      </c>
      <c r="K141" s="9">
        <f t="shared" si="0"/>
        <v>81822659.600362867</v>
      </c>
      <c r="L141" s="9"/>
    </row>
    <row r="142" spans="1:27">
      <c r="A142" s="2">
        <v>40391</v>
      </c>
      <c r="B142" s="12">
        <f>'[11]CoS 2017 Load History'!B180</f>
        <v>79593471</v>
      </c>
      <c r="C142" s="9">
        <f>'Weather Data'!B238</f>
        <v>37.9</v>
      </c>
      <c r="D142" s="9">
        <f>'Weather Data'!C238</f>
        <v>55.8</v>
      </c>
      <c r="E142" s="9">
        <v>31</v>
      </c>
      <c r="F142" s="9">
        <v>0</v>
      </c>
      <c r="G142" s="18">
        <f>'CDM Activity'!C74</f>
        <v>873363.11270102987</v>
      </c>
      <c r="H142" s="37">
        <v>137.30940385330757</v>
      </c>
      <c r="I142" s="18">
        <f>'[11]CoS 2017 Load History'!F180+'[11]CoS 2017 Load History'!J180+'[11]CoS 2017 Load History'!O180+'[11]CoS 2017 Load History'!T180</f>
        <v>49557</v>
      </c>
      <c r="J142" s="9">
        <v>336</v>
      </c>
      <c r="K142" s="9">
        <f t="shared" si="0"/>
        <v>83159046.149956405</v>
      </c>
      <c r="L142" s="9"/>
    </row>
    <row r="143" spans="1:27">
      <c r="A143" s="2">
        <v>40422</v>
      </c>
      <c r="B143" s="12">
        <f>'[11]CoS 2017 Load History'!B181</f>
        <v>71489469</v>
      </c>
      <c r="C143" s="9">
        <f>'Weather Data'!B239</f>
        <v>231.1</v>
      </c>
      <c r="D143" s="9">
        <f>'Weather Data'!C239</f>
        <v>0</v>
      </c>
      <c r="E143" s="9">
        <v>30</v>
      </c>
      <c r="F143" s="9">
        <v>1</v>
      </c>
      <c r="G143" s="18">
        <f>'CDM Activity'!C75</f>
        <v>855411.27027405228</v>
      </c>
      <c r="H143" s="37">
        <v>137.68141108782325</v>
      </c>
      <c r="I143" s="18">
        <f>'[11]CoS 2017 Load History'!F181+'[11]CoS 2017 Load History'!J181+'[11]CoS 2017 Load History'!O181+'[11]CoS 2017 Load History'!T181</f>
        <v>49688</v>
      </c>
      <c r="J143" s="9">
        <v>336</v>
      </c>
      <c r="K143" s="9">
        <f t="shared" si="0"/>
        <v>74810196.467244506</v>
      </c>
      <c r="L143" s="9"/>
    </row>
    <row r="144" spans="1:27">
      <c r="A144" s="2">
        <v>40452</v>
      </c>
      <c r="B144" s="12">
        <f>'[11]CoS 2017 Load History'!B182</f>
        <v>76458169</v>
      </c>
      <c r="C144" s="9">
        <f>'Weather Data'!B240</f>
        <v>355.49999999999989</v>
      </c>
      <c r="D144" s="9">
        <f>'Weather Data'!C240</f>
        <v>0</v>
      </c>
      <c r="E144" s="9">
        <v>31</v>
      </c>
      <c r="F144" s="9">
        <v>1</v>
      </c>
      <c r="G144" s="18">
        <f>'CDM Activity'!C76</f>
        <v>837459.42784707469</v>
      </c>
      <c r="H144" s="37">
        <v>138.0544261876318</v>
      </c>
      <c r="I144" s="18">
        <f>'[11]CoS 2017 Load History'!F182+'[11]CoS 2017 Load History'!J182+'[11]CoS 2017 Load History'!O182+'[11]CoS 2017 Load History'!T182</f>
        <v>49720</v>
      </c>
      <c r="J144" s="9">
        <v>320</v>
      </c>
      <c r="K144" s="9">
        <f t="shared" si="0"/>
        <v>81454284.906518608</v>
      </c>
      <c r="L144" s="9"/>
    </row>
    <row r="145" spans="1:12">
      <c r="A145" s="2">
        <v>40483</v>
      </c>
      <c r="B145" s="12">
        <f>'[11]CoS 2017 Load History'!B183</f>
        <v>84336038</v>
      </c>
      <c r="C145" s="9">
        <f>'Weather Data'!B241</f>
        <v>549.40000000000009</v>
      </c>
      <c r="D145" s="9">
        <f>'Weather Data'!C241</f>
        <v>0</v>
      </c>
      <c r="E145" s="9">
        <v>30</v>
      </c>
      <c r="F145" s="9">
        <v>1</v>
      </c>
      <c r="G145" s="18">
        <f>'CDM Activity'!C77</f>
        <v>819507.58542009711</v>
      </c>
      <c r="H145" s="37">
        <v>138.42845188330503</v>
      </c>
      <c r="I145" s="18">
        <f>'[11]CoS 2017 Load History'!F183+'[11]CoS 2017 Load History'!J183+'[11]CoS 2017 Load History'!O183+'[11]CoS 2017 Load History'!T183</f>
        <v>49679</v>
      </c>
      <c r="J145" s="9">
        <v>336</v>
      </c>
      <c r="K145" s="9">
        <f t="shared" si="0"/>
        <v>84732692.596610576</v>
      </c>
      <c r="L145" s="9"/>
    </row>
    <row r="146" spans="1:12">
      <c r="A146" s="2">
        <v>40513</v>
      </c>
      <c r="B146" s="12">
        <f>'[11]CoS 2017 Load History'!B184</f>
        <v>99487974</v>
      </c>
      <c r="C146" s="9">
        <f>'Weather Data'!B242</f>
        <v>879.0999999999998</v>
      </c>
      <c r="D146" s="9">
        <f>'Weather Data'!C242</f>
        <v>0</v>
      </c>
      <c r="E146" s="9">
        <v>31</v>
      </c>
      <c r="F146" s="9">
        <v>0</v>
      </c>
      <c r="G146" s="18">
        <f>'CDM Activity'!C78</f>
        <v>801555.74299311952</v>
      </c>
      <c r="H146" s="37">
        <v>138.80349091281266</v>
      </c>
      <c r="I146" s="18">
        <f>'[11]CoS 2017 Load History'!F184+'[11]CoS 2017 Load History'!J184+'[11]CoS 2017 Load History'!O184+'[11]CoS 2017 Load History'!T184</f>
        <v>49685</v>
      </c>
      <c r="J146" s="9">
        <v>368</v>
      </c>
      <c r="K146" s="9">
        <f t="shared" si="0"/>
        <v>100853037.13930541</v>
      </c>
      <c r="L146" s="9"/>
    </row>
    <row r="147" spans="1:12">
      <c r="A147" s="2">
        <v>40544</v>
      </c>
      <c r="B147" s="12">
        <f>'[11]CoS 2017 Load History'!B185</f>
        <v>103083133.92999999</v>
      </c>
      <c r="C147" s="9">
        <f>'Weather Data'!B243</f>
        <v>1077.9000000000003</v>
      </c>
      <c r="D147" s="9">
        <f>'Weather Data'!C243</f>
        <v>0</v>
      </c>
      <c r="E147" s="49">
        <v>31</v>
      </c>
      <c r="F147" s="9">
        <v>0</v>
      </c>
      <c r="G147" s="18">
        <f>'CDM Activity'!C79</f>
        <v>833343.39742367296</v>
      </c>
      <c r="H147" s="37">
        <v>139.10070640604135</v>
      </c>
      <c r="I147" s="18">
        <f>'[11]CoS 2017 Load History'!F185+'[11]CoS 2017 Load History'!J185+'[11]CoS 2017 Load History'!O185+'[11]CoS 2017 Load History'!T185</f>
        <v>49571</v>
      </c>
      <c r="J147" s="9">
        <v>336</v>
      </c>
      <c r="K147" s="9">
        <f t="shared" si="0"/>
        <v>106947355.62541673</v>
      </c>
      <c r="L147" s="9"/>
    </row>
    <row r="148" spans="1:12">
      <c r="A148" s="2">
        <v>40575</v>
      </c>
      <c r="B148" s="12">
        <f>'[11]CoS 2017 Load History'!B186</f>
        <v>87626412.440000013</v>
      </c>
      <c r="C148" s="9">
        <f>'Weather Data'!B244</f>
        <v>826.9</v>
      </c>
      <c r="D148" s="9">
        <f>'Weather Data'!C244</f>
        <v>0</v>
      </c>
      <c r="E148" s="49">
        <v>28</v>
      </c>
      <c r="F148" s="9">
        <v>0</v>
      </c>
      <c r="G148" s="18">
        <f>'CDM Activity'!C80</f>
        <v>865131.05185422639</v>
      </c>
      <c r="H148" s="37">
        <v>139.39855831733732</v>
      </c>
      <c r="I148" s="18">
        <f>'[11]CoS 2017 Load History'!F186+'[11]CoS 2017 Load History'!J186+'[11]CoS 2017 Load History'!O186+'[11]CoS 2017 Load History'!T186</f>
        <v>49616</v>
      </c>
      <c r="J148" s="9">
        <v>304</v>
      </c>
      <c r="K148" s="9">
        <f t="shared" si="0"/>
        <v>90840213.113297775</v>
      </c>
      <c r="L148" s="9"/>
    </row>
    <row r="149" spans="1:12">
      <c r="A149" s="2">
        <v>40603</v>
      </c>
      <c r="B149" s="12">
        <f>'[11]CoS 2017 Load History'!B187</f>
        <v>89212419.409999996</v>
      </c>
      <c r="C149" s="9">
        <f>'Weather Data'!B245</f>
        <v>749.9</v>
      </c>
      <c r="D149" s="9">
        <f>'Weather Data'!C245</f>
        <v>0</v>
      </c>
      <c r="E149" s="49">
        <v>31</v>
      </c>
      <c r="F149" s="9">
        <v>1</v>
      </c>
      <c r="G149" s="18">
        <f>'CDM Activity'!C81</f>
        <v>896918.70628477982</v>
      </c>
      <c r="H149" s="37">
        <v>139.69704800944226</v>
      </c>
      <c r="I149" s="18">
        <f>'[11]CoS 2017 Load History'!F187+'[11]CoS 2017 Load History'!J187+'[11]CoS 2017 Load History'!O187+'[11]CoS 2017 Load History'!T187</f>
        <v>49616</v>
      </c>
      <c r="J149" s="9">
        <v>368</v>
      </c>
      <c r="K149" s="9">
        <f t="shared" si="0"/>
        <v>93551669.322158307</v>
      </c>
      <c r="L149" s="9"/>
    </row>
    <row r="150" spans="1:12">
      <c r="A150" s="2">
        <v>40634</v>
      </c>
      <c r="B150" s="12">
        <f>'[11]CoS 2017 Load History'!B188</f>
        <v>78583792.420000002</v>
      </c>
      <c r="C150" s="9">
        <f>'Weather Data'!B246</f>
        <v>482.30000000000007</v>
      </c>
      <c r="D150" s="9">
        <f>'Weather Data'!C246</f>
        <v>0</v>
      </c>
      <c r="E150" s="49">
        <v>30</v>
      </c>
      <c r="F150" s="9">
        <v>1</v>
      </c>
      <c r="G150" s="18">
        <f>'CDM Activity'!C82</f>
        <v>928706.36071533326</v>
      </c>
      <c r="H150" s="37">
        <v>139.99617684801592</v>
      </c>
      <c r="I150" s="18">
        <f>'[11]CoS 2017 Load History'!F188+'[11]CoS 2017 Load History'!J188+'[11]CoS 2017 Load History'!O188+'[11]CoS 2017 Load History'!T188</f>
        <v>49768</v>
      </c>
      <c r="J150" s="9">
        <v>320</v>
      </c>
      <c r="K150" s="9">
        <f t="shared" si="0"/>
        <v>82447948.772755951</v>
      </c>
      <c r="L150" s="9"/>
    </row>
    <row r="151" spans="1:12">
      <c r="A151" s="2">
        <v>40664</v>
      </c>
      <c r="B151" s="12">
        <f>'[11]CoS 2017 Load History'!B189</f>
        <v>74627645.180000007</v>
      </c>
      <c r="C151" s="9">
        <f>'Weather Data'!B247</f>
        <v>266.99999999999994</v>
      </c>
      <c r="D151" s="9">
        <f>'Weather Data'!C247</f>
        <v>0</v>
      </c>
      <c r="E151" s="49">
        <v>31</v>
      </c>
      <c r="F151" s="9">
        <v>1</v>
      </c>
      <c r="G151" s="18">
        <f>'CDM Activity'!C83</f>
        <v>960494.01514588669</v>
      </c>
      <c r="H151" s="37">
        <v>140.29594620164227</v>
      </c>
      <c r="I151" s="18">
        <f>'[11]CoS 2017 Load History'!F189+'[11]CoS 2017 Load History'!J189+'[11]CoS 2017 Load History'!O189+'[11]CoS 2017 Load History'!T189</f>
        <v>49772</v>
      </c>
      <c r="J151" s="9">
        <v>336</v>
      </c>
      <c r="K151" s="9">
        <f t="shared" si="0"/>
        <v>78480738.458518714</v>
      </c>
      <c r="L151" s="9"/>
    </row>
    <row r="152" spans="1:12">
      <c r="A152" s="2">
        <v>40695</v>
      </c>
      <c r="B152" s="12">
        <f>'[11]CoS 2017 Load History'!B190</f>
        <v>70475526.809999987</v>
      </c>
      <c r="C152" s="9">
        <f>'Weather Data'!B248</f>
        <v>110.1</v>
      </c>
      <c r="D152" s="9">
        <f>'Weather Data'!C248</f>
        <v>0</v>
      </c>
      <c r="E152" s="49">
        <v>30</v>
      </c>
      <c r="F152" s="9">
        <v>0</v>
      </c>
      <c r="G152" s="18">
        <f>'CDM Activity'!C84</f>
        <v>992281.66957644012</v>
      </c>
      <c r="H152" s="37">
        <v>140.59635744183578</v>
      </c>
      <c r="I152" s="18">
        <f>'[11]CoS 2017 Load History'!F190+'[11]CoS 2017 Load History'!J190+'[11]CoS 2017 Load History'!O190+'[11]CoS 2017 Load History'!T190</f>
        <v>49767</v>
      </c>
      <c r="J152" s="9">
        <v>352</v>
      </c>
      <c r="K152" s="9">
        <f t="shared" ref="K152:K215" si="1">$O$103+C152*$O$104+D152*$O$105+E152*$O$106+F152*$O$107+G152*$O$108</f>
        <v>73924534.526707962</v>
      </c>
      <c r="L152" s="9"/>
    </row>
    <row r="153" spans="1:12">
      <c r="A153" s="2">
        <v>40725</v>
      </c>
      <c r="B153" s="12">
        <f>'[11]CoS 2017 Load History'!B191</f>
        <v>79443992.780000001</v>
      </c>
      <c r="C153" s="9">
        <f>'Weather Data'!B249</f>
        <v>29.8</v>
      </c>
      <c r="D153" s="9">
        <f>'Weather Data'!C249</f>
        <v>63.7</v>
      </c>
      <c r="E153" s="49">
        <v>31</v>
      </c>
      <c r="F153" s="9">
        <v>0</v>
      </c>
      <c r="G153" s="18">
        <f>'CDM Activity'!C85</f>
        <v>1024069.3240069936</v>
      </c>
      <c r="H153" s="37">
        <v>140.89741194304773</v>
      </c>
      <c r="I153" s="18">
        <f>'[11]CoS 2017 Load History'!F191+'[11]CoS 2017 Load History'!J191+'[11]CoS 2017 Load History'!O191+'[11]CoS 2017 Load History'!T191</f>
        <v>49815</v>
      </c>
      <c r="J153" s="9">
        <v>320</v>
      </c>
      <c r="K153" s="9">
        <f t="shared" si="1"/>
        <v>83823383.816326261</v>
      </c>
      <c r="L153" s="9"/>
    </row>
    <row r="154" spans="1:12">
      <c r="A154" s="2">
        <v>40756</v>
      </c>
      <c r="B154" s="12">
        <f>'[11]CoS 2017 Load History'!B192</f>
        <v>80570453.359999999</v>
      </c>
      <c r="C154" s="9">
        <f>'Weather Data'!B250</f>
        <v>22.2</v>
      </c>
      <c r="D154" s="9">
        <f>'Weather Data'!C250</f>
        <v>35.699999999999996</v>
      </c>
      <c r="E154" s="49">
        <v>31</v>
      </c>
      <c r="F154" s="9">
        <v>0</v>
      </c>
      <c r="G154" s="18">
        <f>'CDM Activity'!C86</f>
        <v>1055856.9784375469</v>
      </c>
      <c r="H154" s="37">
        <v>141.19911108267243</v>
      </c>
      <c r="I154" s="18">
        <f>'[11]CoS 2017 Load History'!F192+'[11]CoS 2017 Load History'!J192+'[11]CoS 2017 Load History'!O192+'[11]CoS 2017 Load History'!T192</f>
        <v>49814</v>
      </c>
      <c r="J154" s="9">
        <v>352</v>
      </c>
      <c r="K154" s="9">
        <f t="shared" si="1"/>
        <v>79269892.805405617</v>
      </c>
      <c r="L154" s="9"/>
    </row>
    <row r="155" spans="1:12">
      <c r="A155" s="2">
        <v>40787</v>
      </c>
      <c r="B155" s="12">
        <f>'[11]CoS 2017 Load History'!B193</f>
        <v>73932449.070000008</v>
      </c>
      <c r="C155" s="9">
        <f>'Weather Data'!B251</f>
        <v>172.3</v>
      </c>
      <c r="D155" s="9">
        <f>'Weather Data'!C251</f>
        <v>9.4</v>
      </c>
      <c r="E155" s="49">
        <v>30</v>
      </c>
      <c r="F155" s="9">
        <v>1</v>
      </c>
      <c r="G155" s="18">
        <f>'CDM Activity'!C87</f>
        <v>1087644.6328681002</v>
      </c>
      <c r="H155" s="37">
        <v>141.50145624105357</v>
      </c>
      <c r="I155" s="18">
        <f>'[11]CoS 2017 Load History'!F193+'[11]CoS 2017 Load History'!J193+'[11]CoS 2017 Load History'!O193+'[11]CoS 2017 Load History'!T193</f>
        <v>49865</v>
      </c>
      <c r="J155" s="9">
        <v>336</v>
      </c>
      <c r="K155" s="9">
        <f t="shared" si="1"/>
        <v>73978171.077112183</v>
      </c>
      <c r="L155" s="9"/>
    </row>
    <row r="156" spans="1:12">
      <c r="A156" s="2">
        <v>40817</v>
      </c>
      <c r="B156" s="12">
        <f>'[11]CoS 2017 Load History'!B194</f>
        <v>78071233.13000001</v>
      </c>
      <c r="C156" s="9">
        <f>'Weather Data'!B252</f>
        <v>337.20000000000005</v>
      </c>
      <c r="D156" s="9">
        <f>'Weather Data'!C252</f>
        <v>5.4</v>
      </c>
      <c r="E156" s="49">
        <v>31</v>
      </c>
      <c r="F156" s="9">
        <v>1</v>
      </c>
      <c r="G156" s="18">
        <f>'CDM Activity'!C88</f>
        <v>1119432.2872986535</v>
      </c>
      <c r="H156" s="37">
        <v>141.80444880149057</v>
      </c>
      <c r="I156" s="18">
        <f>'[11]CoS 2017 Load History'!F194+'[11]CoS 2017 Load History'!J194+'[11]CoS 2017 Load History'!O194+'[11]CoS 2017 Load History'!T194</f>
        <v>49824</v>
      </c>
      <c r="J156" s="9">
        <v>320</v>
      </c>
      <c r="K156" s="9">
        <f t="shared" si="1"/>
        <v>81173383.473599225</v>
      </c>
      <c r="L156" s="9"/>
    </row>
    <row r="157" spans="1:12">
      <c r="A157" s="2">
        <v>40848</v>
      </c>
      <c r="B157" s="12">
        <f>'[11]CoS 2017 Load History'!B195</f>
        <v>84974720.149999991</v>
      </c>
      <c r="C157" s="9">
        <f>'Weather Data'!B253</f>
        <v>563.20000000000005</v>
      </c>
      <c r="D157" s="9">
        <f>'Weather Data'!C253</f>
        <v>0</v>
      </c>
      <c r="E157" s="49">
        <v>30</v>
      </c>
      <c r="F157" s="9">
        <v>1</v>
      </c>
      <c r="G157" s="18">
        <f>'CDM Activity'!C89</f>
        <v>1151219.9417292068</v>
      </c>
      <c r="H157" s="37">
        <v>142.10809015024478</v>
      </c>
      <c r="I157" s="18">
        <f>'[11]CoS 2017 Load History'!F195+'[11]CoS 2017 Load History'!J195+'[11]CoS 2017 Load History'!O195+'[11]CoS 2017 Load History'!T195</f>
        <v>49891</v>
      </c>
      <c r="J157" s="9">
        <v>352</v>
      </c>
      <c r="K157" s="9">
        <f t="shared" si="1"/>
        <v>84529966.293122202</v>
      </c>
      <c r="L157" s="9"/>
    </row>
    <row r="158" spans="1:12">
      <c r="A158" s="2">
        <v>40878</v>
      </c>
      <c r="B158" s="12">
        <f>'[11]CoS 2017 Load History'!B196</f>
        <v>95477955.489999995</v>
      </c>
      <c r="C158" s="9">
        <f>'Weather Data'!B254</f>
        <v>769.8</v>
      </c>
      <c r="D158" s="9">
        <f>'Weather Data'!C254</f>
        <v>0</v>
      </c>
      <c r="E158" s="49">
        <v>31</v>
      </c>
      <c r="F158" s="9">
        <v>0</v>
      </c>
      <c r="G158" s="18">
        <f>'CDM Activity'!C90</f>
        <v>1183007.5961597601</v>
      </c>
      <c r="H158" s="37">
        <v>142.41238167654581</v>
      </c>
      <c r="I158" s="18">
        <f>'[11]CoS 2017 Load History'!F196+'[11]CoS 2017 Load History'!J196+'[11]CoS 2017 Load History'!O196+'[11]CoS 2017 Load History'!T196</f>
        <v>49849</v>
      </c>
      <c r="J158" s="9">
        <v>336</v>
      </c>
      <c r="K158" s="9">
        <f t="shared" si="1"/>
        <v>96744772.892354265</v>
      </c>
      <c r="L158" s="9"/>
    </row>
    <row r="159" spans="1:12">
      <c r="A159" s="2">
        <v>40909</v>
      </c>
      <c r="B159" s="12">
        <f>'[11]CoS 2017 Load History'!B197</f>
        <v>96362932.530000001</v>
      </c>
      <c r="C159" s="9">
        <f>'Weather Data'!B255</f>
        <v>865.69999999999993</v>
      </c>
      <c r="D159" s="9">
        <f>'Weather Data'!C255</f>
        <v>0</v>
      </c>
      <c r="E159" s="9">
        <v>31</v>
      </c>
      <c r="F159" s="9">
        <v>0</v>
      </c>
      <c r="G159" s="18">
        <f>'CDM Activity'!C91</f>
        <v>1185333.2797292848</v>
      </c>
      <c r="H159" s="37">
        <v>142.61257743956915</v>
      </c>
      <c r="I159" s="18">
        <f>'[11]CoS 2017 Load History'!F197+'[11]CoS 2017 Load History'!J197+'[11]CoS 2017 Load History'!O197+'[11]CoS 2017 Load History'!T197</f>
        <v>49701</v>
      </c>
      <c r="J159" s="9">
        <v>336</v>
      </c>
      <c r="K159" s="9">
        <f t="shared" si="1"/>
        <v>99709342.563520283</v>
      </c>
      <c r="L159" s="9"/>
    </row>
    <row r="160" spans="1:12">
      <c r="A160" s="2">
        <v>40940</v>
      </c>
      <c r="B160" s="12">
        <f>'[11]CoS 2017 Load History'!B198</f>
        <v>84314434.840000004</v>
      </c>
      <c r="C160" s="9">
        <f>'Weather Data'!B256</f>
        <v>693.8</v>
      </c>
      <c r="D160" s="9">
        <f>'Weather Data'!C256</f>
        <v>0</v>
      </c>
      <c r="E160" s="9">
        <v>29</v>
      </c>
      <c r="F160" s="9">
        <v>0</v>
      </c>
      <c r="G160" s="18">
        <f>'CDM Activity'!C92</f>
        <v>1187658.9632988095</v>
      </c>
      <c r="H160" s="37">
        <v>142.81305462716429</v>
      </c>
      <c r="I160" s="18">
        <f>'[11]CoS 2017 Load History'!F198+'[11]CoS 2017 Load History'!J198+'[11]CoS 2017 Load History'!O198+'[11]CoS 2017 Load History'!T198</f>
        <v>49720</v>
      </c>
      <c r="J160" s="9">
        <v>320</v>
      </c>
      <c r="K160" s="9">
        <f t="shared" si="1"/>
        <v>88865696.299772978</v>
      </c>
      <c r="L160" s="9"/>
    </row>
    <row r="161" spans="1:12">
      <c r="A161" s="2">
        <v>40969</v>
      </c>
      <c r="B161" s="12">
        <f>'[11]CoS 2017 Load History'!B199</f>
        <v>82417982.75</v>
      </c>
      <c r="C161" s="9">
        <f>'Weather Data'!B257</f>
        <v>525.4</v>
      </c>
      <c r="D161" s="9">
        <f>'Weather Data'!C257</f>
        <v>0</v>
      </c>
      <c r="E161" s="9">
        <v>31</v>
      </c>
      <c r="F161" s="9">
        <v>1</v>
      </c>
      <c r="G161" s="18">
        <f>'CDM Activity'!C93</f>
        <v>1189984.6468683342</v>
      </c>
      <c r="H161" s="37">
        <v>143.01381363494295</v>
      </c>
      <c r="I161" s="18">
        <f>'[11]CoS 2017 Load History'!F199+'[11]CoS 2017 Load History'!J199+'[11]CoS 2017 Load History'!O199+'[11]CoS 2017 Load History'!T199</f>
        <v>49730</v>
      </c>
      <c r="J161" s="9">
        <v>352</v>
      </c>
      <c r="K161" s="9">
        <f t="shared" si="1"/>
        <v>86044762.12411271</v>
      </c>
      <c r="L161" s="9"/>
    </row>
    <row r="162" spans="1:12">
      <c r="A162" s="2">
        <v>41000</v>
      </c>
      <c r="B162" s="12">
        <f>'[11]CoS 2017 Load History'!B200</f>
        <v>75267619.129999995</v>
      </c>
      <c r="C162" s="9">
        <f>'Weather Data'!B258</f>
        <v>434.89999999999986</v>
      </c>
      <c r="D162" s="9">
        <f>'Weather Data'!C258</f>
        <v>0</v>
      </c>
      <c r="E162" s="9">
        <v>30</v>
      </c>
      <c r="F162" s="9">
        <v>1</v>
      </c>
      <c r="G162" s="18">
        <f>'CDM Activity'!C94</f>
        <v>1192310.3304378588</v>
      </c>
      <c r="H162" s="37">
        <v>143.21485485907297</v>
      </c>
      <c r="I162" s="18">
        <f>'[11]CoS 2017 Load History'!F200+'[11]CoS 2017 Load History'!J200+'[11]CoS 2017 Load History'!O200+'[11]CoS 2017 Load History'!T200</f>
        <v>49696</v>
      </c>
      <c r="J162" s="9">
        <v>320</v>
      </c>
      <c r="K162" s="9">
        <f t="shared" si="1"/>
        <v>80479866.290760443</v>
      </c>
      <c r="L162" s="9"/>
    </row>
    <row r="163" spans="1:12">
      <c r="A163" s="2">
        <v>41030</v>
      </c>
      <c r="B163" s="12">
        <f>'[11]CoS 2017 Load History'!B201</f>
        <v>75427837.799999997</v>
      </c>
      <c r="C163" s="9">
        <f>'Weather Data'!B259</f>
        <v>227.10000000000002</v>
      </c>
      <c r="D163" s="9">
        <f>'Weather Data'!C259</f>
        <v>0</v>
      </c>
      <c r="E163" s="9">
        <v>31</v>
      </c>
      <c r="F163" s="9">
        <v>1</v>
      </c>
      <c r="G163" s="18">
        <f>'CDM Activity'!C95</f>
        <v>1194636.0140073835</v>
      </c>
      <c r="H163" s="37">
        <v>143.41617869627913</v>
      </c>
      <c r="I163" s="18">
        <f>'[11]CoS 2017 Load History'!F201+'[11]CoS 2017 Load History'!J201+'[11]CoS 2017 Load History'!O201+'[11]CoS 2017 Load History'!T201</f>
        <v>49607</v>
      </c>
      <c r="J163" s="9">
        <v>352</v>
      </c>
      <c r="K163" s="9">
        <f t="shared" si="1"/>
        <v>76800801.868084669</v>
      </c>
      <c r="L163" s="9"/>
    </row>
    <row r="164" spans="1:12">
      <c r="A164" s="2">
        <v>41061</v>
      </c>
      <c r="B164" s="12">
        <f>'[11]CoS 2017 Load History'!B202</f>
        <v>74326086.770000011</v>
      </c>
      <c r="C164" s="9">
        <f>'Weather Data'!B260</f>
        <v>64.900000000000006</v>
      </c>
      <c r="D164" s="9">
        <f>'Weather Data'!C260</f>
        <v>18.399999999999999</v>
      </c>
      <c r="E164" s="9">
        <v>30</v>
      </c>
      <c r="F164" s="9">
        <v>0</v>
      </c>
      <c r="G164" s="18">
        <f>'CDM Activity'!C96</f>
        <v>1196961.6975769082</v>
      </c>
      <c r="H164" s="37">
        <v>143.61778554384387</v>
      </c>
      <c r="I164" s="18">
        <f>'[11]CoS 2017 Load History'!F202+'[11]CoS 2017 Load History'!J202+'[11]CoS 2017 Load History'!O202+'[11]CoS 2017 Load History'!T202</f>
        <v>49720</v>
      </c>
      <c r="J164" s="9">
        <v>336</v>
      </c>
      <c r="K164" s="9">
        <f t="shared" si="1"/>
        <v>74934470.353616878</v>
      </c>
      <c r="L164" s="9"/>
    </row>
    <row r="165" spans="1:12">
      <c r="A165" s="2">
        <v>41091</v>
      </c>
      <c r="B165" s="12">
        <f>'[11]CoS 2017 Load History'!B203</f>
        <v>84621544.800000012</v>
      </c>
      <c r="C165" s="9">
        <f>'Weather Data'!B261</f>
        <v>6.8</v>
      </c>
      <c r="D165" s="9">
        <f>'Weather Data'!C261</f>
        <v>66.5</v>
      </c>
      <c r="E165" s="9">
        <v>31</v>
      </c>
      <c r="F165" s="9">
        <v>0</v>
      </c>
      <c r="G165" s="18">
        <f>'CDM Activity'!C97</f>
        <v>1199287.3811464328</v>
      </c>
      <c r="H165" s="37">
        <v>143.81967579960809</v>
      </c>
      <c r="I165" s="18">
        <f>'[11]CoS 2017 Load History'!F203+'[11]CoS 2017 Load History'!J203+'[11]CoS 2017 Load History'!O203+'[11]CoS 2017 Load History'!T203</f>
        <v>49729</v>
      </c>
      <c r="J165" s="9">
        <v>336</v>
      </c>
      <c r="K165" s="9">
        <f t="shared" si="1"/>
        <v>83204344.715965256</v>
      </c>
      <c r="L165" s="9"/>
    </row>
    <row r="166" spans="1:12">
      <c r="A166" s="2">
        <v>41122</v>
      </c>
      <c r="B166" s="12">
        <f>'[11]CoS 2017 Load History'!B204</f>
        <v>79262056.269999996</v>
      </c>
      <c r="C166" s="9">
        <f>'Weather Data'!B262</f>
        <v>38.499999999999986</v>
      </c>
      <c r="D166" s="9">
        <f>'Weather Data'!C262</f>
        <v>27.7</v>
      </c>
      <c r="E166" s="9">
        <v>31</v>
      </c>
      <c r="F166" s="9">
        <v>0</v>
      </c>
      <c r="G166" s="18">
        <f>'CDM Activity'!C98</f>
        <v>1201613.0647159575</v>
      </c>
      <c r="H166" s="37">
        <v>144.02184986197204</v>
      </c>
      <c r="I166" s="18">
        <f>'[11]CoS 2017 Load History'!F204+'[11]CoS 2017 Load History'!J204+'[11]CoS 2017 Load History'!O204+'[11]CoS 2017 Load History'!T204</f>
        <v>49763</v>
      </c>
      <c r="J166" s="9">
        <v>352</v>
      </c>
      <c r="K166" s="9">
        <f t="shared" si="1"/>
        <v>78281195.079053283</v>
      </c>
      <c r="L166" s="9"/>
    </row>
    <row r="167" spans="1:12">
      <c r="A167" s="2">
        <v>41153</v>
      </c>
      <c r="B167" s="12">
        <f>'[11]CoS 2017 Load History'!B205</f>
        <v>73268241.019999996</v>
      </c>
      <c r="C167" s="9">
        <f>'Weather Data'!B263</f>
        <v>213.49999999999997</v>
      </c>
      <c r="D167" s="9">
        <f>'Weather Data'!C263</f>
        <v>4</v>
      </c>
      <c r="E167" s="9">
        <v>30</v>
      </c>
      <c r="F167" s="9">
        <v>1</v>
      </c>
      <c r="G167" s="18">
        <f>'CDM Activity'!C99</f>
        <v>1203938.7482854822</v>
      </c>
      <c r="H167" s="37">
        <v>144.22430812989595</v>
      </c>
      <c r="I167" s="18">
        <f>'[11]CoS 2017 Load History'!F205+'[11]CoS 2017 Load History'!J205+'[11]CoS 2017 Load History'!O205+'[11]CoS 2017 Load History'!T205</f>
        <v>49801</v>
      </c>
      <c r="J167" s="9">
        <v>304</v>
      </c>
      <c r="K167" s="9">
        <f t="shared" si="1"/>
        <v>74211679.323758394</v>
      </c>
      <c r="L167" s="9"/>
    </row>
    <row r="168" spans="1:12">
      <c r="A168" s="2">
        <v>41183</v>
      </c>
      <c r="B168" s="12">
        <f>'[11]CoS 2017 Load History'!B206</f>
        <v>80136959.590000004</v>
      </c>
      <c r="C168" s="9">
        <f>'Weather Data'!B264</f>
        <v>395.80000000000007</v>
      </c>
      <c r="D168" s="9">
        <f>'Weather Data'!C264</f>
        <v>0</v>
      </c>
      <c r="E168" s="9">
        <v>31</v>
      </c>
      <c r="F168" s="9">
        <v>1</v>
      </c>
      <c r="G168" s="18">
        <f>'CDM Activity'!C100</f>
        <v>1206264.4318550068</v>
      </c>
      <c r="H168" s="37">
        <v>144.42705100290087</v>
      </c>
      <c r="I168" s="18">
        <f>'[11]CoS 2017 Load History'!F206+'[11]CoS 2017 Load History'!J206+'[11]CoS 2017 Load History'!O206+'[11]CoS 2017 Load History'!T206</f>
        <v>49827</v>
      </c>
      <c r="J168" s="9">
        <v>352</v>
      </c>
      <c r="K168" s="9">
        <f t="shared" si="1"/>
        <v>82001533.604509935</v>
      </c>
      <c r="L168" s="9"/>
    </row>
    <row r="169" spans="1:12">
      <c r="A169" s="2">
        <v>41214</v>
      </c>
      <c r="B169" s="12">
        <f>'[11]CoS 2017 Load History'!B207</f>
        <v>86049137.459999993</v>
      </c>
      <c r="C169" s="9">
        <f>'Weather Data'!B265</f>
        <v>600.80000000000007</v>
      </c>
      <c r="D169" s="9">
        <f>'Weather Data'!C265</f>
        <v>0</v>
      </c>
      <c r="E169" s="9">
        <v>30</v>
      </c>
      <c r="F169" s="9">
        <v>1</v>
      </c>
      <c r="G169" s="18">
        <f>'CDM Activity'!C101</f>
        <v>1208590.1154245315</v>
      </c>
      <c r="H169" s="37">
        <v>144.63007888106955</v>
      </c>
      <c r="I169" s="18">
        <f>'[11]CoS 2017 Load History'!F207+'[11]CoS 2017 Load History'!J207+'[11]CoS 2017 Load History'!O207+'[11]CoS 2017 Load History'!T207</f>
        <v>49926</v>
      </c>
      <c r="J169" s="9">
        <v>352</v>
      </c>
      <c r="K169" s="9">
        <f t="shared" si="1"/>
        <v>85585078.765475973</v>
      </c>
      <c r="L169" s="9"/>
    </row>
    <row r="170" spans="1:12">
      <c r="A170" s="2">
        <v>41244</v>
      </c>
      <c r="B170" s="12">
        <f>'[11]CoS 2017 Load History'!B208</f>
        <v>96001001.330000013</v>
      </c>
      <c r="C170" s="9">
        <f>'Weather Data'!B266</f>
        <v>793.69999999999993</v>
      </c>
      <c r="D170" s="9">
        <f>'Weather Data'!C266</f>
        <v>0</v>
      </c>
      <c r="E170" s="9">
        <v>31</v>
      </c>
      <c r="F170" s="9">
        <v>0</v>
      </c>
      <c r="G170" s="18">
        <f>'CDM Activity'!C102</f>
        <v>1210915.7989940562</v>
      </c>
      <c r="H170" s="37">
        <v>144.83339216504706</v>
      </c>
      <c r="I170" s="18">
        <f>'[11]CoS 2017 Load History'!F208+'[11]CoS 2017 Load History'!J208+'[11]CoS 2017 Load History'!O208+'[11]CoS 2017 Load History'!T208</f>
        <v>49967</v>
      </c>
      <c r="J170" s="9">
        <v>304</v>
      </c>
      <c r="K170" s="9">
        <f t="shared" si="1"/>
        <v>97431696.40320842</v>
      </c>
      <c r="L170" s="9"/>
    </row>
    <row r="171" spans="1:12">
      <c r="A171" s="2">
        <v>41275</v>
      </c>
      <c r="B171" s="12">
        <f>'[11]CoS 2017 Load History'!B209</f>
        <v>100742561.55</v>
      </c>
      <c r="C171" s="9">
        <f>'Weather Data'!B267</f>
        <v>928.40000000000009</v>
      </c>
      <c r="D171" s="9">
        <f>'Weather Data'!C267</f>
        <v>0</v>
      </c>
      <c r="E171" s="9">
        <v>31</v>
      </c>
      <c r="F171" s="9">
        <v>0</v>
      </c>
      <c r="G171" s="18">
        <f>'CDM Activity'!C103</f>
        <v>1283014.6291754271</v>
      </c>
      <c r="H171" s="37">
        <v>144.98936781896037</v>
      </c>
      <c r="I171" s="18">
        <f>'[11]CoS 2017 Load History'!F209+'[11]CoS 2017 Load History'!J209+'[11]CoS 2017 Load History'!O209+'[11]CoS 2017 Load History'!T209</f>
        <v>49978</v>
      </c>
      <c r="J171" s="9">
        <v>352</v>
      </c>
      <c r="K171" s="9">
        <f t="shared" si="1"/>
        <v>101464974.78345495</v>
      </c>
      <c r="L171" s="9"/>
    </row>
    <row r="172" spans="1:12">
      <c r="A172" s="2">
        <v>41306</v>
      </c>
      <c r="B172" s="12">
        <f>'[11]CoS 2017 Load History'!B210</f>
        <v>87803370.550000012</v>
      </c>
      <c r="C172" s="9">
        <f>'Weather Data'!B268</f>
        <v>866.59999999999991</v>
      </c>
      <c r="D172" s="9">
        <f>'Weather Data'!C268</f>
        <v>0</v>
      </c>
      <c r="E172" s="9">
        <v>28</v>
      </c>
      <c r="F172" s="9">
        <v>0</v>
      </c>
      <c r="G172" s="18">
        <f>'CDM Activity'!C104</f>
        <v>1355113.4593567981</v>
      </c>
      <c r="H172" s="37">
        <v>145.14551144798114</v>
      </c>
      <c r="I172" s="18">
        <f>'[11]CoS 2017 Load History'!F210+'[11]CoS 2017 Load History'!J210+'[11]CoS 2017 Load History'!O210+'[11]CoS 2017 Load History'!T210</f>
        <v>49970</v>
      </c>
      <c r="J172" s="9">
        <v>304</v>
      </c>
      <c r="K172" s="9">
        <f t="shared" si="1"/>
        <v>91138755.291903809</v>
      </c>
      <c r="L172" s="9"/>
    </row>
    <row r="173" spans="1:12">
      <c r="A173" s="2">
        <v>41334</v>
      </c>
      <c r="B173" s="12">
        <f>'[11]CoS 2017 Load History'!B211</f>
        <v>88977564.200000003</v>
      </c>
      <c r="C173" s="9">
        <f>'Weather Data'!B269</f>
        <v>767.3</v>
      </c>
      <c r="D173" s="9">
        <f>'Weather Data'!C269</f>
        <v>0</v>
      </c>
      <c r="E173" s="9">
        <v>31</v>
      </c>
      <c r="F173" s="9">
        <v>1</v>
      </c>
      <c r="G173" s="18">
        <f>'CDM Activity'!C105</f>
        <v>1427212.289538169</v>
      </c>
      <c r="H173" s="37">
        <v>145.30182323300707</v>
      </c>
      <c r="I173" s="18">
        <f>'[11]CoS 2017 Load History'!F211+'[11]CoS 2017 Load History'!J211+'[11]CoS 2017 Load History'!O211+'[11]CoS 2017 Load History'!T211</f>
        <v>49971</v>
      </c>
      <c r="J173" s="9">
        <v>320</v>
      </c>
      <c r="K173" s="9">
        <f t="shared" si="1"/>
        <v>93083265.586312458</v>
      </c>
      <c r="L173" s="9"/>
    </row>
    <row r="174" spans="1:12">
      <c r="A174" s="2">
        <v>41365</v>
      </c>
      <c r="B174" s="12">
        <f>'[11]CoS 2017 Load History'!B212</f>
        <v>81321825.219999999</v>
      </c>
      <c r="C174" s="9">
        <f>'Weather Data'!B270</f>
        <v>524.79999999999995</v>
      </c>
      <c r="D174" s="9">
        <f>'Weather Data'!C270</f>
        <v>0</v>
      </c>
      <c r="E174" s="9">
        <v>30</v>
      </c>
      <c r="F174" s="9">
        <v>1</v>
      </c>
      <c r="G174" s="18">
        <f>'CDM Activity'!C106</f>
        <v>1499311.11971954</v>
      </c>
      <c r="H174" s="37">
        <v>145.45830335513068</v>
      </c>
      <c r="I174" s="18">
        <f>'[11]CoS 2017 Load History'!F212+'[11]CoS 2017 Load History'!J212+'[11]CoS 2017 Load History'!O212+'[11]CoS 2017 Load History'!T212</f>
        <v>49931</v>
      </c>
      <c r="J174" s="9">
        <v>352</v>
      </c>
      <c r="K174" s="9">
        <f t="shared" si="1"/>
        <v>82680064.784491003</v>
      </c>
      <c r="L174" s="9"/>
    </row>
    <row r="175" spans="1:12">
      <c r="A175" s="2">
        <v>41395</v>
      </c>
      <c r="B175" s="12">
        <f>'[11]CoS 2017 Load History'!B213</f>
        <v>75975788.390000001</v>
      </c>
      <c r="C175" s="9">
        <f>'Weather Data'!B271</f>
        <v>325.3</v>
      </c>
      <c r="D175" s="9">
        <f>'Weather Data'!C271</f>
        <v>0</v>
      </c>
      <c r="E175" s="9">
        <v>31</v>
      </c>
      <c r="F175" s="9">
        <v>1</v>
      </c>
      <c r="G175" s="18">
        <f>'CDM Activity'!C107</f>
        <v>1571409.949900911</v>
      </c>
      <c r="H175" s="37">
        <v>145.6149519956395</v>
      </c>
      <c r="I175" s="18">
        <f>'[11]CoS 2017 Load History'!F213+'[11]CoS 2017 Load History'!J213+'[11]CoS 2017 Load History'!O213+'[11]CoS 2017 Load History'!T213</f>
        <v>49930</v>
      </c>
      <c r="J175" s="9">
        <v>352</v>
      </c>
      <c r="K175" s="9">
        <f t="shared" si="1"/>
        <v>79125453.73984091</v>
      </c>
      <c r="L175" s="9"/>
    </row>
    <row r="176" spans="1:12">
      <c r="A176" s="2">
        <v>41426</v>
      </c>
      <c r="B176" s="12">
        <f>'[11]CoS 2017 Load History'!B214</f>
        <v>70340752.849999994</v>
      </c>
      <c r="C176" s="9">
        <f>'Weather Data'!B272</f>
        <v>130.9</v>
      </c>
      <c r="D176" s="9">
        <f>'Weather Data'!C272</f>
        <v>5.5</v>
      </c>
      <c r="E176" s="9">
        <v>30</v>
      </c>
      <c r="F176" s="9">
        <v>0</v>
      </c>
      <c r="G176" s="18">
        <f>'CDM Activity'!C108</f>
        <v>1643508.7800822819</v>
      </c>
      <c r="H176" s="37">
        <v>145.77176933601632</v>
      </c>
      <c r="I176" s="18">
        <f>'[11]CoS 2017 Load History'!F214+'[11]CoS 2017 Load History'!J214+'[11]CoS 2017 Load History'!O214+'[11]CoS 2017 Load History'!T214</f>
        <v>49936</v>
      </c>
      <c r="J176" s="9">
        <v>320</v>
      </c>
      <c r="K176" s="9">
        <f t="shared" si="1"/>
        <v>74168084.130600154</v>
      </c>
      <c r="L176" s="9"/>
    </row>
    <row r="177" spans="1:13">
      <c r="A177" s="2">
        <v>41456</v>
      </c>
      <c r="B177" s="12">
        <f>'[11]CoS 2017 Load History'!B215</f>
        <v>75472199.179999992</v>
      </c>
      <c r="C177" s="9">
        <f>'Weather Data'!B273</f>
        <v>60.7</v>
      </c>
      <c r="D177" s="9">
        <f>'Weather Data'!C273</f>
        <v>28.000000000000007</v>
      </c>
      <c r="E177" s="9">
        <v>31</v>
      </c>
      <c r="F177" s="9">
        <v>0</v>
      </c>
      <c r="G177" s="18">
        <f>'CDM Activity'!C109</f>
        <v>1715607.6102636529</v>
      </c>
      <c r="H177" s="37">
        <v>145.92875555793933</v>
      </c>
      <c r="I177" s="18">
        <f>'[11]CoS 2017 Load History'!F215+'[11]CoS 2017 Load History'!J215+'[11]CoS 2017 Load History'!O215+'[11]CoS 2017 Load History'!T215</f>
        <v>49957</v>
      </c>
      <c r="J177" s="9">
        <v>352</v>
      </c>
      <c r="K177" s="9">
        <f t="shared" si="1"/>
        <v>78037968.999849841</v>
      </c>
      <c r="L177" s="9"/>
    </row>
    <row r="178" spans="1:13">
      <c r="A178" s="2">
        <v>41487</v>
      </c>
      <c r="B178" s="12">
        <f>'[11]CoS 2017 Load History'!B216</f>
        <v>77813866.24000001</v>
      </c>
      <c r="C178" s="9">
        <f>'Weather Data'!B274</f>
        <v>45.8</v>
      </c>
      <c r="D178" s="9">
        <f>'Weather Data'!C274</f>
        <v>41.8</v>
      </c>
      <c r="E178" s="9">
        <v>31</v>
      </c>
      <c r="F178" s="9">
        <v>0</v>
      </c>
      <c r="G178" s="18">
        <f>'CDM Activity'!C110</f>
        <v>1787706.4404450238</v>
      </c>
      <c r="H178" s="37">
        <v>146.08591084328242</v>
      </c>
      <c r="I178" s="18">
        <f>'[11]CoS 2017 Load History'!F216+'[11]CoS 2017 Load History'!J216+'[11]CoS 2017 Load History'!O216+'[11]CoS 2017 Load History'!T216</f>
        <v>49994</v>
      </c>
      <c r="J178" s="9">
        <v>336</v>
      </c>
      <c r="K178" s="9">
        <f t="shared" si="1"/>
        <v>79538255.508934841</v>
      </c>
      <c r="L178" s="9"/>
    </row>
    <row r="179" spans="1:13">
      <c r="A179" s="2">
        <v>41518</v>
      </c>
      <c r="B179" s="12">
        <f>'[11]CoS 2017 Load History'!B217</f>
        <v>72027468.810000002</v>
      </c>
      <c r="C179" s="9">
        <f>'Weather Data'!B275</f>
        <v>178.79999999999995</v>
      </c>
      <c r="D179" s="9">
        <f>'Weather Data'!C275</f>
        <v>0</v>
      </c>
      <c r="E179" s="9">
        <v>30</v>
      </c>
      <c r="F179" s="9">
        <v>1</v>
      </c>
      <c r="G179" s="18">
        <f>'CDM Activity'!C111</f>
        <v>1859805.2706263948</v>
      </c>
      <c r="H179" s="37">
        <v>146.2432353741153</v>
      </c>
      <c r="I179" s="18">
        <f>'[11]CoS 2017 Load History'!F217+'[11]CoS 2017 Load History'!J217+'[11]CoS 2017 Load History'!O217+'[11]CoS 2017 Load History'!T217</f>
        <v>50018</v>
      </c>
      <c r="J179" s="9">
        <v>320</v>
      </c>
      <c r="K179" s="9">
        <f t="shared" si="1"/>
        <v>71283561.275545955</v>
      </c>
      <c r="L179" s="9"/>
    </row>
    <row r="180" spans="1:13">
      <c r="A180" s="2">
        <v>41548</v>
      </c>
      <c r="B180" s="12">
        <f>'[11]CoS 2017 Load History'!B218</f>
        <v>78971713.049999997</v>
      </c>
      <c r="C180" s="9">
        <f>'Weather Data'!B276</f>
        <v>328.50000000000006</v>
      </c>
      <c r="D180" s="9">
        <f>'Weather Data'!C276</f>
        <v>0</v>
      </c>
      <c r="E180" s="9">
        <v>31</v>
      </c>
      <c r="F180" s="9">
        <v>1</v>
      </c>
      <c r="G180" s="18">
        <f>'CDM Activity'!C112</f>
        <v>1931904.1008077657</v>
      </c>
      <c r="H180" s="37">
        <v>146.4007293327038</v>
      </c>
      <c r="I180" s="18">
        <f>'[11]CoS 2017 Load History'!F218+'[11]CoS 2017 Load History'!J218+'[11]CoS 2017 Load History'!O218+'[11]CoS 2017 Load History'!T218</f>
        <v>50052</v>
      </c>
      <c r="J180" s="9">
        <v>352</v>
      </c>
      <c r="K180" s="9">
        <f t="shared" si="1"/>
        <v>78539899.791694358</v>
      </c>
      <c r="L180" s="9"/>
    </row>
    <row r="181" spans="1:13">
      <c r="A181" s="2">
        <v>41579</v>
      </c>
      <c r="B181" s="12">
        <f>'[11]CoS 2017 Load History'!B219</f>
        <v>86289297.910000011</v>
      </c>
      <c r="C181" s="9">
        <f>'Weather Data'!B277</f>
        <v>620.6</v>
      </c>
      <c r="D181" s="9">
        <f>'Weather Data'!C277</f>
        <v>0</v>
      </c>
      <c r="E181" s="9">
        <v>30</v>
      </c>
      <c r="F181" s="9">
        <v>1</v>
      </c>
      <c r="G181" s="18">
        <f>'CDM Activity'!C113</f>
        <v>2004002.9309891367</v>
      </c>
      <c r="H181" s="37">
        <v>146.55839290151005</v>
      </c>
      <c r="I181" s="18">
        <f>'[11]CoS 2017 Load History'!F219+'[11]CoS 2017 Load History'!J219+'[11]CoS 2017 Load History'!O219+'[11]CoS 2017 Load History'!T219</f>
        <v>50136</v>
      </c>
      <c r="J181" s="9">
        <v>336</v>
      </c>
      <c r="K181" s="9">
        <f t="shared" si="1"/>
        <v>84687482.595837623</v>
      </c>
      <c r="L181" s="9"/>
    </row>
    <row r="182" spans="1:13">
      <c r="A182" s="2">
        <v>41609</v>
      </c>
      <c r="B182" s="12">
        <f>'[11]CoS 2017 Load History'!B220</f>
        <v>106198270.91</v>
      </c>
      <c r="C182" s="9">
        <f>'Weather Data'!B278</f>
        <v>1112.8999999999999</v>
      </c>
      <c r="D182" s="9">
        <f>'Weather Data'!C278</f>
        <v>0</v>
      </c>
      <c r="E182" s="9">
        <v>31</v>
      </c>
      <c r="F182" s="9">
        <v>0</v>
      </c>
      <c r="G182" s="18">
        <f>'CDM Activity'!C114</f>
        <v>2076101.7611705076</v>
      </c>
      <c r="H182" s="37">
        <v>146.71622626319265</v>
      </c>
      <c r="I182" s="18">
        <f>'[11]CoS 2017 Load History'!F220+'[11]CoS 2017 Load History'!J220+'[11]CoS 2017 Load History'!O220+'[11]CoS 2017 Load History'!T220</f>
        <v>50149</v>
      </c>
      <c r="J182" s="9">
        <v>320</v>
      </c>
      <c r="K182" s="9">
        <f t="shared" si="1"/>
        <v>105670774.16471268</v>
      </c>
      <c r="L182" s="9"/>
    </row>
    <row r="183" spans="1:13">
      <c r="A183" s="2">
        <v>41640</v>
      </c>
      <c r="B183" s="12">
        <f>'[11]CoS 2017 Load History'!B221</f>
        <v>107146866.07999998</v>
      </c>
      <c r="C183" s="9">
        <f>'Weather Data'!B279</f>
        <v>1119.5999999999997</v>
      </c>
      <c r="D183" s="9">
        <f>'Weather Data'!C279</f>
        <v>0</v>
      </c>
      <c r="E183" s="18">
        <v>31</v>
      </c>
      <c r="F183" s="9">
        <v>0</v>
      </c>
      <c r="G183" s="18">
        <f>'CDM Activity'!C115</f>
        <v>2133588.2881600852</v>
      </c>
      <c r="H183" s="37">
        <v>147.04232175221028</v>
      </c>
      <c r="I183" s="18">
        <f>'[11]CoS 2017 Load History'!F221+'[11]CoS 2017 Load History'!J221+'[11]CoS 2017 Load History'!O221+'[11]CoS 2017 Load History'!T221</f>
        <v>50155.5</v>
      </c>
      <c r="J183" s="215">
        <v>352</v>
      </c>
      <c r="K183" s="9">
        <f t="shared" si="1"/>
        <v>105769026.66011928</v>
      </c>
      <c r="L183" s="9"/>
      <c r="M183" s="101"/>
    </row>
    <row r="184" spans="1:13">
      <c r="A184" s="2">
        <v>41671</v>
      </c>
      <c r="B184" s="12">
        <f>'[11]CoS 2017 Load History'!B222</f>
        <v>92061740.489999995</v>
      </c>
      <c r="C184" s="9">
        <f>'Weather Data'!B280</f>
        <v>978.39999999999986</v>
      </c>
      <c r="D184" s="9">
        <f>'Weather Data'!C280</f>
        <v>0</v>
      </c>
      <c r="E184" s="18">
        <v>28</v>
      </c>
      <c r="F184" s="9">
        <v>0</v>
      </c>
      <c r="G184" s="18">
        <f>'CDM Activity'!C116</f>
        <v>2191074.8151496626</v>
      </c>
      <c r="H184" s="37">
        <v>147.36914202996238</v>
      </c>
      <c r="I184" s="18">
        <f>'[11]CoS 2017 Load History'!F222+'[11]CoS 2017 Load History'!J222+'[11]CoS 2017 Load History'!O222+'[11]CoS 2017 Load History'!T222</f>
        <v>50176.25</v>
      </c>
      <c r="J184" s="215">
        <v>304</v>
      </c>
      <c r="K184" s="9">
        <f t="shared" si="1"/>
        <v>93012397.975179538</v>
      </c>
      <c r="L184" s="9"/>
      <c r="M184" s="101"/>
    </row>
    <row r="185" spans="1:13">
      <c r="A185" s="2">
        <v>41699</v>
      </c>
      <c r="B185" s="12">
        <f>'[11]CoS 2017 Load History'!B223</f>
        <v>92598932.820000008</v>
      </c>
      <c r="C185" s="9">
        <f>'Weather Data'!B281</f>
        <v>883.5</v>
      </c>
      <c r="D185" s="9">
        <f>'Weather Data'!C281</f>
        <v>0</v>
      </c>
      <c r="E185" s="18">
        <v>31</v>
      </c>
      <c r="F185" s="9">
        <v>1</v>
      </c>
      <c r="G185" s="18">
        <f>'CDM Activity'!C117</f>
        <v>2248561.3421392399</v>
      </c>
      <c r="H185" s="37">
        <v>147.69668870738414</v>
      </c>
      <c r="I185" s="18">
        <f>'[11]CoS 2017 Load History'!F223+'[11]CoS 2017 Load History'!J223+'[11]CoS 2017 Load History'!O223+'[11]CoS 2017 Load History'!T223</f>
        <v>50188.125</v>
      </c>
      <c r="J185" s="215">
        <v>336</v>
      </c>
      <c r="K185" s="9">
        <f t="shared" si="1"/>
        <v>95120879.297261775</v>
      </c>
      <c r="L185" s="9"/>
      <c r="M185" s="101"/>
    </row>
    <row r="186" spans="1:13">
      <c r="A186" s="2">
        <v>41730</v>
      </c>
      <c r="B186" s="12">
        <f>'[11]CoS 2017 Load History'!B224</f>
        <v>79652300.269999996</v>
      </c>
      <c r="C186" s="9">
        <f>'Weather Data'!B282</f>
        <v>522.9</v>
      </c>
      <c r="D186" s="9">
        <f>'Weather Data'!C282</f>
        <v>0</v>
      </c>
      <c r="E186" s="18">
        <v>30</v>
      </c>
      <c r="F186" s="9">
        <v>1</v>
      </c>
      <c r="G186" s="18">
        <f>'CDM Activity'!C118</f>
        <v>2306047.8691288172</v>
      </c>
      <c r="H186" s="37">
        <v>148.02496339899133</v>
      </c>
      <c r="I186" s="18">
        <f>'[11]CoS 2017 Load History'!F224+'[11]CoS 2017 Load History'!J224+'[11]CoS 2017 Load History'!O224+'[11]CoS 2017 Load History'!T224</f>
        <v>50172.5625</v>
      </c>
      <c r="J186" s="215">
        <v>320</v>
      </c>
      <c r="K186" s="9">
        <f t="shared" si="1"/>
        <v>81089148.603303432</v>
      </c>
      <c r="L186" s="9"/>
      <c r="M186" s="101"/>
    </row>
    <row r="187" spans="1:13">
      <c r="A187" s="2">
        <v>41760</v>
      </c>
      <c r="B187" s="12">
        <f>'[11]CoS 2017 Load History'!B225</f>
        <v>75973559.25</v>
      </c>
      <c r="C187" s="9">
        <f>'Weather Data'!B283</f>
        <v>266.90000000000003</v>
      </c>
      <c r="D187" s="9">
        <f>'Weather Data'!C283</f>
        <v>1.1000000000000001</v>
      </c>
      <c r="E187" s="18">
        <v>31</v>
      </c>
      <c r="F187" s="9">
        <v>1</v>
      </c>
      <c r="G187" s="18">
        <f>'CDM Activity'!C119</f>
        <v>2363534.3961183946</v>
      </c>
      <c r="H187" s="37">
        <v>148.35396772288814</v>
      </c>
      <c r="I187" s="18">
        <f>'[11]CoS 2017 Load History'!F225+'[11]CoS 2017 Load History'!J225+'[11]CoS 2017 Load History'!O225+'[11]CoS 2017 Load History'!T225</f>
        <v>50162.28125</v>
      </c>
      <c r="J187" s="215">
        <v>336</v>
      </c>
      <c r="K187" s="9">
        <f t="shared" si="1"/>
        <v>75980365.831933469</v>
      </c>
      <c r="L187" s="9"/>
      <c r="M187" s="101"/>
    </row>
    <row r="188" spans="1:13">
      <c r="A188" s="2">
        <v>41791</v>
      </c>
      <c r="B188" s="12">
        <f>'[11]CoS 2017 Load History'!B226</f>
        <v>71106323.5</v>
      </c>
      <c r="C188" s="9">
        <f>'Weather Data'!B284</f>
        <v>135.19999999999999</v>
      </c>
      <c r="D188" s="9">
        <f>'Weather Data'!C284</f>
        <v>6</v>
      </c>
      <c r="E188" s="18">
        <v>30</v>
      </c>
      <c r="F188" s="9">
        <v>0</v>
      </c>
      <c r="G188" s="18">
        <f>'CDM Activity'!C120</f>
        <v>2421020.9231079719</v>
      </c>
      <c r="H188" s="37">
        <v>148.68370330077519</v>
      </c>
      <c r="I188" s="18">
        <f>'[11]CoS 2017 Load History'!F226+'[11]CoS 2017 Load History'!J226+'[11]CoS 2017 Load History'!O226+'[11]CoS 2017 Load History'!T226</f>
        <v>50165.140625</v>
      </c>
      <c r="J188" s="215">
        <v>336</v>
      </c>
      <c r="K188" s="9">
        <f t="shared" si="1"/>
        <v>72900648.829776227</v>
      </c>
      <c r="L188" s="9"/>
      <c r="M188" s="101"/>
    </row>
    <row r="189" spans="1:13">
      <c r="A189" s="2">
        <v>41821</v>
      </c>
      <c r="B189" s="12">
        <f>'[11]CoS 2017 Load History'!B227</f>
        <v>74522468.280000001</v>
      </c>
      <c r="C189" s="9">
        <f>'Weather Data'!B285</f>
        <v>47.199999999999989</v>
      </c>
      <c r="D189" s="9">
        <f>'Weather Data'!C285</f>
        <v>9.5</v>
      </c>
      <c r="E189" s="18">
        <v>31</v>
      </c>
      <c r="F189" s="9">
        <v>0</v>
      </c>
      <c r="G189" s="18">
        <f>'CDM Activity'!C121</f>
        <v>2478507.4500975492</v>
      </c>
      <c r="H189" s="37">
        <v>149.0141717579576</v>
      </c>
      <c r="I189" s="18">
        <f>'[11]CoS 2017 Load History'!F227+'[11]CoS 2017 Load History'!J227+'[11]CoS 2017 Load History'!O227+'[11]CoS 2017 Load History'!T227</f>
        <v>50150.5703125</v>
      </c>
      <c r="J189" s="215">
        <v>352</v>
      </c>
      <c r="K189" s="9">
        <f t="shared" si="1"/>
        <v>73357967.243035555</v>
      </c>
      <c r="L189" s="9"/>
      <c r="M189" s="101"/>
    </row>
    <row r="190" spans="1:13">
      <c r="A190" s="2">
        <v>41852</v>
      </c>
      <c r="B190" s="12">
        <f>'[11]CoS 2017 Load History'!B228</f>
        <v>74414540.200000003</v>
      </c>
      <c r="C190" s="9">
        <f>'Weather Data'!B286</f>
        <v>65.200000000000017</v>
      </c>
      <c r="D190" s="9">
        <f>'Weather Data'!C286</f>
        <v>10.099999999999998</v>
      </c>
      <c r="E190" s="18">
        <v>31</v>
      </c>
      <c r="F190" s="9">
        <v>0</v>
      </c>
      <c r="G190" s="18">
        <f>'CDM Activity'!C122</f>
        <v>2535993.9770871266</v>
      </c>
      <c r="H190" s="37">
        <v>149.34537472335285</v>
      </c>
      <c r="I190" s="18">
        <f>'[11]CoS 2017 Load History'!F228+'[11]CoS 2017 Load History'!J228+'[11]CoS 2017 Load History'!O228+'[11]CoS 2017 Load History'!T228</f>
        <v>50160.78515625</v>
      </c>
      <c r="J190" s="215">
        <v>320</v>
      </c>
      <c r="K190" s="9">
        <f t="shared" si="1"/>
        <v>73897297.86530821</v>
      </c>
      <c r="L190" s="9"/>
      <c r="M190" s="101"/>
    </row>
    <row r="191" spans="1:13">
      <c r="A191" s="2">
        <v>41883</v>
      </c>
      <c r="B191" s="12">
        <f>'[11]CoS 2017 Load History'!B229</f>
        <v>72064603.819999993</v>
      </c>
      <c r="C191" s="9">
        <f>'Weather Data'!B287</f>
        <v>196.5</v>
      </c>
      <c r="D191" s="9">
        <f>'Weather Data'!C287</f>
        <v>0</v>
      </c>
      <c r="E191" s="18">
        <v>30</v>
      </c>
      <c r="F191" s="9">
        <v>1</v>
      </c>
      <c r="G191" s="18">
        <f>'CDM Activity'!C123</f>
        <v>2593480.5040767039</v>
      </c>
      <c r="H191" s="37">
        <v>149.67731382949896</v>
      </c>
      <c r="I191" s="18">
        <f>'[11]CoS 2017 Load History'!F229+'[11]CoS 2017 Load History'!J229+'[11]CoS 2017 Load History'!O229+'[11]CoS 2017 Load History'!T229</f>
        <v>50190.892578125</v>
      </c>
      <c r="J191" s="215">
        <v>336</v>
      </c>
      <c r="K191" s="9">
        <f t="shared" si="1"/>
        <v>70438198.17388919</v>
      </c>
      <c r="L191" s="9"/>
      <c r="M191" s="101"/>
    </row>
    <row r="192" spans="1:13">
      <c r="A192" s="2">
        <v>41913</v>
      </c>
      <c r="B192" s="12">
        <f>'[11]CoS 2017 Load History'!B230</f>
        <v>77862698.569999993</v>
      </c>
      <c r="C192" s="9">
        <f>'Weather Data'!B288</f>
        <v>382.59999999999997</v>
      </c>
      <c r="D192" s="9">
        <f>'Weather Data'!C288</f>
        <v>0</v>
      </c>
      <c r="E192" s="18">
        <v>31</v>
      </c>
      <c r="F192" s="9">
        <v>1</v>
      </c>
      <c r="G192" s="18">
        <f>'CDM Activity'!C124</f>
        <v>2650967.0310662813</v>
      </c>
      <c r="H192" s="37">
        <v>150.00999071256246</v>
      </c>
      <c r="I192" s="18">
        <f>'[11]CoS 2017 Load History'!F230+'[11]CoS 2017 Load History'!J230+'[11]CoS 2017 Load History'!O230+'[11]CoS 2017 Load History'!T230</f>
        <v>50233.9462890625</v>
      </c>
      <c r="J192" s="215">
        <v>352</v>
      </c>
      <c r="K192" s="9">
        <f t="shared" si="1"/>
        <v>78849201.835539207</v>
      </c>
      <c r="L192" s="9"/>
      <c r="M192" s="101"/>
    </row>
    <row r="193" spans="1:13">
      <c r="A193" s="2">
        <v>41944</v>
      </c>
      <c r="B193" s="12">
        <f>'[11]CoS 2017 Load History'!B231</f>
        <v>89145933.010000005</v>
      </c>
      <c r="C193" s="9">
        <f>'Weather Data'!B289</f>
        <v>647.79999999999995</v>
      </c>
      <c r="D193" s="9">
        <f>'Weather Data'!C289</f>
        <v>0</v>
      </c>
      <c r="E193" s="18">
        <v>30</v>
      </c>
      <c r="F193" s="9">
        <v>1</v>
      </c>
      <c r="G193" s="18">
        <f>'CDM Activity'!C125</f>
        <v>2708453.5580558586</v>
      </c>
      <c r="H193" s="37">
        <v>150.34340701234646</v>
      </c>
      <c r="I193" s="18">
        <f>'[11]CoS 2017 Load History'!F231+'[11]CoS 2017 Load History'!J231+'[11]CoS 2017 Load History'!O231+'[11]CoS 2017 Load History'!T231</f>
        <v>50293.47314453125</v>
      </c>
      <c r="J193" s="215">
        <v>304</v>
      </c>
      <c r="K193" s="9">
        <f t="shared" si="1"/>
        <v>84191732.983355492</v>
      </c>
      <c r="L193" s="9"/>
      <c r="M193" s="101"/>
    </row>
    <row r="194" spans="1:13">
      <c r="A194" s="2">
        <v>41974</v>
      </c>
      <c r="B194" s="12">
        <f>'[11]CoS 2017 Load History'!B232</f>
        <v>95713970.549999997</v>
      </c>
      <c r="C194" s="9">
        <f>'Weather Data'!B290</f>
        <v>780.59999999999991</v>
      </c>
      <c r="D194" s="9">
        <f>'Weather Data'!C290</f>
        <v>0</v>
      </c>
      <c r="E194" s="18">
        <v>31</v>
      </c>
      <c r="F194" s="9">
        <v>0</v>
      </c>
      <c r="G194" s="18">
        <f>'CDM Activity'!C126</f>
        <v>2765940.0850454359</v>
      </c>
      <c r="H194" s="37">
        <v>150.67756437229883</v>
      </c>
      <c r="I194" s="18">
        <f>'[11]CoS 2017 Load History'!F232+'[11]CoS 2017 Load History'!J232+'[11]CoS 2017 Load History'!O232+'[11]CoS 2017 Load History'!T232</f>
        <v>50341.236572265625</v>
      </c>
      <c r="J194" s="215">
        <v>336</v>
      </c>
      <c r="K194" s="9">
        <f t="shared" si="1"/>
        <v>94072945.908728391</v>
      </c>
      <c r="L194" s="9"/>
      <c r="M194" s="101"/>
    </row>
    <row r="195" spans="1:13">
      <c r="A195" s="2">
        <v>42005</v>
      </c>
      <c r="B195" s="12">
        <f>'[11]CoS 2017 Load History'!B233</f>
        <v>101629309.98</v>
      </c>
      <c r="C195" s="9">
        <f>'Weather Data'!B291</f>
        <v>979.49999999999989</v>
      </c>
      <c r="D195" s="9">
        <f>'Weather Data'!C291</f>
        <v>0</v>
      </c>
      <c r="E195" s="18">
        <v>31</v>
      </c>
      <c r="F195" s="9">
        <v>0</v>
      </c>
      <c r="G195" s="18">
        <f>'CDM Activity'!C127</f>
        <v>2888305.2719215024</v>
      </c>
      <c r="H195" s="37">
        <v>150.98793548444445</v>
      </c>
      <c r="I195" s="18">
        <f>'[11]CoS 2017 Load History'!F233+'[11]CoS 2017 Load History'!J233+'[11]CoS 2017 Load History'!O233+'[11]CoS 2017 Load History'!T233</f>
        <v>50364.118408203125</v>
      </c>
      <c r="J195" s="215">
        <v>336</v>
      </c>
      <c r="K195" s="9">
        <f t="shared" si="1"/>
        <v>99998342.281374127</v>
      </c>
      <c r="L195" s="9"/>
      <c r="M195" s="101"/>
    </row>
    <row r="196" spans="1:13">
      <c r="A196" s="2">
        <v>42036</v>
      </c>
      <c r="B196" s="12">
        <f>'[11]CoS 2017 Load History'!B234</f>
        <v>93864611.309999987</v>
      </c>
      <c r="C196" s="9">
        <f>'Weather Data'!B292</f>
        <v>1053.3</v>
      </c>
      <c r="D196" s="9">
        <f>'Weather Data'!C292</f>
        <v>0</v>
      </c>
      <c r="E196" s="18">
        <v>28</v>
      </c>
      <c r="F196" s="9">
        <v>0</v>
      </c>
      <c r="G196" s="18">
        <f>'CDM Activity'!C128</f>
        <v>3010670.4587975689</v>
      </c>
      <c r="H196" s="37">
        <v>151.298945910264</v>
      </c>
      <c r="I196" s="18">
        <f>'[11]CoS 2017 Load History'!F234+'[11]CoS 2017 Load History'!J234+'[11]CoS 2017 Load History'!O234+'[11]CoS 2017 Load History'!T234</f>
        <v>50376.559204101563</v>
      </c>
      <c r="J196" s="215">
        <v>304</v>
      </c>
      <c r="K196" s="9">
        <f t="shared" si="1"/>
        <v>93774727.032626003</v>
      </c>
      <c r="L196" s="9"/>
      <c r="M196" s="101"/>
    </row>
    <row r="197" spans="1:13">
      <c r="A197" s="2">
        <v>42064</v>
      </c>
      <c r="B197" s="12">
        <f>'[11]CoS 2017 Load History'!B235</f>
        <v>87162071.520000011</v>
      </c>
      <c r="C197" s="9">
        <f>'Weather Data'!B293</f>
        <v>710.39999999999986</v>
      </c>
      <c r="D197" s="9">
        <f>'Weather Data'!C293</f>
        <v>0</v>
      </c>
      <c r="E197" s="18">
        <v>31</v>
      </c>
      <c r="F197" s="9">
        <v>1</v>
      </c>
      <c r="G197" s="18">
        <f>'CDM Activity'!C129</f>
        <v>3133035.6456736354</v>
      </c>
      <c r="H197" s="37">
        <v>151.61059696663892</v>
      </c>
      <c r="I197" s="18">
        <f>'[11]CoS 2017 Load History'!F235+'[11]CoS 2017 Load History'!J235+'[11]CoS 2017 Load History'!O235+'[11]CoS 2017 Load History'!T235</f>
        <v>50371.779602050781</v>
      </c>
      <c r="J197" s="215">
        <v>352</v>
      </c>
      <c r="K197" s="9">
        <f t="shared" si="1"/>
        <v>88082116.273575366</v>
      </c>
      <c r="L197" s="9"/>
      <c r="M197" s="101"/>
    </row>
    <row r="198" spans="1:13">
      <c r="A198" s="2">
        <v>42095</v>
      </c>
      <c r="B198" s="12">
        <f>'[11]CoS 2017 Load History'!B236</f>
        <v>76969576.420000002</v>
      </c>
      <c r="C198" s="9">
        <f>'Weather Data'!B294</f>
        <v>432.09999999999997</v>
      </c>
      <c r="D198" s="9">
        <f>'Weather Data'!C294</f>
        <v>0</v>
      </c>
      <c r="E198" s="18">
        <v>30</v>
      </c>
      <c r="F198" s="9">
        <v>1</v>
      </c>
      <c r="G198" s="18">
        <f>'CDM Activity'!C130</f>
        <v>3255400.8325497019</v>
      </c>
      <c r="H198" s="37">
        <v>151.92288997316331</v>
      </c>
      <c r="I198" s="18">
        <f>'[11]CoS 2017 Load History'!F236+'[11]CoS 2017 Load History'!J236+'[11]CoS 2017 Load History'!O236+'[11]CoS 2017 Load History'!T236</f>
        <v>50348.889801025391</v>
      </c>
      <c r="J198" s="215">
        <v>336</v>
      </c>
      <c r="K198" s="9">
        <f t="shared" si="1"/>
        <v>76475114.345940515</v>
      </c>
      <c r="L198" s="9"/>
      <c r="M198" s="101"/>
    </row>
    <row r="199" spans="1:13">
      <c r="A199" s="2">
        <v>42125</v>
      </c>
      <c r="B199" s="12">
        <f>'[11]CoS 2017 Load History'!B237</f>
        <v>73637825.109999999</v>
      </c>
      <c r="C199" s="9">
        <f>'Weather Data'!B295</f>
        <v>276</v>
      </c>
      <c r="D199" s="9">
        <f>'Weather Data'!C295</f>
        <v>0</v>
      </c>
      <c r="E199" s="18">
        <v>31</v>
      </c>
      <c r="F199" s="9">
        <v>1</v>
      </c>
      <c r="G199" s="18">
        <f>'CDM Activity'!C131</f>
        <v>3377766.0194257684</v>
      </c>
      <c r="H199" s="37">
        <v>152.23582625214937</v>
      </c>
      <c r="I199" s="18">
        <f>'[11]CoS 2017 Load History'!F237+'[11]CoS 2017 Load History'!J237+'[11]CoS 2017 Load History'!O237+'[11]CoS 2017 Load History'!T237</f>
        <v>50336.444900512695</v>
      </c>
      <c r="J199" s="215">
        <v>320</v>
      </c>
      <c r="K199" s="9">
        <f t="shared" si="1"/>
        <v>74168670.117101371</v>
      </c>
      <c r="L199" s="9"/>
      <c r="M199" s="101"/>
    </row>
    <row r="200" spans="1:13">
      <c r="A200" s="2">
        <v>42156</v>
      </c>
      <c r="B200" s="12">
        <f>'[11]CoS 2017 Load History'!B238</f>
        <v>70200164.75</v>
      </c>
      <c r="C200" s="9">
        <f>'Weather Data'!B296</f>
        <v>118.60000000000004</v>
      </c>
      <c r="D200" s="9">
        <f>'Weather Data'!C296</f>
        <v>0</v>
      </c>
      <c r="E200" s="18">
        <v>30</v>
      </c>
      <c r="F200" s="9">
        <v>0</v>
      </c>
      <c r="G200" s="18">
        <f>'CDM Activity'!C132</f>
        <v>3500131.2063018349</v>
      </c>
      <c r="H200" s="37">
        <v>152.54940712863302</v>
      </c>
      <c r="I200" s="18">
        <f>'[11]CoS 2017 Load History'!F238+'[11]CoS 2017 Load History'!J238+'[11]CoS 2017 Load History'!O238+'[11]CoS 2017 Load History'!T238</f>
        <v>50329.222450256348</v>
      </c>
      <c r="J200" s="215">
        <v>352</v>
      </c>
      <c r="K200" s="9">
        <f t="shared" si="1"/>
        <v>69424968.557115793</v>
      </c>
      <c r="L200" s="9"/>
      <c r="M200" s="101"/>
    </row>
    <row r="201" spans="1:13">
      <c r="A201" s="2">
        <v>42186</v>
      </c>
      <c r="B201" s="12">
        <f>'[11]CoS 2017 Load History'!B239</f>
        <v>76455085.069999993</v>
      </c>
      <c r="C201" s="9">
        <f>'Weather Data'!B297</f>
        <v>31.7</v>
      </c>
      <c r="D201" s="9">
        <f>'Weather Data'!C297</f>
        <v>38.000000000000007</v>
      </c>
      <c r="E201" s="18">
        <v>31</v>
      </c>
      <c r="F201" s="9">
        <v>0</v>
      </c>
      <c r="G201" s="18">
        <f>'CDM Activity'!C133</f>
        <v>3622496.3931779014</v>
      </c>
      <c r="H201" s="37">
        <v>152.86363393037959</v>
      </c>
      <c r="I201" s="18">
        <f>'[11]CoS 2017 Load History'!F239+'[11]CoS 2017 Load History'!J239+'[11]CoS 2017 Load History'!O239+'[11]CoS 2017 Load History'!T239</f>
        <v>50324.111225128174</v>
      </c>
      <c r="J201" s="215">
        <v>352</v>
      </c>
      <c r="K201" s="9">
        <f t="shared" si="1"/>
        <v>75039387.236921266</v>
      </c>
      <c r="L201" s="9"/>
      <c r="M201" s="101"/>
    </row>
    <row r="202" spans="1:13">
      <c r="A202" s="2">
        <v>42217</v>
      </c>
      <c r="B202" s="12">
        <f>'[11]CoS 2017 Load History'!B240</f>
        <v>75144956.239999995</v>
      </c>
      <c r="C202" s="9">
        <f>'Weather Data'!B298</f>
        <v>50.7</v>
      </c>
      <c r="D202" s="9">
        <f>'Weather Data'!C298</f>
        <v>35.4</v>
      </c>
      <c r="E202" s="18">
        <v>31</v>
      </c>
      <c r="F202" s="9">
        <v>0</v>
      </c>
      <c r="G202" s="18">
        <f>'CDM Activity'!C134</f>
        <v>3744861.5800539679</v>
      </c>
      <c r="H202" s="37">
        <v>153.17850798788936</v>
      </c>
      <c r="I202" s="18">
        <f>'[11]CoS 2017 Load History'!F240+'[11]CoS 2017 Load History'!J240+'[11]CoS 2017 Load History'!O240+'[11]CoS 2017 Load History'!T240</f>
        <v>50327.055612564087</v>
      </c>
      <c r="J202" s="215">
        <v>320</v>
      </c>
      <c r="K202" s="9">
        <f t="shared" si="1"/>
        <v>74999854.961034387</v>
      </c>
      <c r="L202" s="9"/>
      <c r="M202" s="101"/>
    </row>
    <row r="203" spans="1:13">
      <c r="A203" s="2">
        <v>42248</v>
      </c>
      <c r="B203" s="12">
        <f>'[11]CoS 2017 Load History'!B241</f>
        <v>73463443.399999991</v>
      </c>
      <c r="C203" s="9">
        <f>'Weather Data'!B299</f>
        <v>106.20000000000002</v>
      </c>
      <c r="D203" s="9">
        <f>'Weather Data'!C299</f>
        <v>15.8</v>
      </c>
      <c r="E203" s="18">
        <v>30</v>
      </c>
      <c r="F203" s="9">
        <v>1</v>
      </c>
      <c r="G203" s="18">
        <f>'CDM Activity'!C135</f>
        <v>3867226.7669300344</v>
      </c>
      <c r="H203" s="37">
        <v>153.4940306344032</v>
      </c>
      <c r="I203" s="18">
        <f>'[11]CoS 2017 Load History'!F241+'[11]CoS 2017 Load History'!J241+'[11]CoS 2017 Load History'!O241+'[11]CoS 2017 Load History'!T241</f>
        <v>50358.527806282043</v>
      </c>
      <c r="J203" s="215">
        <v>336</v>
      </c>
      <c r="K203" s="9">
        <f t="shared" si="1"/>
        <v>67626214.190334305</v>
      </c>
      <c r="L203" s="9"/>
      <c r="M203" s="101"/>
    </row>
    <row r="204" spans="1:13">
      <c r="A204" s="2">
        <v>42278</v>
      </c>
      <c r="B204" s="12">
        <f>'[11]CoS 2017 Load History'!B242</f>
        <v>76464862.580000013</v>
      </c>
      <c r="C204" s="9">
        <f>'Weather Data'!B300</f>
        <v>345.9</v>
      </c>
      <c r="D204" s="9">
        <f>'Weather Data'!C300</f>
        <v>0</v>
      </c>
      <c r="E204" s="18">
        <v>31</v>
      </c>
      <c r="F204" s="9">
        <v>1</v>
      </c>
      <c r="G204" s="18">
        <f>'CDM Activity'!C136</f>
        <v>3989591.9538061009</v>
      </c>
      <c r="H204" s="37">
        <v>153.81020320590829</v>
      </c>
      <c r="I204" s="18">
        <f>'[11]CoS 2017 Load History'!F242+'[11]CoS 2017 Load History'!J242+'[11]CoS 2017 Load History'!O242+'[11]CoS 2017 Load History'!T242</f>
        <v>50401.763903141022</v>
      </c>
      <c r="J204" s="215">
        <v>336</v>
      </c>
      <c r="K204" s="9">
        <f t="shared" si="1"/>
        <v>75170783.813336134</v>
      </c>
      <c r="L204" s="9"/>
      <c r="M204" s="101"/>
    </row>
    <row r="205" spans="1:13">
      <c r="A205" s="2">
        <v>42309</v>
      </c>
      <c r="B205" s="12">
        <f>'[11]CoS 2017 Load History'!B243</f>
        <v>81040698.340000004</v>
      </c>
      <c r="C205" s="9">
        <f>'Weather Data'!B301</f>
        <v>469.10000000000008</v>
      </c>
      <c r="D205" s="9">
        <f>'Weather Data'!C301</f>
        <v>0</v>
      </c>
      <c r="E205" s="18">
        <v>30</v>
      </c>
      <c r="F205" s="9">
        <v>1</v>
      </c>
      <c r="G205" s="18">
        <f>'CDM Activity'!C137</f>
        <v>4111957.1406821674</v>
      </c>
      <c r="H205" s="37">
        <v>154.12702704114372</v>
      </c>
      <c r="I205" s="18">
        <f>'[11]CoS 2017 Load History'!F243+'[11]CoS 2017 Load History'!J243+'[11]CoS 2017 Load History'!O243+'[11]CoS 2017 Load History'!T243</f>
        <v>50440.381951570511</v>
      </c>
      <c r="J205" s="215">
        <v>320</v>
      </c>
      <c r="K205" s="9">
        <f t="shared" si="1"/>
        <v>75993897.14532496</v>
      </c>
      <c r="L205" s="9"/>
      <c r="M205" s="101"/>
    </row>
    <row r="206" spans="1:13">
      <c r="A206" s="2">
        <v>42339</v>
      </c>
      <c r="B206" s="12">
        <f>'[11]CoS 2017 Load History'!B244</f>
        <v>90139870.239999995</v>
      </c>
      <c r="C206" s="9">
        <f>'Weather Data'!B302</f>
        <v>564.90000000000009</v>
      </c>
      <c r="D206" s="9">
        <f>'Weather Data'!C302</f>
        <v>0</v>
      </c>
      <c r="E206" s="18">
        <v>31</v>
      </c>
      <c r="F206" s="9">
        <v>0</v>
      </c>
      <c r="G206" s="18">
        <f>'CDM Activity'!C138</f>
        <v>4234322.3275582334</v>
      </c>
      <c r="H206" s="37">
        <v>154.44450348160629</v>
      </c>
      <c r="I206" s="18">
        <f>'[11]CoS 2017 Load History'!F244+'[11]CoS 2017 Load History'!J244+'[11]CoS 2017 Load History'!O244+'[11]CoS 2017 Load History'!T244</f>
        <v>50480.690975785255</v>
      </c>
      <c r="J206" s="215">
        <v>352</v>
      </c>
      <c r="K206" s="9">
        <f t="shared" si="1"/>
        <v>84606407.328993663</v>
      </c>
      <c r="L206" s="9"/>
      <c r="M206" s="101"/>
    </row>
    <row r="207" spans="1:13">
      <c r="A207" s="2">
        <v>42370</v>
      </c>
      <c r="C207" s="9">
        <f>'Weather Analysis - Thunder Bay'!Z8</f>
        <v>960.98000000000013</v>
      </c>
      <c r="D207" s="62">
        <f>'Weather Analysis - Thunder Bay'!Z28</f>
        <v>0</v>
      </c>
      <c r="E207" s="18">
        <v>31</v>
      </c>
      <c r="F207" s="9">
        <v>0</v>
      </c>
      <c r="G207" s="18">
        <f>'CDM Activity'!C139</f>
        <v>4233173.248937902</v>
      </c>
      <c r="H207" s="37">
        <v>154.72483615659849</v>
      </c>
      <c r="I207" s="18"/>
      <c r="J207" s="215">
        <v>320</v>
      </c>
      <c r="K207" s="9">
        <f t="shared" si="1"/>
        <v>96870906.01604414</v>
      </c>
      <c r="L207" s="9"/>
      <c r="M207" s="101"/>
    </row>
    <row r="208" spans="1:13">
      <c r="A208" s="2">
        <v>42401</v>
      </c>
      <c r="C208" s="9">
        <f>'Weather Analysis - Thunder Bay'!Z9</f>
        <v>875.5899999999998</v>
      </c>
      <c r="D208" s="62">
        <f>'Weather Analysis - Thunder Bay'!Z29</f>
        <v>0</v>
      </c>
      <c r="E208" s="18">
        <v>29</v>
      </c>
      <c r="F208" s="9">
        <v>0</v>
      </c>
      <c r="G208" s="18">
        <f>'CDM Activity'!C140</f>
        <v>4232024.1703175707</v>
      </c>
      <c r="H208" s="37">
        <v>155.00567766425806</v>
      </c>
      <c r="I208" s="18"/>
      <c r="J208" s="215">
        <v>320</v>
      </c>
      <c r="K208" s="9">
        <f t="shared" si="1"/>
        <v>88712138.388296351</v>
      </c>
      <c r="L208" s="9"/>
      <c r="M208" s="101"/>
    </row>
    <row r="209" spans="1:13">
      <c r="A209" s="2">
        <v>42430</v>
      </c>
      <c r="C209" s="9">
        <f>'Weather Analysis - Thunder Bay'!Z10</f>
        <v>702.91</v>
      </c>
      <c r="D209" s="62">
        <f>'Weather Analysis - Thunder Bay'!Z30</f>
        <v>0</v>
      </c>
      <c r="E209" s="18">
        <v>31</v>
      </c>
      <c r="F209" s="9">
        <v>1</v>
      </c>
      <c r="G209" s="18">
        <f>'CDM Activity'!C141</f>
        <v>4230875.0916972393</v>
      </c>
      <c r="H209" s="37">
        <v>155.2870289281687</v>
      </c>
      <c r="I209" s="18"/>
      <c r="J209" s="215">
        <v>352</v>
      </c>
      <c r="K209" s="9">
        <f t="shared" si="1"/>
        <v>85765297.881210387</v>
      </c>
      <c r="L209" s="9"/>
      <c r="M209" s="101"/>
    </row>
    <row r="210" spans="1:13">
      <c r="A210" s="2">
        <v>42461</v>
      </c>
      <c r="C210" s="9">
        <f>'Weather Analysis - Thunder Bay'!Z11</f>
        <v>450.5200000000001</v>
      </c>
      <c r="D210" s="62">
        <f>'Weather Analysis - Thunder Bay'!Z31</f>
        <v>0</v>
      </c>
      <c r="E210" s="18">
        <v>30</v>
      </c>
      <c r="F210" s="9">
        <v>1</v>
      </c>
      <c r="G210" s="18">
        <f>'CDM Activity'!C142</f>
        <v>4229726.013076908</v>
      </c>
      <c r="H210" s="37">
        <v>155.56889087359048</v>
      </c>
      <c r="I210" s="18"/>
      <c r="J210" s="215">
        <v>336</v>
      </c>
      <c r="K210" s="9">
        <f t="shared" si="1"/>
        <v>75195017.594217479</v>
      </c>
      <c r="L210" s="9"/>
      <c r="M210" s="101"/>
    </row>
    <row r="211" spans="1:13">
      <c r="A211" s="2">
        <v>42491</v>
      </c>
      <c r="C211" s="9">
        <f>'Weather Analysis - Thunder Bay'!Z12</f>
        <v>271.46000000000004</v>
      </c>
      <c r="D211" s="62">
        <f>'Weather Analysis - Thunder Bay'!Z32</f>
        <v>0.47000000000000003</v>
      </c>
      <c r="E211" s="18">
        <v>31</v>
      </c>
      <c r="F211" s="9">
        <v>1</v>
      </c>
      <c r="G211" s="18">
        <f>'CDM Activity'!C143</f>
        <v>4228576.9344565766</v>
      </c>
      <c r="H211" s="37">
        <v>155.85126442746289</v>
      </c>
      <c r="I211" s="18"/>
      <c r="J211" s="215">
        <v>336</v>
      </c>
      <c r="K211" s="9">
        <f t="shared" si="1"/>
        <v>72483790.091714412</v>
      </c>
      <c r="L211" s="9"/>
      <c r="M211" s="101"/>
    </row>
    <row r="212" spans="1:13">
      <c r="A212" s="2">
        <v>42522</v>
      </c>
      <c r="C212" s="9">
        <f>'Weather Analysis - Thunder Bay'!Z13</f>
        <v>109.59</v>
      </c>
      <c r="D212" s="62">
        <f>'Weather Analysis - Thunder Bay'!Z33</f>
        <v>6.7</v>
      </c>
      <c r="E212" s="18">
        <v>30</v>
      </c>
      <c r="F212" s="9">
        <v>0</v>
      </c>
      <c r="G212" s="18">
        <f>'CDM Activity'!C144</f>
        <v>4227427.8558362452</v>
      </c>
      <c r="H212" s="37">
        <v>156.13415051840798</v>
      </c>
      <c r="I212" s="18"/>
      <c r="J212" s="215">
        <v>352</v>
      </c>
      <c r="K212" s="9">
        <f t="shared" si="1"/>
        <v>68783637.661499441</v>
      </c>
      <c r="L212" s="9"/>
      <c r="M212" s="101"/>
    </row>
    <row r="213" spans="1:13">
      <c r="A213" s="2">
        <v>42552</v>
      </c>
      <c r="C213" s="9">
        <f>'Weather Analysis - Thunder Bay'!Z14</f>
        <v>36.33</v>
      </c>
      <c r="D213" s="62">
        <f>'Weather Analysis - Thunder Bay'!Z34</f>
        <v>40.369999999999997</v>
      </c>
      <c r="E213" s="18">
        <v>31</v>
      </c>
      <c r="F213" s="9">
        <v>0</v>
      </c>
      <c r="G213" s="18">
        <f>'CDM Activity'!C145</f>
        <v>4226278.7772159139</v>
      </c>
      <c r="H213" s="37">
        <v>156.41755007673331</v>
      </c>
      <c r="I213" s="18"/>
      <c r="J213" s="215">
        <v>320</v>
      </c>
      <c r="K213" s="9">
        <f t="shared" si="1"/>
        <v>74396465.332842633</v>
      </c>
      <c r="L213" s="9"/>
      <c r="M213" s="101"/>
    </row>
    <row r="214" spans="1:13">
      <c r="A214" s="2">
        <v>42583</v>
      </c>
      <c r="C214" s="9">
        <f>'Weather Analysis - Thunder Bay'!Z15</f>
        <v>51.55</v>
      </c>
      <c r="D214" s="62">
        <f>'Weather Analysis - Thunder Bay'!Z35</f>
        <v>29.669999999999998</v>
      </c>
      <c r="E214" s="18">
        <v>31</v>
      </c>
      <c r="F214" s="9">
        <v>0</v>
      </c>
      <c r="G214" s="18">
        <f>'CDM Activity'!C146</f>
        <v>4225129.6985955825</v>
      </c>
      <c r="H214" s="38">
        <v>156.70146403443502</v>
      </c>
      <c r="J214" s="215">
        <v>352</v>
      </c>
      <c r="K214" s="9">
        <f t="shared" si="1"/>
        <v>73242746.213542074</v>
      </c>
    </row>
    <row r="215" spans="1:13">
      <c r="A215" s="2">
        <v>42614</v>
      </c>
      <c r="C215" s="9">
        <f>'Weather Analysis - Thunder Bay'!Z16</f>
        <v>176.97</v>
      </c>
      <c r="D215" s="62">
        <f>'Weather Analysis - Thunder Bay'!Z36</f>
        <v>5.05</v>
      </c>
      <c r="E215" s="18">
        <v>30</v>
      </c>
      <c r="F215" s="9">
        <v>1</v>
      </c>
      <c r="G215" s="18">
        <f>'CDM Activity'!C147</f>
        <v>4223980.6199752511</v>
      </c>
      <c r="H215" s="38">
        <v>156.98589332520095</v>
      </c>
      <c r="I215" s="101"/>
      <c r="J215" s="215">
        <v>336</v>
      </c>
      <c r="K215" s="9">
        <f t="shared" si="1"/>
        <v>67504972.557625517</v>
      </c>
      <c r="L215" s="101"/>
      <c r="M215" s="101"/>
    </row>
    <row r="216" spans="1:13">
      <c r="A216" s="2">
        <v>42644</v>
      </c>
      <c r="C216" s="9">
        <f>'Weather Analysis - Thunder Bay'!Z17</f>
        <v>372.15</v>
      </c>
      <c r="D216" s="62">
        <f>'Weather Analysis - Thunder Bay'!Z37</f>
        <v>0.54</v>
      </c>
      <c r="E216" s="18">
        <v>31</v>
      </c>
      <c r="F216" s="9">
        <v>1</v>
      </c>
      <c r="G216" s="18">
        <f>'CDM Activity'!C148</f>
        <v>4222831.5413549198</v>
      </c>
      <c r="H216" s="38">
        <v>157.27083888441365</v>
      </c>
      <c r="I216" s="101"/>
      <c r="J216" s="215">
        <v>320</v>
      </c>
      <c r="K216" s="9">
        <f t="shared" ref="K216:K230" si="2">$O$103+C216*$O$104+D216*$O$105+E216*$O$106+F216*$O$107+G216*$O$108</f>
        <v>75622626.851104811</v>
      </c>
      <c r="L216" s="101"/>
      <c r="M216" s="101"/>
    </row>
    <row r="217" spans="1:13">
      <c r="A217" s="2">
        <v>42675</v>
      </c>
      <c r="C217" s="9">
        <f>'Weather Analysis - Thunder Bay'!Z18</f>
        <v>567.61000000000013</v>
      </c>
      <c r="D217" s="62">
        <f>'Weather Analysis - Thunder Bay'!Z38</f>
        <v>0</v>
      </c>
      <c r="E217" s="18">
        <v>30</v>
      </c>
      <c r="F217" s="9">
        <v>1</v>
      </c>
      <c r="G217" s="18">
        <f>'CDM Activity'!C149</f>
        <v>4221682.4627345884</v>
      </c>
      <c r="H217" s="38">
        <v>157.55630164915351</v>
      </c>
      <c r="I217" s="101"/>
      <c r="J217" s="215">
        <v>336</v>
      </c>
      <c r="K217" s="9">
        <f t="shared" si="2"/>
        <v>78835304.995169953</v>
      </c>
      <c r="L217" s="101"/>
      <c r="M217" s="101"/>
    </row>
    <row r="218" spans="1:13">
      <c r="A218" s="2">
        <v>42705</v>
      </c>
      <c r="C218" s="9">
        <f>'Weather Analysis - Thunder Bay'!Z19</f>
        <v>852.28999999999974</v>
      </c>
      <c r="D218" s="62">
        <f>'Weather Analysis - Thunder Bay'!Z39</f>
        <v>0</v>
      </c>
      <c r="E218" s="18">
        <v>31</v>
      </c>
      <c r="F218" s="9">
        <v>0</v>
      </c>
      <c r="G218" s="18">
        <f>'CDM Activity'!C150</f>
        <v>4220533.3841142571</v>
      </c>
      <c r="H218" s="38">
        <v>157.84228255820162</v>
      </c>
      <c r="I218" s="101"/>
      <c r="J218" s="215">
        <v>336</v>
      </c>
      <c r="K218" s="9">
        <f t="shared" si="2"/>
        <v>93529956.206431717</v>
      </c>
      <c r="L218" s="101"/>
      <c r="M218" s="101"/>
    </row>
    <row r="219" spans="1:13">
      <c r="A219" s="2">
        <v>42736</v>
      </c>
      <c r="C219" s="49">
        <f>C207</f>
        <v>960.98000000000013</v>
      </c>
      <c r="D219" s="62">
        <f>D207</f>
        <v>0</v>
      </c>
      <c r="E219" s="18">
        <v>31</v>
      </c>
      <c r="F219" s="9">
        <v>0</v>
      </c>
      <c r="G219" s="18">
        <f>'CDM Activity'!C151</f>
        <v>4173476.2950830269</v>
      </c>
      <c r="H219" s="38">
        <v>158.15454692394951</v>
      </c>
      <c r="I219" s="101"/>
      <c r="J219" s="101"/>
      <c r="K219" s="9">
        <f t="shared" si="2"/>
        <v>96984277.977899447</v>
      </c>
      <c r="L219" s="101"/>
      <c r="M219" s="101"/>
    </row>
    <row r="220" spans="1:13">
      <c r="A220" s="2">
        <v>42767</v>
      </c>
      <c r="C220" s="49">
        <f t="shared" ref="C220:D230" si="3">C208</f>
        <v>875.5899999999998</v>
      </c>
      <c r="D220" s="62">
        <f t="shared" si="3"/>
        <v>0</v>
      </c>
      <c r="E220" s="18">
        <v>28</v>
      </c>
      <c r="F220" s="9">
        <v>0</v>
      </c>
      <c r="G220" s="18">
        <f>'CDM Activity'!C152</f>
        <v>4126419.2060517967</v>
      </c>
      <c r="H220" s="38">
        <v>158.46742905214063</v>
      </c>
      <c r="I220" s="101"/>
      <c r="J220" s="101"/>
      <c r="K220" s="9">
        <f t="shared" si="2"/>
        <v>86154023.120230213</v>
      </c>
      <c r="L220" s="101"/>
      <c r="M220" s="101"/>
    </row>
    <row r="221" spans="1:13">
      <c r="A221" s="2">
        <v>42795</v>
      </c>
      <c r="C221" s="49">
        <f t="shared" si="3"/>
        <v>702.91</v>
      </c>
      <c r="D221" s="62">
        <f t="shared" si="3"/>
        <v>0</v>
      </c>
      <c r="E221" s="18">
        <v>31</v>
      </c>
      <c r="F221" s="9">
        <v>1</v>
      </c>
      <c r="G221" s="18">
        <f>'CDM Activity'!C153</f>
        <v>4079362.1170205665</v>
      </c>
      <c r="H221" s="38">
        <v>158.78093016491388</v>
      </c>
      <c r="I221" s="101"/>
      <c r="J221" s="101"/>
      <c r="K221" s="9">
        <f t="shared" si="2"/>
        <v>86053039.919562727</v>
      </c>
      <c r="L221" s="101"/>
      <c r="M221" s="101"/>
    </row>
    <row r="222" spans="1:13">
      <c r="A222" s="2">
        <v>42826</v>
      </c>
      <c r="C222" s="49">
        <f t="shared" si="3"/>
        <v>450.5200000000001</v>
      </c>
      <c r="D222" s="62">
        <f t="shared" si="3"/>
        <v>0</v>
      </c>
      <c r="E222" s="18">
        <v>30</v>
      </c>
      <c r="F222" s="9">
        <v>1</v>
      </c>
      <c r="G222" s="18">
        <f>'CDM Activity'!C154</f>
        <v>4032305.0279893363</v>
      </c>
      <c r="H222" s="38">
        <v>159.09505148682601</v>
      </c>
      <c r="I222" s="101"/>
      <c r="J222" s="101"/>
      <c r="K222" s="9">
        <f t="shared" si="2"/>
        <v>75569944.670818344</v>
      </c>
      <c r="L222" s="101"/>
      <c r="M222" s="101"/>
    </row>
    <row r="223" spans="1:13">
      <c r="A223" s="2">
        <v>42856</v>
      </c>
      <c r="C223" s="49">
        <f t="shared" si="3"/>
        <v>271.46000000000004</v>
      </c>
      <c r="D223" s="62">
        <f t="shared" si="3"/>
        <v>0.47000000000000003</v>
      </c>
      <c r="E223" s="18">
        <v>31</v>
      </c>
      <c r="F223" s="9">
        <v>1</v>
      </c>
      <c r="G223" s="18">
        <f>'CDM Activity'!C155</f>
        <v>3985247.9389581061</v>
      </c>
      <c r="H223" s="38">
        <v>159.4097942448563</v>
      </c>
      <c r="I223" s="101"/>
      <c r="J223" s="101"/>
      <c r="K223" s="9">
        <f t="shared" si="2"/>
        <v>72945902.206563801</v>
      </c>
      <c r="L223" s="101"/>
      <c r="M223" s="101"/>
    </row>
    <row r="224" spans="1:13">
      <c r="A224" s="2">
        <v>42887</v>
      </c>
      <c r="C224" s="49">
        <f t="shared" si="3"/>
        <v>109.59</v>
      </c>
      <c r="D224" s="62">
        <f t="shared" si="3"/>
        <v>6.7</v>
      </c>
      <c r="E224" s="18">
        <v>30</v>
      </c>
      <c r="F224" s="9">
        <v>0</v>
      </c>
      <c r="G224" s="18">
        <f>'CDM Activity'!C156</f>
        <v>3938190.8499268759</v>
      </c>
      <c r="H224" s="38">
        <v>159.72515966841141</v>
      </c>
      <c r="I224" s="101"/>
      <c r="J224" s="101"/>
      <c r="K224" s="9">
        <f t="shared" si="2"/>
        <v>69332934.814597324</v>
      </c>
      <c r="L224" s="101"/>
      <c r="M224" s="101"/>
    </row>
    <row r="225" spans="1:13">
      <c r="A225" s="2">
        <v>42917</v>
      </c>
      <c r="C225" s="49">
        <f t="shared" si="3"/>
        <v>36.33</v>
      </c>
      <c r="D225" s="62">
        <f t="shared" si="3"/>
        <v>40.369999999999997</v>
      </c>
      <c r="E225" s="18">
        <v>31</v>
      </c>
      <c r="F225" s="9">
        <v>0</v>
      </c>
      <c r="G225" s="18">
        <f>'CDM Activity'!C157</f>
        <v>3891133.7608956457</v>
      </c>
      <c r="H225" s="38">
        <v>160.0411489893302</v>
      </c>
      <c r="I225" s="101"/>
      <c r="J225" s="101"/>
      <c r="K225" s="9">
        <f t="shared" si="2"/>
        <v>75032947.52418904</v>
      </c>
      <c r="L225" s="101"/>
      <c r="M225" s="101"/>
    </row>
    <row r="226" spans="1:13">
      <c r="A226" s="2">
        <v>42948</v>
      </c>
      <c r="C226" s="49">
        <f t="shared" si="3"/>
        <v>51.55</v>
      </c>
      <c r="D226" s="62">
        <f t="shared" si="3"/>
        <v>29.669999999999998</v>
      </c>
      <c r="E226" s="18">
        <v>31</v>
      </c>
      <c r="F226" s="9">
        <v>0</v>
      </c>
      <c r="G226" s="18">
        <f>'CDM Activity'!C158</f>
        <v>3844076.6718644155</v>
      </c>
      <c r="H226" s="38">
        <v>160.35776344188849</v>
      </c>
      <c r="I226" s="101"/>
      <c r="J226" s="101"/>
      <c r="K226" s="9">
        <f t="shared" si="2"/>
        <v>73966413.443137005</v>
      </c>
      <c r="L226" s="101"/>
      <c r="M226" s="101"/>
    </row>
    <row r="227" spans="1:13">
      <c r="A227" s="2">
        <v>42979</v>
      </c>
      <c r="C227" s="49">
        <f t="shared" si="3"/>
        <v>176.97</v>
      </c>
      <c r="D227" s="62">
        <f t="shared" si="3"/>
        <v>5.05</v>
      </c>
      <c r="E227" s="18">
        <v>30</v>
      </c>
      <c r="F227" s="9">
        <v>1</v>
      </c>
      <c r="G227" s="18">
        <f>'CDM Activity'!C159</f>
        <v>3797019.5828331853</v>
      </c>
      <c r="H227" s="38">
        <v>160.67500426280395</v>
      </c>
      <c r="I227" s="101"/>
      <c r="J227" s="101"/>
      <c r="K227" s="9">
        <f t="shared" si="2"/>
        <v>68315824.825468972</v>
      </c>
      <c r="L227" s="101"/>
      <c r="M227" s="101"/>
    </row>
    <row r="228" spans="1:13">
      <c r="A228" s="2">
        <v>43009</v>
      </c>
      <c r="C228" s="49">
        <f t="shared" si="3"/>
        <v>372.15</v>
      </c>
      <c r="D228" s="62">
        <f t="shared" si="3"/>
        <v>0.54</v>
      </c>
      <c r="E228" s="18">
        <v>31</v>
      </c>
      <c r="F228" s="9">
        <v>1</v>
      </c>
      <c r="G228" s="18">
        <f>'CDM Activity'!C160</f>
        <v>3749962.4938019551</v>
      </c>
      <c r="H228" s="38">
        <v>160.99287269124085</v>
      </c>
      <c r="I228" s="101"/>
      <c r="J228" s="101"/>
      <c r="K228" s="9">
        <f t="shared" si="2"/>
        <v>76520664.15719679</v>
      </c>
      <c r="L228" s="101"/>
      <c r="M228" s="101"/>
    </row>
    <row r="229" spans="1:13">
      <c r="A229" s="2">
        <v>43040</v>
      </c>
      <c r="C229" s="49">
        <f t="shared" si="3"/>
        <v>567.61000000000013</v>
      </c>
      <c r="D229" s="62">
        <f t="shared" si="3"/>
        <v>0</v>
      </c>
      <c r="E229" s="18">
        <v>30</v>
      </c>
      <c r="F229" s="9">
        <v>1</v>
      </c>
      <c r="G229" s="18">
        <f>'CDM Activity'!C161</f>
        <v>3702905.4047707249</v>
      </c>
      <c r="H229" s="38">
        <v>161.31136996881492</v>
      </c>
      <c r="I229" s="101"/>
      <c r="J229" s="101"/>
      <c r="K229" s="9">
        <f t="shared" si="2"/>
        <v>79820527.339510426</v>
      </c>
      <c r="L229" s="101"/>
      <c r="M229" s="101"/>
    </row>
    <row r="230" spans="1:13">
      <c r="A230" s="2">
        <v>43070</v>
      </c>
      <c r="C230" s="49">
        <f t="shared" si="3"/>
        <v>852.28999999999974</v>
      </c>
      <c r="D230" s="62">
        <f t="shared" si="3"/>
        <v>0</v>
      </c>
      <c r="E230" s="18">
        <v>31</v>
      </c>
      <c r="F230" s="9">
        <v>0</v>
      </c>
      <c r="G230" s="18">
        <f>'CDM Activity'!C162</f>
        <v>3655848.3157394947</v>
      </c>
      <c r="H230" s="38">
        <v>161.63049733959846</v>
      </c>
      <c r="I230" s="101"/>
      <c r="J230" s="101"/>
      <c r="K230" s="9">
        <f t="shared" si="2"/>
        <v>94602363.589020714</v>
      </c>
      <c r="L230" s="101"/>
      <c r="M230" s="101"/>
    </row>
    <row r="231" spans="1:13">
      <c r="A231" s="2"/>
      <c r="C231"/>
      <c r="D231"/>
      <c r="G231" s="49"/>
      <c r="K231" s="49">
        <f>SUM(K3:K182)</f>
        <v>8205995688.0693913</v>
      </c>
    </row>
    <row r="232" spans="1:13">
      <c r="A232" s="2"/>
      <c r="C232"/>
      <c r="D232"/>
      <c r="E232" s="101"/>
      <c r="F232" s="101"/>
      <c r="G232" s="49"/>
      <c r="I232" s="101"/>
      <c r="J232" s="101"/>
      <c r="K232" s="49"/>
      <c r="L232" s="101"/>
      <c r="M232" s="101"/>
    </row>
    <row r="233" spans="1:13">
      <c r="A233" s="2"/>
    </row>
    <row r="234" spans="1:13">
      <c r="A234">
        <v>2006</v>
      </c>
      <c r="B234" s="5">
        <f>SUM(B87:B98)</f>
        <v>1080402354.6499999</v>
      </c>
      <c r="K234" s="5">
        <f>SUM(K87:K98)</f>
        <v>1034223304.3380436</v>
      </c>
      <c r="L234" s="41">
        <f t="shared" ref="L234:L243" si="4">K234-B234</f>
        <v>-46179050.311956286</v>
      </c>
      <c r="M234" s="4">
        <f t="shared" ref="M234:M243" si="5">L234/B234</f>
        <v>-4.2742456190699579E-2</v>
      </c>
    </row>
    <row r="235" spans="1:13">
      <c r="A235" s="17">
        <v>2007</v>
      </c>
      <c r="B235" s="5">
        <f>SUM(B99:B110)</f>
        <v>1074640050.0500002</v>
      </c>
      <c r="K235" s="5">
        <f>SUM(K99:K110)</f>
        <v>1037535460.6402721</v>
      </c>
      <c r="L235" s="41">
        <f t="shared" si="4"/>
        <v>-37104589.40972805</v>
      </c>
      <c r="M235" s="4">
        <f t="shared" si="5"/>
        <v>-3.4527458201470969E-2</v>
      </c>
    </row>
    <row r="236" spans="1:13">
      <c r="A236">
        <v>2008</v>
      </c>
      <c r="B236" s="5">
        <f>SUM(B111:B122)</f>
        <v>1046355823.8954999</v>
      </c>
      <c r="K236" s="5">
        <f>SUM(K111:K122)</f>
        <v>1041997457.181707</v>
      </c>
      <c r="L236" s="41">
        <f t="shared" si="4"/>
        <v>-4358366.7137929201</v>
      </c>
      <c r="M236" s="4">
        <f t="shared" si="5"/>
        <v>-4.1652816510993991E-3</v>
      </c>
    </row>
    <row r="237" spans="1:13">
      <c r="A237" s="17">
        <v>2009</v>
      </c>
      <c r="B237" s="5">
        <f>SUM(B123:B134)</f>
        <v>1013563736.845</v>
      </c>
      <c r="K237" s="5">
        <f>SUM(K123:K134)</f>
        <v>1026407707.2590618</v>
      </c>
      <c r="L237" s="41">
        <f t="shared" si="4"/>
        <v>12843970.414061785</v>
      </c>
      <c r="M237" s="4">
        <f t="shared" si="5"/>
        <v>1.2672089526448754E-2</v>
      </c>
    </row>
    <row r="238" spans="1:13">
      <c r="A238">
        <v>2010</v>
      </c>
      <c r="B238" s="5">
        <f>SUM(B135:B146)</f>
        <v>981167358</v>
      </c>
      <c r="K238" s="5">
        <f>SUM(K135:K146)</f>
        <v>1013150720.4285135</v>
      </c>
      <c r="L238" s="41">
        <f t="shared" si="4"/>
        <v>31983362.428513527</v>
      </c>
      <c r="M238" s="4">
        <f t="shared" si="5"/>
        <v>3.2597254859464582E-2</v>
      </c>
    </row>
    <row r="239" spans="1:13">
      <c r="A239">
        <v>2011</v>
      </c>
      <c r="B239" s="5">
        <f>SUM(B147:B158)</f>
        <v>996079734.17000008</v>
      </c>
      <c r="K239" s="5">
        <f>SUM(K147:K158)</f>
        <v>1025712030.1767751</v>
      </c>
      <c r="L239" s="41">
        <f t="shared" si="4"/>
        <v>29632296.006775022</v>
      </c>
      <c r="M239" s="4">
        <f t="shared" si="5"/>
        <v>2.9748919680076237E-2</v>
      </c>
    </row>
    <row r="240" spans="1:13">
      <c r="A240">
        <v>2012</v>
      </c>
      <c r="B240" s="5">
        <f>SUM(B159:B170)</f>
        <v>987455834.2900002</v>
      </c>
      <c r="K240" s="5">
        <f>SUM(K159:K170)</f>
        <v>1007550467.3918391</v>
      </c>
      <c r="L240" s="41">
        <f t="shared" si="4"/>
        <v>20094633.101838946</v>
      </c>
      <c r="M240" s="4">
        <f t="shared" si="5"/>
        <v>2.0349905691009841E-2</v>
      </c>
    </row>
    <row r="241" spans="1:13">
      <c r="A241">
        <v>2013</v>
      </c>
      <c r="B241" s="5">
        <f>SUM(B171:B182)</f>
        <v>1001934678.8599999</v>
      </c>
      <c r="K241" s="5">
        <f>SUM(K171:K182)</f>
        <v>1019418540.6531786</v>
      </c>
      <c r="L241" s="41">
        <f t="shared" si="4"/>
        <v>17483861.793178678</v>
      </c>
      <c r="M241" s="4">
        <f t="shared" si="5"/>
        <v>1.7450101450796968E-2</v>
      </c>
    </row>
    <row r="242" spans="1:13">
      <c r="A242">
        <v>2014</v>
      </c>
      <c r="B242" s="5">
        <f>SUM(B183:B194)</f>
        <v>1002263936.8399999</v>
      </c>
      <c r="C242" s="101"/>
      <c r="D242" s="101"/>
      <c r="E242" s="101"/>
      <c r="F242" s="101"/>
      <c r="G242" s="101"/>
      <c r="I242" s="101"/>
      <c r="J242" s="101"/>
      <c r="K242" s="5">
        <f>SUM(K183:K194)</f>
        <v>998679811.20742965</v>
      </c>
      <c r="L242" s="41">
        <f t="shared" si="4"/>
        <v>-3584125.6325702667</v>
      </c>
      <c r="M242" s="4">
        <f t="shared" si="5"/>
        <v>-3.5760297271300819E-3</v>
      </c>
    </row>
    <row r="243" spans="1:13">
      <c r="A243" s="17">
        <v>2015</v>
      </c>
      <c r="B243" s="5">
        <f>SUM(B195:B206)</f>
        <v>976172474.96000016</v>
      </c>
      <c r="C243" s="101"/>
      <c r="D243" s="101"/>
      <c r="E243" s="101"/>
      <c r="F243" s="101"/>
      <c r="G243" s="101"/>
      <c r="I243" s="101"/>
      <c r="J243" s="101"/>
      <c r="K243" s="5">
        <f>SUM(K195:K206)</f>
        <v>955360483.28367794</v>
      </c>
      <c r="L243" s="41">
        <f t="shared" si="4"/>
        <v>-20811991.676322222</v>
      </c>
      <c r="M243" s="4">
        <f t="shared" si="5"/>
        <v>-2.1319994376173143E-2</v>
      </c>
    </row>
    <row r="244" spans="1:13">
      <c r="A244">
        <v>2016</v>
      </c>
      <c r="C244" s="101"/>
      <c r="D244" s="101"/>
      <c r="E244" s="101"/>
      <c r="F244" s="101"/>
      <c r="G244" s="101"/>
      <c r="I244" s="101"/>
      <c r="J244" s="101"/>
      <c r="K244" s="5">
        <f>SUM(K207:K218)</f>
        <v>950942859.78969908</v>
      </c>
      <c r="L244" s="101"/>
      <c r="M244" s="101"/>
    </row>
    <row r="245" spans="1:13">
      <c r="A245" s="17">
        <v>2017</v>
      </c>
      <c r="C245" s="101"/>
      <c r="D245" s="101"/>
      <c r="E245" s="101"/>
      <c r="F245" s="101"/>
      <c r="G245" s="101"/>
      <c r="I245" s="101"/>
      <c r="J245" s="101"/>
      <c r="K245" s="5">
        <f>SUM(K219:K230)</f>
        <v>955298863.58819485</v>
      </c>
      <c r="L245" s="101"/>
      <c r="M245" s="101"/>
    </row>
    <row r="246" spans="1:13">
      <c r="C246" s="101"/>
      <c r="D246" s="101"/>
      <c r="E246" s="101"/>
      <c r="F246" s="101"/>
      <c r="G246" s="101"/>
      <c r="I246" s="101"/>
      <c r="J246" s="101"/>
      <c r="K246" s="5"/>
      <c r="L246" s="101"/>
      <c r="M246" s="101"/>
    </row>
    <row r="247" spans="1:13">
      <c r="K247" s="5"/>
    </row>
    <row r="248" spans="1:13">
      <c r="A248" s="72" t="s">
        <v>261</v>
      </c>
      <c r="B248" s="5">
        <f>SUM(B234:B243)</f>
        <v>10160035982.560501</v>
      </c>
      <c r="K248" s="5">
        <f>SUM(K234:K243)</f>
        <v>10160035982.560497</v>
      </c>
      <c r="L248" s="5">
        <f>K248-B248</f>
        <v>0</v>
      </c>
    </row>
    <row r="250" spans="1:13">
      <c r="K250" s="5">
        <f>SUM(K234:K241)</f>
        <v>8205995688.0693903</v>
      </c>
      <c r="L250" s="49">
        <f>K231-K250</f>
        <v>0</v>
      </c>
    </row>
    <row r="251" spans="1:13">
      <c r="K251" s="19"/>
      <c r="L251" s="19" t="s">
        <v>47</v>
      </c>
      <c r="M251" s="19"/>
    </row>
    <row r="260" spans="3:11">
      <c r="C260" s="5"/>
      <c r="D260" s="5"/>
      <c r="E260" s="5"/>
      <c r="F260" s="5"/>
      <c r="G260" s="5"/>
      <c r="I260" s="5"/>
      <c r="J260" s="5"/>
      <c r="K260" s="5"/>
    </row>
    <row r="261" spans="3:11">
      <c r="K261" s="5"/>
    </row>
  </sheetData>
  <mergeCells count="1">
    <mergeCell ref="H1:J1"/>
  </mergeCells>
  <phoneticPr fontId="0" type="noConversion"/>
  <pageMargins left="0.38" right="0.75" top="0.73" bottom="0.74" header="0.5" footer="0.5"/>
  <pageSetup orientation="landscape"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66"/>
  <sheetViews>
    <sheetView workbookViewId="0">
      <pane ySplit="1320" topLeftCell="A239" activePane="bottomLeft"/>
      <selection activeCell="B1" sqref="B1:B1048576"/>
      <selection pane="bottomLeft" activeCell="N87" sqref="N87:T108"/>
    </sheetView>
  </sheetViews>
  <sheetFormatPr defaultRowHeight="12.75"/>
  <cols>
    <col min="1" max="1" width="11.85546875" customWidth="1"/>
    <col min="2" max="2" width="18" style="5" customWidth="1"/>
    <col min="3" max="3" width="11.7109375" style="1" customWidth="1"/>
    <col min="4" max="4" width="13.42578125" style="1" customWidth="1"/>
    <col min="5" max="5" width="10.140625" style="1" customWidth="1"/>
    <col min="6" max="7" width="12.42578125" style="1" customWidth="1"/>
    <col min="8" max="8" width="12.42578125" style="1" hidden="1" customWidth="1"/>
    <col min="9" max="9" width="14.42578125" style="38" hidden="1" customWidth="1"/>
    <col min="10" max="10" width="12.42578125" style="1" hidden="1" customWidth="1"/>
    <col min="11" max="11" width="15.42578125" style="1" bestFit="1" customWidth="1"/>
    <col min="12" max="12" width="17" style="1" customWidth="1"/>
    <col min="13" max="13" width="12.42578125" style="1" customWidth="1"/>
    <col min="14" max="14" width="25.85546875" bestFit="1" customWidth="1"/>
    <col min="15" max="17" width="18" customWidth="1"/>
    <col min="18" max="18" width="17.140625" customWidth="1"/>
    <col min="19" max="20" width="15.7109375" customWidth="1"/>
    <col min="21" max="21" width="14.140625" bestFit="1" customWidth="1"/>
    <col min="22" max="22" width="25.85546875" bestFit="1" customWidth="1"/>
    <col min="23" max="23" width="19.28515625" bestFit="1" customWidth="1"/>
    <col min="24" max="24" width="19.140625" bestFit="1" customWidth="1"/>
    <col min="25" max="25" width="26.140625" bestFit="1" customWidth="1"/>
    <col min="26" max="26" width="23" bestFit="1" customWidth="1"/>
    <col min="27" max="27" width="14.7109375" bestFit="1" customWidth="1"/>
    <col min="28" max="28" width="20.140625" bestFit="1" customWidth="1"/>
    <col min="29" max="29" width="12.140625" bestFit="1" customWidth="1"/>
    <col min="30" max="30" width="21" bestFit="1" customWidth="1"/>
    <col min="31" max="31" width="13.140625" bestFit="1" customWidth="1"/>
  </cols>
  <sheetData>
    <row r="1" spans="1:13">
      <c r="G1"/>
      <c r="H1" s="605" t="s">
        <v>76</v>
      </c>
      <c r="I1" s="605"/>
      <c r="J1" s="605"/>
    </row>
    <row r="2" spans="1:13" ht="42" customHeight="1">
      <c r="A2" s="250"/>
      <c r="B2" s="251" t="s">
        <v>77</v>
      </c>
      <c r="C2" s="252" t="s">
        <v>1</v>
      </c>
      <c r="D2" s="252" t="s">
        <v>2</v>
      </c>
      <c r="E2" s="252" t="s">
        <v>3</v>
      </c>
      <c r="F2" s="252" t="s">
        <v>14</v>
      </c>
      <c r="G2" s="252" t="s">
        <v>56</v>
      </c>
      <c r="H2" s="252" t="s">
        <v>49</v>
      </c>
      <c r="I2" s="253" t="s">
        <v>4</v>
      </c>
      <c r="J2" s="252" t="s">
        <v>58</v>
      </c>
      <c r="K2" s="252" t="s">
        <v>78</v>
      </c>
      <c r="L2" s="11" t="s">
        <v>7</v>
      </c>
      <c r="M2" s="11" t="s">
        <v>348</v>
      </c>
    </row>
    <row r="3" spans="1:13" hidden="1">
      <c r="A3" s="254">
        <v>36161</v>
      </c>
      <c r="B3" s="255">
        <f>'[11]CoS 2017 Load History'!D41</f>
        <v>22843354.319999941</v>
      </c>
      <c r="C3" s="256">
        <f>'Weather Data'!B99</f>
        <v>994.7</v>
      </c>
      <c r="D3" s="256">
        <f>'Weather Data'!C99</f>
        <v>0</v>
      </c>
      <c r="E3" s="256">
        <v>31</v>
      </c>
      <c r="F3" s="256">
        <v>0</v>
      </c>
      <c r="G3" s="256">
        <v>0</v>
      </c>
      <c r="H3" s="256">
        <f>'[11]CoS 2017 Load History'!F41</f>
        <v>36735</v>
      </c>
      <c r="I3" s="257">
        <v>106.08666118100913</v>
      </c>
      <c r="J3" s="256">
        <v>319.87200000000001</v>
      </c>
      <c r="K3" s="231"/>
      <c r="L3" s="11"/>
      <c r="M3" s="11"/>
    </row>
    <row r="4" spans="1:13" hidden="1">
      <c r="A4" s="254">
        <v>36192</v>
      </c>
      <c r="B4" s="255">
        <f>'[11]CoS 2017 Load History'!D42</f>
        <v>30944887.000000566</v>
      </c>
      <c r="C4" s="256">
        <f>'Weather Data'!B100</f>
        <v>718.7</v>
      </c>
      <c r="D4" s="256">
        <f>'Weather Data'!C100</f>
        <v>0</v>
      </c>
      <c r="E4" s="256">
        <v>28</v>
      </c>
      <c r="F4" s="256">
        <v>0</v>
      </c>
      <c r="G4" s="256">
        <v>0</v>
      </c>
      <c r="H4" s="256">
        <f>'[11]CoS 2017 Load History'!F42</f>
        <v>43389</v>
      </c>
      <c r="I4" s="257">
        <v>106.08666118100913</v>
      </c>
      <c r="J4" s="256">
        <v>319.87200000000001</v>
      </c>
      <c r="K4" s="231"/>
      <c r="L4" s="9"/>
      <c r="M4" s="14"/>
    </row>
    <row r="5" spans="1:13" hidden="1">
      <c r="A5" s="254">
        <v>36220</v>
      </c>
      <c r="B5" s="255">
        <f>'[11]CoS 2017 Load History'!D43</f>
        <v>31192272.98</v>
      </c>
      <c r="C5" s="256">
        <f>'Weather Data'!B101</f>
        <v>710.1</v>
      </c>
      <c r="D5" s="256">
        <f>'Weather Data'!C101</f>
        <v>0</v>
      </c>
      <c r="E5" s="256">
        <v>31</v>
      </c>
      <c r="F5" s="256">
        <v>1</v>
      </c>
      <c r="G5" s="256">
        <v>0</v>
      </c>
      <c r="H5" s="256">
        <f>'[11]CoS 2017 Load History'!F43</f>
        <v>43566</v>
      </c>
      <c r="I5" s="257">
        <v>106.72898964661303</v>
      </c>
      <c r="J5" s="256">
        <v>368.28</v>
      </c>
      <c r="K5" s="231"/>
      <c r="L5" s="9"/>
      <c r="M5" s="14"/>
    </row>
    <row r="6" spans="1:13" hidden="1">
      <c r="A6" s="254">
        <v>36251</v>
      </c>
      <c r="B6" s="255">
        <f>'[11]CoS 2017 Load History'!D44</f>
        <v>27103570.060000088</v>
      </c>
      <c r="C6" s="256">
        <f>'Weather Data'!B102</f>
        <v>407.7</v>
      </c>
      <c r="D6" s="256">
        <f>'Weather Data'!C102</f>
        <v>0</v>
      </c>
      <c r="E6" s="256">
        <v>30</v>
      </c>
      <c r="F6" s="256">
        <v>1</v>
      </c>
      <c r="G6" s="256">
        <v>0</v>
      </c>
      <c r="H6" s="256">
        <f>'[11]CoS 2017 Load History'!F44</f>
        <v>43534</v>
      </c>
      <c r="I6" s="257">
        <v>107.37520725203085</v>
      </c>
      <c r="J6" s="256">
        <v>336.24</v>
      </c>
      <c r="K6" s="231"/>
      <c r="L6" s="9"/>
      <c r="M6" s="14"/>
    </row>
    <row r="7" spans="1:13" hidden="1">
      <c r="A7" s="254">
        <v>36281</v>
      </c>
      <c r="B7" s="255">
        <f>'[11]CoS 2017 Load History'!D45</f>
        <v>25155490.760000035</v>
      </c>
      <c r="C7" s="256">
        <f>'Weather Data'!B103</f>
        <v>224.7</v>
      </c>
      <c r="D7" s="256">
        <f>'Weather Data'!C103</f>
        <v>2.6</v>
      </c>
      <c r="E7" s="256">
        <v>31</v>
      </c>
      <c r="F7" s="256">
        <v>1</v>
      </c>
      <c r="G7" s="256">
        <v>0</v>
      </c>
      <c r="H7" s="256">
        <f>'[11]CoS 2017 Load History'!F45</f>
        <v>43500</v>
      </c>
      <c r="I7" s="257">
        <v>108.02533754504118</v>
      </c>
      <c r="J7" s="256">
        <v>319.92</v>
      </c>
      <c r="K7" s="231"/>
      <c r="L7" s="9"/>
      <c r="M7" s="14"/>
    </row>
    <row r="8" spans="1:13" hidden="1">
      <c r="A8" s="254">
        <v>36312</v>
      </c>
      <c r="B8" s="255">
        <f>'[11]CoS 2017 Load History'!D46</f>
        <v>23427104.32999998</v>
      </c>
      <c r="C8" s="256">
        <f>'Weather Data'!B104</f>
        <v>91.9</v>
      </c>
      <c r="D8" s="256">
        <f>'Weather Data'!C104</f>
        <v>11.4</v>
      </c>
      <c r="E8" s="256">
        <v>30</v>
      </c>
      <c r="F8" s="256">
        <v>0</v>
      </c>
      <c r="G8" s="256">
        <v>0</v>
      </c>
      <c r="H8" s="256">
        <f>'[11]CoS 2017 Load History'!F46</f>
        <v>43465</v>
      </c>
      <c r="I8" s="257">
        <v>108.6794042159986</v>
      </c>
      <c r="J8" s="256">
        <v>352.08</v>
      </c>
      <c r="K8" s="231"/>
      <c r="L8" s="9"/>
      <c r="M8" s="14"/>
    </row>
    <row r="9" spans="1:13" hidden="1">
      <c r="A9" s="254">
        <v>36342</v>
      </c>
      <c r="B9" s="255">
        <f>'[11]CoS 2017 Load History'!D47</f>
        <v>24261259.010000143</v>
      </c>
      <c r="C9" s="256">
        <f>'Weather Data'!B105</f>
        <v>24.2</v>
      </c>
      <c r="D9" s="256">
        <f>'Weather Data'!C105</f>
        <v>59.3</v>
      </c>
      <c r="E9" s="256">
        <v>31</v>
      </c>
      <c r="F9" s="256">
        <v>0</v>
      </c>
      <c r="G9" s="256">
        <v>0</v>
      </c>
      <c r="H9" s="256">
        <f>'[11]CoS 2017 Load History'!F47</f>
        <v>43633</v>
      </c>
      <c r="I9" s="257">
        <v>109.33743109869688</v>
      </c>
      <c r="J9" s="256">
        <v>336.28800000000001</v>
      </c>
      <c r="K9" s="231"/>
      <c r="L9" s="9"/>
      <c r="M9" s="14"/>
    </row>
    <row r="10" spans="1:13" hidden="1">
      <c r="A10" s="254">
        <v>36373</v>
      </c>
      <c r="B10" s="255">
        <f>'[11]CoS 2017 Load History'!D48</f>
        <v>24804295.33000008</v>
      </c>
      <c r="C10" s="256">
        <f>'Weather Data'!B106</f>
        <v>74</v>
      </c>
      <c r="D10" s="256">
        <f>'Weather Data'!C106</f>
        <v>12.2</v>
      </c>
      <c r="E10" s="256">
        <v>31</v>
      </c>
      <c r="F10" s="256">
        <v>0</v>
      </c>
      <c r="G10" s="256">
        <v>0</v>
      </c>
      <c r="H10" s="256">
        <f>'[11]CoS 2017 Load History'!F48</f>
        <v>43625</v>
      </c>
      <c r="I10" s="257">
        <v>109.99944217123755</v>
      </c>
      <c r="J10" s="256">
        <v>336.28800000000001</v>
      </c>
      <c r="K10" s="231"/>
      <c r="L10" s="9"/>
      <c r="M10" s="14"/>
    </row>
    <row r="11" spans="1:13" hidden="1">
      <c r="A11" s="254">
        <v>36404</v>
      </c>
      <c r="B11" s="255">
        <f>'[11]CoS 2017 Load History'!D49</f>
        <v>24983512.450000003</v>
      </c>
      <c r="C11" s="256">
        <f>'Weather Data'!B107</f>
        <v>194</v>
      </c>
      <c r="D11" s="256">
        <f>'Weather Data'!C107</f>
        <v>5.7</v>
      </c>
      <c r="E11" s="256">
        <v>30</v>
      </c>
      <c r="F11" s="256">
        <v>1</v>
      </c>
      <c r="G11" s="256">
        <v>0</v>
      </c>
      <c r="H11" s="256">
        <f>'[11]CoS 2017 Load History'!F49</f>
        <v>43713</v>
      </c>
      <c r="I11" s="257">
        <v>110.66546155690358</v>
      </c>
      <c r="J11" s="256">
        <v>336.24</v>
      </c>
      <c r="K11" s="231"/>
      <c r="L11" s="9"/>
      <c r="M11" s="14"/>
    </row>
    <row r="12" spans="1:13" hidden="1">
      <c r="A12" s="254">
        <v>36434</v>
      </c>
      <c r="B12" s="255">
        <f>'[11]CoS 2017 Load History'!D50</f>
        <v>27927641.870000076</v>
      </c>
      <c r="C12" s="256">
        <f>'Weather Data'!B108</f>
        <v>423.1</v>
      </c>
      <c r="D12" s="256">
        <f>'Weather Data'!C108</f>
        <v>0</v>
      </c>
      <c r="E12" s="256">
        <v>31</v>
      </c>
      <c r="F12" s="256">
        <v>1</v>
      </c>
      <c r="G12" s="256">
        <v>0</v>
      </c>
      <c r="H12" s="256">
        <f>'[11]CoS 2017 Load History'!F50</f>
        <v>43713</v>
      </c>
      <c r="I12" s="257">
        <v>111.33551352503846</v>
      </c>
      <c r="J12" s="256">
        <v>319.92</v>
      </c>
      <c r="K12" s="231"/>
      <c r="L12" s="9"/>
      <c r="M12" s="14"/>
    </row>
    <row r="13" spans="1:13" hidden="1">
      <c r="A13" s="254">
        <v>36465</v>
      </c>
      <c r="B13" s="255">
        <f>'[11]CoS 2017 Load History'!D51</f>
        <v>30807187.569999743</v>
      </c>
      <c r="C13" s="256">
        <f>'Weather Data'!B109</f>
        <v>500.7</v>
      </c>
      <c r="D13" s="256">
        <f>'Weather Data'!C109</f>
        <v>0</v>
      </c>
      <c r="E13" s="256">
        <v>30</v>
      </c>
      <c r="F13" s="256">
        <v>1</v>
      </c>
      <c r="G13" s="256">
        <v>0</v>
      </c>
      <c r="H13" s="256">
        <f>'[11]CoS 2017 Load History'!F51</f>
        <v>43708</v>
      </c>
      <c r="I13" s="257">
        <v>112.00962249193054</v>
      </c>
      <c r="J13" s="256">
        <v>352.08</v>
      </c>
      <c r="K13" s="231"/>
      <c r="L13" s="9"/>
      <c r="M13" s="14"/>
    </row>
    <row r="14" spans="1:13" hidden="1">
      <c r="A14" s="254">
        <v>36495</v>
      </c>
      <c r="B14" s="255">
        <f>'[11]CoS 2017 Load History'!D52</f>
        <v>36673911.080000579</v>
      </c>
      <c r="C14" s="256">
        <f>'Weather Data'!B110</f>
        <v>817.1</v>
      </c>
      <c r="D14" s="256">
        <f>'Weather Data'!C110</f>
        <v>0</v>
      </c>
      <c r="E14" s="256">
        <v>31</v>
      </c>
      <c r="F14" s="256">
        <v>0</v>
      </c>
      <c r="G14" s="256">
        <v>0</v>
      </c>
      <c r="H14" s="256">
        <f>'[11]CoS 2017 Load History'!F52</f>
        <v>43631</v>
      </c>
      <c r="I14" s="257">
        <v>112.68781302170287</v>
      </c>
      <c r="J14" s="256">
        <v>336.28800000000001</v>
      </c>
      <c r="K14" s="231"/>
      <c r="L14" s="9"/>
      <c r="M14" s="14"/>
    </row>
    <row r="15" spans="1:13" hidden="1">
      <c r="A15" s="254">
        <v>36526</v>
      </c>
      <c r="B15" s="255">
        <f>'[11]CoS 2017 Load History'!D53</f>
        <v>38014660.490000144</v>
      </c>
      <c r="C15" s="256">
        <f>'Weather Data'!B111</f>
        <v>963.5</v>
      </c>
      <c r="D15" s="256">
        <f>'Weather Data'!C111</f>
        <v>0</v>
      </c>
      <c r="E15" s="256">
        <v>31</v>
      </c>
      <c r="F15" s="256">
        <v>0</v>
      </c>
      <c r="G15" s="256">
        <v>0</v>
      </c>
      <c r="H15" s="256">
        <f>'[11]CoS 2017 Load History'!F53</f>
        <v>43530</v>
      </c>
      <c r="I15" s="257">
        <v>113.20550742744629</v>
      </c>
      <c r="J15" s="256">
        <v>319.92</v>
      </c>
      <c r="K15" s="231"/>
      <c r="L15" s="9"/>
      <c r="M15" s="14"/>
    </row>
    <row r="16" spans="1:13" hidden="1">
      <c r="A16" s="254">
        <v>36557</v>
      </c>
      <c r="B16" s="255">
        <f>'[11]CoS 2017 Load History'!D54</f>
        <v>32921590.989999924</v>
      </c>
      <c r="C16" s="256">
        <f>'Weather Data'!B112</f>
        <v>711.5</v>
      </c>
      <c r="D16" s="256">
        <f>'Weather Data'!C112</f>
        <v>0</v>
      </c>
      <c r="E16" s="256">
        <v>29</v>
      </c>
      <c r="F16" s="256">
        <v>0</v>
      </c>
      <c r="G16" s="256">
        <v>0</v>
      </c>
      <c r="H16" s="256">
        <f>'[11]CoS 2017 Load History'!F54</f>
        <v>43558</v>
      </c>
      <c r="I16" s="257">
        <v>113.72558015157706</v>
      </c>
      <c r="J16" s="256">
        <v>336.16799999999995</v>
      </c>
      <c r="K16" s="231"/>
      <c r="L16" s="9"/>
      <c r="M16" s="14"/>
    </row>
    <row r="17" spans="1:13" hidden="1">
      <c r="A17" s="254">
        <v>36586</v>
      </c>
      <c r="B17" s="255">
        <f>'[11]CoS 2017 Load History'!D55</f>
        <v>31183992.070000343</v>
      </c>
      <c r="C17" s="256">
        <f>'Weather Data'!B113</f>
        <v>574.6</v>
      </c>
      <c r="D17" s="256">
        <f>'Weather Data'!C113</f>
        <v>0</v>
      </c>
      <c r="E17" s="256">
        <v>31</v>
      </c>
      <c r="F17" s="256">
        <v>1</v>
      </c>
      <c r="G17" s="256">
        <v>0</v>
      </c>
      <c r="H17" s="256">
        <f>'[11]CoS 2017 Load History'!F55</f>
        <v>43618</v>
      </c>
      <c r="I17" s="257">
        <v>114.24804212022897</v>
      </c>
      <c r="J17" s="256">
        <v>368.28</v>
      </c>
      <c r="K17" s="231"/>
      <c r="L17" s="9"/>
      <c r="M17" s="14"/>
    </row>
    <row r="18" spans="1:13" ht="15" hidden="1" customHeight="1">
      <c r="A18" s="254">
        <v>36617</v>
      </c>
      <c r="B18" s="255">
        <f>'[11]CoS 2017 Load History'!D56</f>
        <v>27040375.419999946</v>
      </c>
      <c r="C18" s="256">
        <f>'Weather Data'!B114</f>
        <v>485.6</v>
      </c>
      <c r="D18" s="256">
        <f>'Weather Data'!C114</f>
        <v>0</v>
      </c>
      <c r="E18" s="256">
        <v>30</v>
      </c>
      <c r="F18" s="256">
        <v>1</v>
      </c>
      <c r="G18" s="256">
        <v>0</v>
      </c>
      <c r="H18" s="256">
        <f>'[11]CoS 2017 Load History'!F56</f>
        <v>43673</v>
      </c>
      <c r="I18" s="257">
        <v>114.77290430973115</v>
      </c>
      <c r="J18" s="256">
        <v>303.83999999999997</v>
      </c>
      <c r="K18" s="231"/>
      <c r="L18" s="9"/>
      <c r="M18" s="14"/>
    </row>
    <row r="19" spans="1:13" hidden="1">
      <c r="A19" s="254">
        <v>36647</v>
      </c>
      <c r="B19" s="255">
        <f>'[11]CoS 2017 Load History'!D57</f>
        <v>25265965.369999997</v>
      </c>
      <c r="C19" s="256">
        <f>'Weather Data'!B115</f>
        <v>260.5</v>
      </c>
      <c r="D19" s="256">
        <f>'Weather Data'!C115</f>
        <v>0</v>
      </c>
      <c r="E19" s="256">
        <v>31</v>
      </c>
      <c r="F19" s="256">
        <v>1</v>
      </c>
      <c r="G19" s="256">
        <v>0</v>
      </c>
      <c r="H19" s="256">
        <f>'[11]CoS 2017 Load History'!F57</f>
        <v>43755</v>
      </c>
      <c r="I19" s="257">
        <v>115.30017774683859</v>
      </c>
      <c r="J19" s="256">
        <v>351.91199999999998</v>
      </c>
      <c r="K19" s="231"/>
      <c r="L19" s="9"/>
      <c r="M19" s="14"/>
    </row>
    <row r="20" spans="1:13" hidden="1">
      <c r="A20" s="254">
        <v>36678</v>
      </c>
      <c r="B20" s="255">
        <f>'[11]CoS 2017 Load History'!D58</f>
        <v>23296606.519999966</v>
      </c>
      <c r="C20" s="256">
        <f>'Weather Data'!B116</f>
        <v>155.69999999999999</v>
      </c>
      <c r="D20" s="256">
        <f>'Weather Data'!C116</f>
        <v>2.2999999999999998</v>
      </c>
      <c r="E20" s="256">
        <v>30</v>
      </c>
      <c r="F20" s="256">
        <v>0</v>
      </c>
      <c r="G20" s="256">
        <v>0</v>
      </c>
      <c r="H20" s="256">
        <f>'[11]CoS 2017 Load History'!F58</f>
        <v>43676</v>
      </c>
      <c r="I20" s="257">
        <v>115.82987350896386</v>
      </c>
      <c r="J20" s="256">
        <v>352.08</v>
      </c>
      <c r="K20" s="231"/>
      <c r="L20" s="9"/>
      <c r="M20" s="14"/>
    </row>
    <row r="21" spans="1:13" hidden="1">
      <c r="A21" s="254">
        <v>36708</v>
      </c>
      <c r="B21" s="255">
        <f>'[11]CoS 2017 Load History'!D59</f>
        <v>23900944.639999881</v>
      </c>
      <c r="C21" s="256">
        <f>'Weather Data'!B117</f>
        <v>55.7</v>
      </c>
      <c r="D21" s="256">
        <f>'Weather Data'!C117</f>
        <v>20.8</v>
      </c>
      <c r="E21" s="256">
        <v>31</v>
      </c>
      <c r="F21" s="256">
        <v>0</v>
      </c>
      <c r="G21" s="256">
        <v>0</v>
      </c>
      <c r="H21" s="256">
        <f>'[11]CoS 2017 Load History'!F59</f>
        <v>43539</v>
      </c>
      <c r="I21" s="257">
        <v>116.36200272440982</v>
      </c>
      <c r="J21" s="256">
        <v>319.92</v>
      </c>
      <c r="K21" s="231"/>
      <c r="L21" s="9"/>
      <c r="M21" s="14"/>
    </row>
    <row r="22" spans="1:13" hidden="1">
      <c r="A22" s="254">
        <v>36739</v>
      </c>
      <c r="B22" s="255">
        <f>'[11]CoS 2017 Load History'!D60</f>
        <v>24355354.600000039</v>
      </c>
      <c r="C22" s="256">
        <f>'Weather Data'!B118</f>
        <v>63.4</v>
      </c>
      <c r="D22" s="256">
        <f>'Weather Data'!C118</f>
        <v>9.8000000000000007</v>
      </c>
      <c r="E22" s="256">
        <v>31</v>
      </c>
      <c r="F22" s="256">
        <v>0</v>
      </c>
      <c r="G22" s="256">
        <v>0</v>
      </c>
      <c r="H22" s="256">
        <f>'[11]CoS 2017 Load History'!F60</f>
        <v>43738</v>
      </c>
      <c r="I22" s="257">
        <v>116.89657657260338</v>
      </c>
      <c r="J22" s="256">
        <v>351.91199999999998</v>
      </c>
      <c r="K22" s="231"/>
      <c r="L22" s="9"/>
      <c r="M22" s="14"/>
    </row>
    <row r="23" spans="1:13" hidden="1">
      <c r="A23" s="254">
        <v>36770</v>
      </c>
      <c r="B23" s="255">
        <f>'[11]CoS 2017 Load History'!D61</f>
        <v>24440428.159999877</v>
      </c>
      <c r="C23" s="256">
        <f>'Weather Data'!B119</f>
        <v>223.3</v>
      </c>
      <c r="D23" s="256">
        <f>'Weather Data'!C119</f>
        <v>0</v>
      </c>
      <c r="E23" s="256">
        <v>30</v>
      </c>
      <c r="F23" s="256">
        <v>1</v>
      </c>
      <c r="G23" s="256">
        <v>0</v>
      </c>
      <c r="H23" s="256">
        <f>'[11]CoS 2017 Load History'!F61</f>
        <v>44000</v>
      </c>
      <c r="I23" s="257">
        <v>117.43360628433041</v>
      </c>
      <c r="J23" s="256">
        <v>319.68</v>
      </c>
      <c r="K23" s="231"/>
      <c r="L23" s="9"/>
      <c r="M23" s="14"/>
    </row>
    <row r="24" spans="1:13" hidden="1">
      <c r="A24" s="254">
        <v>36800</v>
      </c>
      <c r="B24" s="255">
        <f>'[11]CoS 2017 Load History'!D62</f>
        <v>27797989.669999942</v>
      </c>
      <c r="C24" s="256">
        <f>'Weather Data'!B120</f>
        <v>372.2</v>
      </c>
      <c r="D24" s="256">
        <f>'Weather Data'!C120</f>
        <v>0</v>
      </c>
      <c r="E24" s="256">
        <v>31</v>
      </c>
      <c r="F24" s="256">
        <v>1</v>
      </c>
      <c r="G24" s="256">
        <v>0</v>
      </c>
      <c r="H24" s="256">
        <f>'[11]CoS 2017 Load History'!F62</f>
        <v>43746</v>
      </c>
      <c r="I24" s="257">
        <v>117.97310314197166</v>
      </c>
      <c r="J24" s="256">
        <v>336.28800000000001</v>
      </c>
      <c r="K24" s="231"/>
      <c r="L24" s="9"/>
      <c r="M24" s="14"/>
    </row>
    <row r="25" spans="1:13" hidden="1">
      <c r="A25" s="254">
        <v>36831</v>
      </c>
      <c r="B25" s="255">
        <f>'[11]CoS 2017 Load History'!D63</f>
        <v>31881933.449999981</v>
      </c>
      <c r="C25" s="256">
        <f>'Weather Data'!B121</f>
        <v>561.6</v>
      </c>
      <c r="D25" s="256">
        <f>'Weather Data'!C121</f>
        <v>0</v>
      </c>
      <c r="E25" s="256">
        <v>30</v>
      </c>
      <c r="F25" s="256">
        <v>1</v>
      </c>
      <c r="G25" s="256">
        <v>0</v>
      </c>
      <c r="H25" s="256">
        <f>'[11]CoS 2017 Load History'!F63</f>
        <v>43748</v>
      </c>
      <c r="I25" s="257">
        <v>118.51507847973981</v>
      </c>
      <c r="J25" s="256">
        <v>352.08</v>
      </c>
      <c r="K25" s="231"/>
      <c r="L25" s="9"/>
      <c r="M25" s="14"/>
    </row>
    <row r="26" spans="1:13" hidden="1">
      <c r="A26" s="254">
        <v>36861</v>
      </c>
      <c r="B26" s="255">
        <f>'[11]CoS 2017 Load History'!D64</f>
        <v>37787462.930000082</v>
      </c>
      <c r="C26" s="256">
        <f>'Weather Data'!B122</f>
        <v>1041.3</v>
      </c>
      <c r="D26" s="256">
        <f>'Weather Data'!C122</f>
        <v>0</v>
      </c>
      <c r="E26" s="256">
        <v>31</v>
      </c>
      <c r="F26" s="256">
        <v>0</v>
      </c>
      <c r="G26" s="256">
        <v>0</v>
      </c>
      <c r="H26" s="256">
        <f>'[11]CoS 2017 Load History'!F64</f>
        <v>43752</v>
      </c>
      <c r="I26" s="257">
        <v>119.05954368391765</v>
      </c>
      <c r="J26" s="256">
        <v>304.29599999999999</v>
      </c>
      <c r="K26" s="231"/>
      <c r="L26" s="9"/>
      <c r="M26" s="14"/>
    </row>
    <row r="27" spans="1:13" hidden="1">
      <c r="A27" s="254">
        <v>36892</v>
      </c>
      <c r="B27" s="255">
        <f>'[11]CoS 2017 Load History'!D65</f>
        <v>38555412.55000025</v>
      </c>
      <c r="C27" s="256">
        <f>'Weather Data'!B123</f>
        <v>898.8</v>
      </c>
      <c r="D27" s="256">
        <f>'Weather Data'!C123</f>
        <v>0</v>
      </c>
      <c r="E27" s="256">
        <v>31</v>
      </c>
      <c r="F27" s="256">
        <v>0</v>
      </c>
      <c r="G27" s="256">
        <v>0</v>
      </c>
      <c r="H27" s="256">
        <f>'[11]CoS 2017 Load History'!F65</f>
        <v>43644</v>
      </c>
      <c r="I27" s="257">
        <v>119.23206305749976</v>
      </c>
      <c r="J27" s="256">
        <v>351.91199999999998</v>
      </c>
      <c r="K27" s="231"/>
      <c r="L27" s="9"/>
      <c r="M27" s="14"/>
    </row>
    <row r="28" spans="1:13" hidden="1">
      <c r="A28" s="254">
        <v>36925</v>
      </c>
      <c r="B28" s="255">
        <f>'[11]CoS 2017 Load History'!D66</f>
        <v>32616109.059999909</v>
      </c>
      <c r="C28" s="256">
        <f>'Weather Data'!B124</f>
        <v>918.9</v>
      </c>
      <c r="D28" s="256">
        <f>'Weather Data'!C124</f>
        <v>0</v>
      </c>
      <c r="E28" s="256">
        <v>28</v>
      </c>
      <c r="F28" s="256">
        <v>0</v>
      </c>
      <c r="G28" s="256">
        <v>0</v>
      </c>
      <c r="H28" s="256">
        <f>'[11]CoS 2017 Load History'!F66</f>
        <v>43682</v>
      </c>
      <c r="I28" s="257">
        <v>119.40483241468957</v>
      </c>
      <c r="J28" s="256">
        <v>319.87200000000001</v>
      </c>
      <c r="K28" s="231"/>
      <c r="L28" s="9"/>
      <c r="M28" s="14"/>
    </row>
    <row r="29" spans="1:13" hidden="1">
      <c r="A29" s="254">
        <v>36958</v>
      </c>
      <c r="B29" s="255">
        <f>'[11]CoS 2017 Load History'!D67</f>
        <v>32556214.300000075</v>
      </c>
      <c r="C29" s="256">
        <f>'Weather Data'!B125</f>
        <v>702.7</v>
      </c>
      <c r="D29" s="256">
        <f>'Weather Data'!C125</f>
        <v>0</v>
      </c>
      <c r="E29" s="256">
        <v>31</v>
      </c>
      <c r="F29" s="256">
        <v>1</v>
      </c>
      <c r="G29" s="256">
        <v>0</v>
      </c>
      <c r="H29" s="256">
        <f>'[11]CoS 2017 Load History'!F67</f>
        <v>43727</v>
      </c>
      <c r="I29" s="257">
        <v>119.57785211771773</v>
      </c>
      <c r="J29" s="256">
        <v>351.91199999999998</v>
      </c>
      <c r="K29" s="231"/>
      <c r="L29" s="9"/>
      <c r="M29" s="14"/>
    </row>
    <row r="30" spans="1:13" hidden="1">
      <c r="A30" s="254">
        <v>36991</v>
      </c>
      <c r="B30" s="255">
        <f>'[11]CoS 2017 Load History'!D68</f>
        <v>28157361.650000103</v>
      </c>
      <c r="C30" s="256">
        <f>'Weather Data'!B126</f>
        <v>430.7</v>
      </c>
      <c r="D30" s="256">
        <f>'Weather Data'!C126</f>
        <v>0</v>
      </c>
      <c r="E30" s="256">
        <v>30</v>
      </c>
      <c r="F30" s="256">
        <v>1</v>
      </c>
      <c r="G30" s="256">
        <v>0</v>
      </c>
      <c r="H30" s="256">
        <f>'[11]CoS 2017 Load History'!F68</f>
        <v>43680</v>
      </c>
      <c r="I30" s="257">
        <v>119.75112252933975</v>
      </c>
      <c r="J30" s="256">
        <v>319.68</v>
      </c>
      <c r="K30" s="231"/>
      <c r="L30" s="9"/>
      <c r="M30" s="14"/>
    </row>
    <row r="31" spans="1:13" hidden="1">
      <c r="A31" s="254">
        <v>37024</v>
      </c>
      <c r="B31" s="255">
        <f>'[11]CoS 2017 Load History'!D69</f>
        <v>25958482.530000001</v>
      </c>
      <c r="C31" s="256">
        <f>'Weather Data'!B127</f>
        <v>239.9</v>
      </c>
      <c r="D31" s="256">
        <f>'Weather Data'!C127</f>
        <v>0</v>
      </c>
      <c r="E31" s="256">
        <v>31</v>
      </c>
      <c r="F31" s="256">
        <v>1</v>
      </c>
      <c r="G31" s="256">
        <v>0</v>
      </c>
      <c r="H31" s="256">
        <f>'[11]CoS 2017 Load History'!F69</f>
        <v>43789</v>
      </c>
      <c r="I31" s="257">
        <v>119.92464401283681</v>
      </c>
      <c r="J31" s="256">
        <v>351.91199999999998</v>
      </c>
      <c r="K31" s="231"/>
      <c r="L31" s="9"/>
      <c r="M31" s="14"/>
    </row>
    <row r="32" spans="1:13" hidden="1">
      <c r="A32" s="254">
        <v>37057</v>
      </c>
      <c r="B32" s="255">
        <f>'[11]CoS 2017 Load History'!D70</f>
        <v>23827610.500000045</v>
      </c>
      <c r="C32" s="256">
        <f>'Weather Data'!B128</f>
        <v>114</v>
      </c>
      <c r="D32" s="256">
        <f>'Weather Data'!C128</f>
        <v>15.2</v>
      </c>
      <c r="E32" s="256">
        <v>30</v>
      </c>
      <c r="F32" s="256">
        <v>0</v>
      </c>
      <c r="G32" s="256">
        <v>0</v>
      </c>
      <c r="H32" s="256">
        <f>'[11]CoS 2017 Load History'!F70</f>
        <v>43875</v>
      </c>
      <c r="I32" s="257">
        <v>120.09841693201646</v>
      </c>
      <c r="J32" s="256">
        <v>336.24</v>
      </c>
      <c r="K32" s="231"/>
      <c r="L32" s="9"/>
      <c r="M32" s="14"/>
    </row>
    <row r="33" spans="1:13" hidden="1">
      <c r="A33" s="254">
        <v>37090</v>
      </c>
      <c r="B33" s="255">
        <f>'[11]CoS 2017 Load History'!D71</f>
        <v>24764452.77000007</v>
      </c>
      <c r="C33" s="256">
        <f>'Weather Data'!B129</f>
        <v>67.2</v>
      </c>
      <c r="D33" s="256">
        <f>'Weather Data'!C129</f>
        <v>29.7</v>
      </c>
      <c r="E33" s="256">
        <v>31</v>
      </c>
      <c r="F33" s="256">
        <v>0</v>
      </c>
      <c r="G33" s="256">
        <v>0</v>
      </c>
      <c r="H33" s="256">
        <f>'[11]CoS 2017 Load History'!F71</f>
        <v>43688</v>
      </c>
      <c r="I33" s="257">
        <v>120.27244165121344</v>
      </c>
      <c r="J33" s="256">
        <v>336.28800000000001</v>
      </c>
      <c r="K33" s="231"/>
      <c r="L33" s="9"/>
      <c r="M33" s="14"/>
    </row>
    <row r="34" spans="1:13" hidden="1">
      <c r="A34" s="254">
        <v>37123</v>
      </c>
      <c r="B34" s="255">
        <f>'[11]CoS 2017 Load History'!D72</f>
        <v>25255805.320000075</v>
      </c>
      <c r="C34" s="256">
        <f>'Weather Data'!B130</f>
        <v>40.200000000000003</v>
      </c>
      <c r="D34" s="256">
        <f>'Weather Data'!C130</f>
        <v>56.1</v>
      </c>
      <c r="E34" s="256">
        <v>31</v>
      </c>
      <c r="F34" s="256">
        <v>0</v>
      </c>
      <c r="G34" s="256">
        <v>0</v>
      </c>
      <c r="H34" s="256">
        <f>'[11]CoS 2017 Load History'!F72</f>
        <v>43795</v>
      </c>
      <c r="I34" s="257">
        <v>120.4467185352904</v>
      </c>
      <c r="J34" s="256">
        <v>351.91199999999998</v>
      </c>
      <c r="K34" s="231"/>
      <c r="L34" s="9"/>
      <c r="M34" s="14"/>
    </row>
    <row r="35" spans="1:13" hidden="1">
      <c r="A35" s="254">
        <v>37156</v>
      </c>
      <c r="B35" s="255">
        <f>'[11]CoS 2017 Load History'!D73</f>
        <v>24913988.220000021</v>
      </c>
      <c r="C35" s="256">
        <f>'Weather Data'!B131</f>
        <v>187.7</v>
      </c>
      <c r="D35" s="256">
        <f>'Weather Data'!C131</f>
        <v>6.8</v>
      </c>
      <c r="E35" s="256">
        <v>30</v>
      </c>
      <c r="F35" s="256">
        <v>1</v>
      </c>
      <c r="G35" s="256">
        <v>0</v>
      </c>
      <c r="H35" s="256">
        <f>'[11]CoS 2017 Load History'!F73</f>
        <v>43882</v>
      </c>
      <c r="I35" s="257">
        <v>120.62124794963869</v>
      </c>
      <c r="J35" s="256">
        <v>303.83999999999997</v>
      </c>
      <c r="K35" s="231"/>
      <c r="L35" s="9"/>
      <c r="M35" s="14"/>
    </row>
    <row r="36" spans="1:13" hidden="1">
      <c r="A36" s="254">
        <v>37189</v>
      </c>
      <c r="B36" s="255">
        <f>'[11]CoS 2017 Load History'!D74</f>
        <v>27835723.390000269</v>
      </c>
      <c r="C36" s="256">
        <f>'Weather Data'!B132</f>
        <v>408.6</v>
      </c>
      <c r="D36" s="256">
        <f>'Weather Data'!C132</f>
        <v>0</v>
      </c>
      <c r="E36" s="256">
        <v>31</v>
      </c>
      <c r="F36" s="256">
        <v>1</v>
      </c>
      <c r="G36" s="256">
        <v>0</v>
      </c>
      <c r="H36" s="256">
        <f>'[11]CoS 2017 Load History'!F74</f>
        <v>43898</v>
      </c>
      <c r="I36" s="257">
        <v>120.79603026017911</v>
      </c>
      <c r="J36" s="256">
        <v>351.91199999999998</v>
      </c>
      <c r="K36" s="231"/>
      <c r="L36" s="9"/>
      <c r="M36" s="14"/>
    </row>
    <row r="37" spans="1:13" hidden="1">
      <c r="A37" s="254">
        <v>37222</v>
      </c>
      <c r="B37" s="255">
        <f>'[11]CoS 2017 Load History'!D75</f>
        <v>30318950.679999791</v>
      </c>
      <c r="C37" s="256">
        <f>'Weather Data'!B133</f>
        <v>458.8</v>
      </c>
      <c r="D37" s="256">
        <f>'Weather Data'!C133</f>
        <v>0</v>
      </c>
      <c r="E37" s="256">
        <v>30</v>
      </c>
      <c r="F37" s="256">
        <v>1</v>
      </c>
      <c r="G37" s="256">
        <v>0</v>
      </c>
      <c r="H37" s="256">
        <f>'[11]CoS 2017 Load History'!F75</f>
        <v>43908</v>
      </c>
      <c r="I37" s="257">
        <v>120.9710658333627</v>
      </c>
      <c r="J37" s="256">
        <v>352.08</v>
      </c>
      <c r="K37" s="231"/>
      <c r="L37" s="9"/>
      <c r="M37" s="14"/>
    </row>
    <row r="38" spans="1:13" hidden="1">
      <c r="A38" s="254">
        <v>37255</v>
      </c>
      <c r="B38" s="255">
        <f>'[11]CoS 2017 Load History'!D76</f>
        <v>35374340.480000086</v>
      </c>
      <c r="C38" s="256">
        <f>'Weather Data'!B134</f>
        <v>716.4</v>
      </c>
      <c r="D38" s="256">
        <f>'Weather Data'!C134</f>
        <v>0</v>
      </c>
      <c r="E38" s="256">
        <v>31</v>
      </c>
      <c r="F38" s="256">
        <v>0</v>
      </c>
      <c r="G38" s="256">
        <v>0</v>
      </c>
      <c r="H38" s="256">
        <f>'[11]CoS 2017 Load History'!F76</f>
        <v>43793</v>
      </c>
      <c r="I38" s="257">
        <v>121.1463550361714</v>
      </c>
      <c r="J38" s="256">
        <v>304.29599999999999</v>
      </c>
      <c r="K38" s="231"/>
      <c r="L38" s="9"/>
      <c r="M38" s="14"/>
    </row>
    <row r="39" spans="1:13" hidden="1">
      <c r="A39" s="258">
        <v>37275</v>
      </c>
      <c r="B39" s="255">
        <f>'[11]CoS 2017 Load History'!D77</f>
        <v>36712335.590000197</v>
      </c>
      <c r="C39" s="256">
        <f>'Weather Data'!B135</f>
        <v>873.9</v>
      </c>
      <c r="D39" s="256">
        <f>'Weather Data'!C135</f>
        <v>0</v>
      </c>
      <c r="E39" s="256">
        <v>31</v>
      </c>
      <c r="F39" s="256">
        <v>0</v>
      </c>
      <c r="G39" s="256">
        <v>0</v>
      </c>
      <c r="H39" s="256">
        <f>'[11]CoS 2017 Load History'!F77</f>
        <v>43791</v>
      </c>
      <c r="I39" s="257">
        <v>121.50450639216388</v>
      </c>
      <c r="J39" s="256">
        <v>351.91199999999998</v>
      </c>
      <c r="K39" s="231"/>
      <c r="L39" s="9"/>
      <c r="M39" s="14"/>
    </row>
    <row r="40" spans="1:13" hidden="1">
      <c r="A40" s="254">
        <v>37308</v>
      </c>
      <c r="B40" s="255">
        <f>'[11]CoS 2017 Load History'!D78</f>
        <v>32266195.500000108</v>
      </c>
      <c r="C40" s="256">
        <f>'Weather Data'!B136</f>
        <v>733</v>
      </c>
      <c r="D40" s="256">
        <f>'Weather Data'!C136</f>
        <v>0</v>
      </c>
      <c r="E40" s="256">
        <v>28</v>
      </c>
      <c r="F40" s="256">
        <v>0</v>
      </c>
      <c r="G40" s="256">
        <v>0</v>
      </c>
      <c r="H40" s="256">
        <f>'[11]CoS 2017 Load History'!F78</f>
        <v>43785</v>
      </c>
      <c r="I40" s="257">
        <v>121.86371656989111</v>
      </c>
      <c r="J40" s="256">
        <v>319.87200000000001</v>
      </c>
      <c r="K40" s="231"/>
      <c r="L40" s="9"/>
      <c r="M40" s="14"/>
    </row>
    <row r="41" spans="1:13" hidden="1">
      <c r="A41" s="254">
        <v>37341</v>
      </c>
      <c r="B41" s="255">
        <f>'[11]CoS 2017 Load History'!D79</f>
        <v>33150979.240000058</v>
      </c>
      <c r="C41" s="256">
        <f>'Weather Data'!B137</f>
        <v>804.7</v>
      </c>
      <c r="D41" s="256">
        <f>'Weather Data'!C137</f>
        <v>0</v>
      </c>
      <c r="E41" s="256">
        <v>31</v>
      </c>
      <c r="F41" s="256">
        <v>1</v>
      </c>
      <c r="G41" s="256">
        <v>0</v>
      </c>
      <c r="H41" s="256">
        <f>'[11]CoS 2017 Load History'!F79</f>
        <v>43856</v>
      </c>
      <c r="I41" s="257">
        <v>122.22398869960362</v>
      </c>
      <c r="J41" s="256">
        <v>319.92</v>
      </c>
      <c r="K41" s="231"/>
      <c r="L41" s="9"/>
      <c r="M41" s="14"/>
    </row>
    <row r="42" spans="1:13" hidden="1">
      <c r="A42" s="254">
        <v>37374</v>
      </c>
      <c r="B42" s="255">
        <f>'[11]CoS 2017 Load History'!D80</f>
        <v>28627065.020000082</v>
      </c>
      <c r="C42" s="256">
        <f>'Weather Data'!B138</f>
        <v>462.3</v>
      </c>
      <c r="D42" s="256">
        <f>'Weather Data'!C138</f>
        <v>0</v>
      </c>
      <c r="E42" s="256">
        <v>30</v>
      </c>
      <c r="F42" s="256">
        <v>1</v>
      </c>
      <c r="G42" s="256">
        <v>0</v>
      </c>
      <c r="H42" s="256">
        <f>'[11]CoS 2017 Load History'!F80</f>
        <v>43869</v>
      </c>
      <c r="I42" s="257">
        <v>122.58532592080604</v>
      </c>
      <c r="J42" s="256">
        <v>352.08</v>
      </c>
      <c r="K42" s="231"/>
      <c r="L42" s="9"/>
      <c r="M42" s="14"/>
    </row>
    <row r="43" spans="1:13" hidden="1">
      <c r="A43" s="254">
        <v>37407</v>
      </c>
      <c r="B43" s="255">
        <f>'[11]CoS 2017 Load History'!D81</f>
        <v>26571396.520000149</v>
      </c>
      <c r="C43" s="256">
        <f>'Weather Data'!B139</f>
        <v>335</v>
      </c>
      <c r="D43" s="256">
        <f>'Weather Data'!C139</f>
        <v>0.5</v>
      </c>
      <c r="E43" s="256">
        <v>31</v>
      </c>
      <c r="F43" s="256">
        <v>1</v>
      </c>
      <c r="G43" s="256">
        <v>0</v>
      </c>
      <c r="H43" s="256">
        <f>'[11]CoS 2017 Load History'!F81</f>
        <v>43842</v>
      </c>
      <c r="I43" s="257">
        <v>122.9477313822845</v>
      </c>
      <c r="J43" s="256">
        <v>351.91199999999998</v>
      </c>
      <c r="K43" s="231"/>
      <c r="L43" s="9"/>
      <c r="M43" s="14"/>
    </row>
    <row r="44" spans="1:13" hidden="1">
      <c r="A44" s="254">
        <v>37408</v>
      </c>
      <c r="B44" s="255">
        <f>'[11]CoS 2017 Load History'!D82</f>
        <v>24748365.239999816</v>
      </c>
      <c r="C44" s="256">
        <f>'Weather Data'!B140</f>
        <v>114.4</v>
      </c>
      <c r="D44" s="256">
        <f>'Weather Data'!C140</f>
        <v>14.2</v>
      </c>
      <c r="E44" s="256">
        <v>30</v>
      </c>
      <c r="F44" s="256">
        <v>0</v>
      </c>
      <c r="G44" s="256">
        <v>0</v>
      </c>
      <c r="H44" s="256">
        <f>'[11]CoS 2017 Load History'!F82</f>
        <v>43856</v>
      </c>
      <c r="I44" s="257">
        <v>123.31120824213403</v>
      </c>
      <c r="J44" s="256">
        <v>319.68</v>
      </c>
      <c r="K44" s="231"/>
      <c r="L44" s="9"/>
      <c r="M44" s="14"/>
    </row>
    <row r="45" spans="1:13" hidden="1">
      <c r="A45" s="254">
        <v>37440</v>
      </c>
      <c r="B45" s="255">
        <f>'[11]CoS 2017 Load History'!D83</f>
        <v>25888517.460000087</v>
      </c>
      <c r="C45" s="256">
        <f>'Weather Data'!B141</f>
        <v>17.899999999999999</v>
      </c>
      <c r="D45" s="256">
        <f>'Weather Data'!C141</f>
        <v>79.3</v>
      </c>
      <c r="E45" s="256">
        <v>31</v>
      </c>
      <c r="F45" s="256">
        <v>0</v>
      </c>
      <c r="G45" s="256">
        <v>0</v>
      </c>
      <c r="H45" s="256">
        <f>'[11]CoS 2017 Load History'!F83</f>
        <v>43816</v>
      </c>
      <c r="I45" s="257">
        <v>123.67575966778612</v>
      </c>
      <c r="J45" s="256">
        <v>351.91199999999998</v>
      </c>
      <c r="K45" s="231"/>
      <c r="L45" s="9"/>
      <c r="M45" s="14"/>
    </row>
    <row r="46" spans="1:13" hidden="1">
      <c r="A46" s="254">
        <v>37473</v>
      </c>
      <c r="B46" s="255">
        <f>'[11]CoS 2017 Load History'!D84</f>
        <v>26199143.039999906</v>
      </c>
      <c r="C46" s="256">
        <f>'Weather Data'!B142</f>
        <v>49.7</v>
      </c>
      <c r="D46" s="256">
        <f>'Weather Data'!C142</f>
        <v>15.5</v>
      </c>
      <c r="E46" s="256">
        <v>31</v>
      </c>
      <c r="F46" s="256">
        <v>0</v>
      </c>
      <c r="G46" s="256">
        <v>0</v>
      </c>
      <c r="H46" s="256">
        <f>'[11]CoS 2017 Load History'!F84</f>
        <v>44159</v>
      </c>
      <c r="I46" s="257">
        <v>124.04138883603632</v>
      </c>
      <c r="J46" s="256">
        <v>336.28800000000001</v>
      </c>
      <c r="K46" s="231"/>
      <c r="L46" s="9"/>
      <c r="M46" s="14"/>
    </row>
    <row r="47" spans="1:13" hidden="1">
      <c r="A47" s="254">
        <v>37506</v>
      </c>
      <c r="B47" s="255">
        <f>'[11]CoS 2017 Load History'!D85</f>
        <v>25956181.139999911</v>
      </c>
      <c r="C47" s="256">
        <f>'Weather Data'!B143</f>
        <v>143.5</v>
      </c>
      <c r="D47" s="256">
        <f>'Weather Data'!C143</f>
        <v>20.9</v>
      </c>
      <c r="E47" s="256">
        <v>30</v>
      </c>
      <c r="F47" s="256">
        <v>1</v>
      </c>
      <c r="G47" s="256">
        <v>0</v>
      </c>
      <c r="H47" s="256">
        <f>'[11]CoS 2017 Load History'!F85</f>
        <v>44035</v>
      </c>
      <c r="I47" s="257">
        <v>124.40809893307186</v>
      </c>
      <c r="J47" s="256">
        <v>319.68</v>
      </c>
      <c r="K47" s="231"/>
      <c r="L47" s="9"/>
      <c r="M47" s="14"/>
    </row>
    <row r="48" spans="1:13" hidden="1">
      <c r="A48" s="254">
        <v>37539</v>
      </c>
      <c r="B48" s="255">
        <f>'[11]CoS 2017 Load History'!D86</f>
        <v>29475965.61000016</v>
      </c>
      <c r="C48" s="256">
        <f>'Weather Data'!B144</f>
        <v>510.1</v>
      </c>
      <c r="D48" s="256">
        <f>'Weather Data'!C144</f>
        <v>0</v>
      </c>
      <c r="E48" s="256">
        <v>31</v>
      </c>
      <c r="F48" s="256">
        <v>1</v>
      </c>
      <c r="G48" s="256">
        <v>0</v>
      </c>
      <c r="H48" s="256">
        <f>'[11]CoS 2017 Load History'!F86</f>
        <v>43993</v>
      </c>
      <c r="I48" s="257">
        <v>124.7758931544995</v>
      </c>
      <c r="J48" s="256">
        <v>351.91199999999998</v>
      </c>
      <c r="K48" s="231"/>
      <c r="L48" s="9"/>
      <c r="M48" s="14"/>
    </row>
    <row r="49" spans="1:13" hidden="1">
      <c r="A49" s="254">
        <v>37572</v>
      </c>
      <c r="B49" s="255">
        <f>'[11]CoS 2017 Load History'!D87</f>
        <v>31967182.769999605</v>
      </c>
      <c r="C49" s="256">
        <f>'Weather Data'!B145</f>
        <v>668</v>
      </c>
      <c r="D49" s="256">
        <f>'Weather Data'!C145</f>
        <v>0</v>
      </c>
      <c r="E49" s="256">
        <v>30</v>
      </c>
      <c r="F49" s="256">
        <v>1</v>
      </c>
      <c r="G49" s="256">
        <v>0</v>
      </c>
      <c r="H49" s="256">
        <f>'[11]CoS 2017 Load History'!F87</f>
        <v>44123</v>
      </c>
      <c r="I49" s="257">
        <v>125.14477470537335</v>
      </c>
      <c r="J49" s="256">
        <v>336.24</v>
      </c>
      <c r="K49" s="231"/>
      <c r="L49" s="9"/>
      <c r="M49" s="14"/>
    </row>
    <row r="50" spans="1:13" hidden="1">
      <c r="A50" s="254">
        <v>37605</v>
      </c>
      <c r="B50" s="255">
        <f>'[11]CoS 2017 Load History'!D88</f>
        <v>36868027.479999997</v>
      </c>
      <c r="C50" s="256">
        <f>'Weather Data'!B146</f>
        <v>785.6</v>
      </c>
      <c r="D50" s="256">
        <f>'Weather Data'!C146</f>
        <v>0</v>
      </c>
      <c r="E50" s="256">
        <v>31</v>
      </c>
      <c r="F50" s="256">
        <v>0</v>
      </c>
      <c r="G50" s="256">
        <v>0</v>
      </c>
      <c r="H50" s="256">
        <f>'[11]CoS 2017 Load History'!F88</f>
        <v>43950</v>
      </c>
      <c r="I50" s="257">
        <v>125.51474680022261</v>
      </c>
      <c r="J50" s="256">
        <v>319.92</v>
      </c>
      <c r="K50" s="231"/>
      <c r="L50" s="9"/>
      <c r="M50" s="33"/>
    </row>
    <row r="51" spans="1:13" hidden="1">
      <c r="A51" s="254">
        <v>37622</v>
      </c>
      <c r="B51" s="255">
        <f>'[11]CoS 2017 Load History'!D89</f>
        <v>38700757.240000278</v>
      </c>
      <c r="C51" s="256">
        <f>'Weather Data'!B147</f>
        <v>907.4</v>
      </c>
      <c r="D51" s="256">
        <f>'Weather Data'!C147</f>
        <v>0</v>
      </c>
      <c r="E51" s="256">
        <v>31</v>
      </c>
      <c r="F51" s="256">
        <v>0</v>
      </c>
      <c r="G51" s="256">
        <v>0</v>
      </c>
      <c r="H51" s="256">
        <f>'[11]CoS 2017 Load History'!F89</f>
        <v>43905</v>
      </c>
      <c r="I51" s="257">
        <v>125.66024937363977</v>
      </c>
      <c r="J51" s="256">
        <v>351.91199999999998</v>
      </c>
      <c r="K51" s="231"/>
      <c r="L51" s="9"/>
      <c r="M51" s="14"/>
    </row>
    <row r="52" spans="1:13" hidden="1">
      <c r="A52" s="254">
        <v>37653</v>
      </c>
      <c r="B52" s="255">
        <f>'[11]CoS 2017 Load History'!D90</f>
        <v>34507023.20000001</v>
      </c>
      <c r="C52" s="256">
        <f>'Weather Data'!B148</f>
        <v>969.6</v>
      </c>
      <c r="D52" s="256">
        <f>'Weather Data'!C148</f>
        <v>0</v>
      </c>
      <c r="E52" s="256">
        <v>28</v>
      </c>
      <c r="F52" s="256">
        <v>0</v>
      </c>
      <c r="G52" s="256">
        <v>0</v>
      </c>
      <c r="H52" s="256">
        <f>'[11]CoS 2017 Load History'!F90</f>
        <v>43803</v>
      </c>
      <c r="I52" s="257">
        <v>125.80592062045517</v>
      </c>
      <c r="J52" s="256">
        <v>319.87200000000001</v>
      </c>
      <c r="K52" s="231"/>
      <c r="L52" s="9"/>
      <c r="M52" s="14"/>
    </row>
    <row r="53" spans="1:13" hidden="1">
      <c r="A53" s="254">
        <v>37681</v>
      </c>
      <c r="B53" s="255">
        <f>'[11]CoS 2017 Load History'!D91</f>
        <v>34325569.499999963</v>
      </c>
      <c r="C53" s="256">
        <f>'Weather Data'!B149</f>
        <v>765.1</v>
      </c>
      <c r="D53" s="256">
        <f>'Weather Data'!C149</f>
        <v>0</v>
      </c>
      <c r="E53" s="256">
        <v>31</v>
      </c>
      <c r="F53" s="256">
        <v>1</v>
      </c>
      <c r="G53" s="256">
        <v>0</v>
      </c>
      <c r="H53" s="256">
        <f>'[11]CoS 2017 Load History'!F91</f>
        <v>43839</v>
      </c>
      <c r="I53" s="257">
        <v>125.9517607362029</v>
      </c>
      <c r="J53" s="256">
        <v>336.28800000000001</v>
      </c>
      <c r="K53" s="231"/>
      <c r="L53" s="9"/>
      <c r="M53" s="14"/>
    </row>
    <row r="54" spans="1:13" hidden="1">
      <c r="A54" s="254">
        <v>37712</v>
      </c>
      <c r="B54" s="255">
        <f>'[11]CoS 2017 Load History'!D92</f>
        <v>28484611.509999972</v>
      </c>
      <c r="C54" s="256">
        <f>'Weather Data'!B150</f>
        <v>499.3</v>
      </c>
      <c r="D54" s="256">
        <f>'Weather Data'!C150</f>
        <v>0</v>
      </c>
      <c r="E54" s="256">
        <v>30</v>
      </c>
      <c r="F54" s="256">
        <v>1</v>
      </c>
      <c r="G54" s="256">
        <v>0</v>
      </c>
      <c r="H54" s="256">
        <f>'[11]CoS 2017 Load History'!F92</f>
        <v>43964</v>
      </c>
      <c r="I54" s="257">
        <v>126.09776991664374</v>
      </c>
      <c r="J54" s="256">
        <v>336.24</v>
      </c>
      <c r="K54" s="231"/>
      <c r="L54" s="9"/>
      <c r="M54" s="14"/>
    </row>
    <row r="55" spans="1:13" hidden="1">
      <c r="A55" s="254">
        <v>37742</v>
      </c>
      <c r="B55" s="255">
        <f>'[11]CoS 2017 Load History'!D93</f>
        <v>26044982.910000205</v>
      </c>
      <c r="C55" s="256">
        <f>'Weather Data'!B151</f>
        <v>276.39999999999998</v>
      </c>
      <c r="D55" s="256">
        <f>'Weather Data'!C151</f>
        <v>0</v>
      </c>
      <c r="E55" s="256">
        <v>31</v>
      </c>
      <c r="F55" s="256">
        <v>1</v>
      </c>
      <c r="G55" s="256">
        <v>0</v>
      </c>
      <c r="H55" s="256">
        <f>'[11]CoS 2017 Load History'!F93</f>
        <v>44218</v>
      </c>
      <c r="I55" s="257">
        <v>126.2439483577654</v>
      </c>
      <c r="J55" s="256">
        <v>336.28800000000001</v>
      </c>
      <c r="K55" s="231"/>
      <c r="L55" s="9"/>
      <c r="M55" s="14"/>
    </row>
    <row r="56" spans="1:13" hidden="1">
      <c r="A56" s="254">
        <v>37773</v>
      </c>
      <c r="B56" s="255">
        <f>'[11]CoS 2017 Load History'!D94</f>
        <v>24018303.7999999</v>
      </c>
      <c r="C56" s="256">
        <f>'Weather Data'!B152</f>
        <v>129.30000000000001</v>
      </c>
      <c r="D56" s="256">
        <f>'Weather Data'!C152</f>
        <v>0</v>
      </c>
      <c r="E56" s="256">
        <v>30</v>
      </c>
      <c r="F56" s="256">
        <v>0</v>
      </c>
      <c r="G56" s="256">
        <v>0</v>
      </c>
      <c r="H56" s="256">
        <f>'[11]CoS 2017 Load History'!F94</f>
        <v>43978</v>
      </c>
      <c r="I56" s="257">
        <v>126.3902962557828</v>
      </c>
      <c r="J56" s="256">
        <v>336.24</v>
      </c>
      <c r="K56" s="231"/>
      <c r="L56" s="9"/>
      <c r="M56" s="14"/>
    </row>
    <row r="57" spans="1:13" hidden="1">
      <c r="A57" s="254">
        <v>37803</v>
      </c>
      <c r="B57" s="255">
        <f>'[11]CoS 2017 Load History'!D95</f>
        <v>25420951.430000067</v>
      </c>
      <c r="C57" s="256">
        <f>'Weather Data'!B153</f>
        <v>29.9</v>
      </c>
      <c r="D57" s="256">
        <f>'Weather Data'!C153</f>
        <v>18.2</v>
      </c>
      <c r="E57" s="256">
        <v>31</v>
      </c>
      <c r="F57" s="256">
        <v>0</v>
      </c>
      <c r="G57" s="256">
        <v>0</v>
      </c>
      <c r="H57" s="256">
        <f>'[11]CoS 2017 Load History'!F95</f>
        <v>43908</v>
      </c>
      <c r="I57" s="257">
        <v>126.5368138071383</v>
      </c>
      <c r="J57" s="256">
        <v>351.91199999999998</v>
      </c>
      <c r="K57" s="231"/>
      <c r="L57" s="9"/>
      <c r="M57" s="14"/>
    </row>
    <row r="58" spans="1:13" hidden="1">
      <c r="A58" s="254">
        <v>37834</v>
      </c>
      <c r="B58" s="255">
        <f>'[11]CoS 2017 Load History'!D96</f>
        <v>26294357.740000248</v>
      </c>
      <c r="C58" s="256">
        <f>'Weather Data'!B154</f>
        <v>35.6</v>
      </c>
      <c r="D58" s="256">
        <f>'Weather Data'!C154</f>
        <v>50.9</v>
      </c>
      <c r="E58" s="256">
        <v>31</v>
      </c>
      <c r="F58" s="256">
        <v>0</v>
      </c>
      <c r="G58" s="256">
        <v>0</v>
      </c>
      <c r="H58" s="256">
        <f>'[11]CoS 2017 Load History'!F96</f>
        <v>44235</v>
      </c>
      <c r="I58" s="257">
        <v>126.68350120850199</v>
      </c>
      <c r="J58" s="256">
        <v>319.92</v>
      </c>
      <c r="K58" s="231"/>
      <c r="L58" s="9"/>
      <c r="M58" s="14"/>
    </row>
    <row r="59" spans="1:13" hidden="1">
      <c r="A59" s="254">
        <v>37865</v>
      </c>
      <c r="B59" s="255">
        <f>'[11]CoS 2017 Load History'!D97</f>
        <v>26006212.489999998</v>
      </c>
      <c r="C59" s="256">
        <f>'Weather Data'!B155</f>
        <v>164</v>
      </c>
      <c r="D59" s="256">
        <f>'Weather Data'!C155</f>
        <v>6.7</v>
      </c>
      <c r="E59" s="256">
        <v>30</v>
      </c>
      <c r="F59" s="256">
        <v>1</v>
      </c>
      <c r="G59" s="256">
        <v>0</v>
      </c>
      <c r="H59" s="256">
        <f>'[11]CoS 2017 Load History'!F97</f>
        <v>44236</v>
      </c>
      <c r="I59" s="257">
        <v>126.83035865677196</v>
      </c>
      <c r="J59" s="256">
        <v>336.24</v>
      </c>
      <c r="K59" s="231"/>
      <c r="L59" s="9"/>
      <c r="M59" s="14"/>
    </row>
    <row r="60" spans="1:13" hidden="1">
      <c r="A60" s="254">
        <v>37895</v>
      </c>
      <c r="B60" s="255">
        <f>'[11]CoS 2017 Load History'!D98</f>
        <v>29293413.960000347</v>
      </c>
      <c r="C60" s="256">
        <f>'Weather Data'!B156</f>
        <v>414.2</v>
      </c>
      <c r="D60" s="256">
        <f>'Weather Data'!C156</f>
        <v>0</v>
      </c>
      <c r="E60" s="256">
        <v>31</v>
      </c>
      <c r="F60" s="256">
        <v>1</v>
      </c>
      <c r="G60" s="256">
        <v>0</v>
      </c>
      <c r="H60" s="256">
        <f>'[11]CoS 2017 Load History'!F98</f>
        <v>44111</v>
      </c>
      <c r="I60" s="257">
        <v>126.97738634907456</v>
      </c>
      <c r="J60" s="256">
        <v>351.91199999999998</v>
      </c>
      <c r="K60" s="231"/>
      <c r="L60" s="9"/>
      <c r="M60" s="14"/>
    </row>
    <row r="61" spans="1:13" hidden="1">
      <c r="A61" s="254">
        <v>37926</v>
      </c>
      <c r="B61" s="255">
        <f>'[11]CoS 2017 Load History'!D99</f>
        <v>32018999.120000001</v>
      </c>
      <c r="C61" s="256">
        <f>'Weather Data'!B157</f>
        <v>632.9</v>
      </c>
      <c r="D61" s="256">
        <f>'Weather Data'!C157</f>
        <v>0</v>
      </c>
      <c r="E61" s="256">
        <v>30</v>
      </c>
      <c r="F61" s="256">
        <v>1</v>
      </c>
      <c r="G61" s="256">
        <v>0</v>
      </c>
      <c r="H61" s="256">
        <f>'[11]CoS 2017 Load History'!F99</f>
        <v>44114</v>
      </c>
      <c r="I61" s="257">
        <v>127.12458448276465</v>
      </c>
      <c r="J61" s="256">
        <v>319.68</v>
      </c>
      <c r="K61" s="231"/>
      <c r="L61" s="9"/>
      <c r="M61" s="14"/>
    </row>
    <row r="62" spans="1:13" hidden="1">
      <c r="A62" s="254">
        <v>37956</v>
      </c>
      <c r="B62" s="255">
        <f>'[11]CoS 2017 Load History'!D100</f>
        <v>36958308.960000031</v>
      </c>
      <c r="C62" s="256">
        <f>'Weather Data'!B158</f>
        <v>785.9</v>
      </c>
      <c r="D62" s="256">
        <f>'Weather Data'!C158</f>
        <v>0</v>
      </c>
      <c r="E62" s="256">
        <v>31</v>
      </c>
      <c r="F62" s="256">
        <v>0</v>
      </c>
      <c r="G62" s="256">
        <v>0</v>
      </c>
      <c r="H62" s="256">
        <f>'[11]CoS 2017 Load History'!F100</f>
        <v>44063</v>
      </c>
      <c r="I62" s="257">
        <v>127.27195325542573</v>
      </c>
      <c r="J62" s="256">
        <v>336.28800000000001</v>
      </c>
      <c r="K62" s="231"/>
      <c r="L62" s="9"/>
      <c r="M62" s="14"/>
    </row>
    <row r="63" spans="1:13" hidden="1">
      <c r="A63" s="254">
        <v>37987</v>
      </c>
      <c r="B63" s="255">
        <f>'[11]CoS 2017 Load History'!D101</f>
        <v>38668458.560000561</v>
      </c>
      <c r="C63" s="256">
        <f>'Weather Data'!B159</f>
        <v>1140.5999999999999</v>
      </c>
      <c r="D63" s="256">
        <f>'Weather Data'!C159</f>
        <v>0</v>
      </c>
      <c r="E63" s="256">
        <v>31</v>
      </c>
      <c r="F63" s="256">
        <v>0</v>
      </c>
      <c r="G63" s="256">
        <v>0</v>
      </c>
      <c r="H63" s="256">
        <f>'[11]CoS 2017 Load History'!F101</f>
        <v>44081</v>
      </c>
      <c r="I63" s="257">
        <v>127.53411264087498</v>
      </c>
      <c r="J63" s="256">
        <v>336.28800000000001</v>
      </c>
      <c r="K63" s="231"/>
      <c r="L63" s="9"/>
      <c r="M63" s="14"/>
    </row>
    <row r="64" spans="1:13" hidden="1">
      <c r="A64" s="254">
        <v>38018</v>
      </c>
      <c r="B64" s="255">
        <f>'[11]CoS 2017 Load History'!D102</f>
        <v>34331411.410000011</v>
      </c>
      <c r="C64" s="256">
        <f>'Weather Data'!B160</f>
        <v>778.3</v>
      </c>
      <c r="D64" s="256">
        <f>'Weather Data'!C160</f>
        <v>0</v>
      </c>
      <c r="E64" s="256">
        <v>29</v>
      </c>
      <c r="F64" s="256">
        <v>0</v>
      </c>
      <c r="G64" s="256">
        <v>0</v>
      </c>
      <c r="H64" s="256">
        <f>'[11]CoS 2017 Load History'!F102</f>
        <v>43971</v>
      </c>
      <c r="I64" s="257">
        <v>127.79681203173486</v>
      </c>
      <c r="J64" s="256">
        <v>320.16000000000003</v>
      </c>
      <c r="K64" s="231"/>
      <c r="L64" s="9"/>
      <c r="M64" s="14"/>
    </row>
    <row r="65" spans="1:47" hidden="1">
      <c r="A65" s="254">
        <v>38047</v>
      </c>
      <c r="B65" s="255">
        <f>'[11]CoS 2017 Load History'!D103</f>
        <v>32611182.190000217</v>
      </c>
      <c r="C65" s="256">
        <f>'Weather Data'!B161</f>
        <v>684.3</v>
      </c>
      <c r="D65" s="256">
        <f>'Weather Data'!C161</f>
        <v>0</v>
      </c>
      <c r="E65" s="256">
        <v>31</v>
      </c>
      <c r="F65" s="256">
        <v>1</v>
      </c>
      <c r="G65" s="256">
        <v>0</v>
      </c>
      <c r="H65" s="256">
        <f>'[11]CoS 2017 Load History'!F103</f>
        <v>44103</v>
      </c>
      <c r="I65" s="257">
        <v>128.06005254032812</v>
      </c>
      <c r="J65" s="256">
        <v>368.28</v>
      </c>
      <c r="K65" s="231"/>
      <c r="L65" s="9"/>
      <c r="M65" s="14"/>
    </row>
    <row r="66" spans="1:47" hidden="1">
      <c r="A66" s="254">
        <v>38078</v>
      </c>
      <c r="B66" s="255">
        <f>'[11]CoS 2017 Load History'!D104</f>
        <v>28276428.909999788</v>
      </c>
      <c r="C66" s="256">
        <f>'Weather Data'!B162</f>
        <v>472.4</v>
      </c>
      <c r="D66" s="256">
        <f>'Weather Data'!C162</f>
        <v>0</v>
      </c>
      <c r="E66" s="256">
        <v>30</v>
      </c>
      <c r="F66" s="256">
        <v>1</v>
      </c>
      <c r="G66" s="256">
        <v>0</v>
      </c>
      <c r="H66" s="256">
        <f>'[11]CoS 2017 Load History'!F104</f>
        <v>44019</v>
      </c>
      <c r="I66" s="257">
        <v>128.32383528126866</v>
      </c>
      <c r="J66" s="256">
        <v>336.24</v>
      </c>
      <c r="K66" s="231"/>
      <c r="L66" s="9"/>
      <c r="M66" s="14"/>
    </row>
    <row r="67" spans="1:47" hidden="1">
      <c r="A67" s="254">
        <v>38108</v>
      </c>
      <c r="B67" s="255">
        <f>'[11]CoS 2017 Load History'!D105</f>
        <v>26338968.129999977</v>
      </c>
      <c r="C67" s="256">
        <f>'Weather Data'!B163</f>
        <v>333.2</v>
      </c>
      <c r="D67" s="256">
        <f>'Weather Data'!C163</f>
        <v>0</v>
      </c>
      <c r="E67" s="256">
        <v>31</v>
      </c>
      <c r="F67" s="256">
        <v>1</v>
      </c>
      <c r="G67" s="256">
        <v>0</v>
      </c>
      <c r="H67" s="256">
        <f>'[11]CoS 2017 Load History'!F105</f>
        <v>44025</v>
      </c>
      <c r="I67" s="257">
        <v>128.58816137146633</v>
      </c>
      <c r="J67" s="256">
        <v>319.92</v>
      </c>
      <c r="K67" s="231"/>
      <c r="L67" s="9"/>
      <c r="M67" s="14"/>
    </row>
    <row r="68" spans="1:47" hidden="1">
      <c r="A68" s="254">
        <v>38139</v>
      </c>
      <c r="B68" s="255">
        <f>'[11]CoS 2017 Load History'!D106</f>
        <v>23894672.880000148</v>
      </c>
      <c r="C68" s="256">
        <f>'Weather Data'!B164</f>
        <v>145.80000000000001</v>
      </c>
      <c r="D68" s="256">
        <f>'Weather Data'!C164</f>
        <v>3.1</v>
      </c>
      <c r="E68" s="256">
        <v>30</v>
      </c>
      <c r="F68" s="256">
        <v>0</v>
      </c>
      <c r="G68" s="256">
        <v>0</v>
      </c>
      <c r="H68" s="256">
        <f>'[11]CoS 2017 Load History'!F106</f>
        <v>44110</v>
      </c>
      <c r="I68" s="257">
        <v>128.85303193013166</v>
      </c>
      <c r="J68" s="256">
        <v>352.08</v>
      </c>
      <c r="K68" s="231"/>
      <c r="L68" s="9"/>
      <c r="M68" s="14"/>
    </row>
    <row r="69" spans="1:47" hidden="1">
      <c r="A69" s="254">
        <v>38169</v>
      </c>
      <c r="B69" s="255">
        <f>'[11]CoS 2017 Load History'!D107</f>
        <v>24543277.730000049</v>
      </c>
      <c r="C69" s="256">
        <f>'Weather Data'!B165</f>
        <v>67.400000000000006</v>
      </c>
      <c r="D69" s="256">
        <f>'Weather Data'!C165</f>
        <v>22</v>
      </c>
      <c r="E69" s="256">
        <v>31</v>
      </c>
      <c r="F69" s="256">
        <v>0</v>
      </c>
      <c r="G69" s="256">
        <v>0</v>
      </c>
      <c r="H69" s="256">
        <f>'[11]CoS 2017 Load History'!F107</f>
        <v>44256</v>
      </c>
      <c r="I69" s="257">
        <v>129.11844807878055</v>
      </c>
      <c r="J69" s="256">
        <v>336.28800000000001</v>
      </c>
      <c r="K69" s="231"/>
      <c r="L69" s="9"/>
      <c r="M69" s="14"/>
    </row>
    <row r="70" spans="1:47" hidden="1">
      <c r="A70" s="254">
        <v>38200</v>
      </c>
      <c r="B70" s="255">
        <f>'[11]CoS 2017 Load History'!D108</f>
        <v>25024173.030000053</v>
      </c>
      <c r="C70" s="256">
        <f>'Weather Data'!B166</f>
        <v>123</v>
      </c>
      <c r="D70" s="256">
        <f>'Weather Data'!C166</f>
        <v>1.8</v>
      </c>
      <c r="E70" s="256">
        <v>31</v>
      </c>
      <c r="F70" s="256">
        <v>0</v>
      </c>
      <c r="G70" s="256">
        <v>0</v>
      </c>
      <c r="H70" s="256">
        <f>'[11]CoS 2017 Load History'!F108</f>
        <v>44126</v>
      </c>
      <c r="I70" s="257">
        <v>129.38441094123903</v>
      </c>
      <c r="J70" s="256">
        <v>336.28800000000001</v>
      </c>
      <c r="K70" s="231"/>
      <c r="L70" s="9"/>
      <c r="M70" s="14"/>
    </row>
    <row r="71" spans="1:47" hidden="1">
      <c r="A71" s="254">
        <v>38231</v>
      </c>
      <c r="B71" s="255">
        <f>'[11]CoS 2017 Load History'!D109</f>
        <v>25064194.599999979</v>
      </c>
      <c r="C71" s="256">
        <f>'Weather Data'!B167</f>
        <v>132.9</v>
      </c>
      <c r="D71" s="256">
        <f>'Weather Data'!C167</f>
        <v>4.7</v>
      </c>
      <c r="E71" s="256">
        <v>30</v>
      </c>
      <c r="F71" s="256">
        <v>1</v>
      </c>
      <c r="G71" s="256">
        <v>0</v>
      </c>
      <c r="H71" s="256">
        <f>'[11]CoS 2017 Load History'!F109</f>
        <v>44294</v>
      </c>
      <c r="I71" s="257">
        <v>129.65092164364802</v>
      </c>
      <c r="J71" s="256">
        <v>336.24</v>
      </c>
      <c r="K71" s="231"/>
      <c r="L71" s="9"/>
      <c r="M71" s="14"/>
    </row>
    <row r="72" spans="1:47" hidden="1">
      <c r="A72" s="254">
        <v>38261</v>
      </c>
      <c r="B72" s="255">
        <f>'[11]CoS 2017 Load History'!D110</f>
        <v>28414629.599999845</v>
      </c>
      <c r="C72" s="256">
        <f>'Weather Data'!B168</f>
        <v>372.7</v>
      </c>
      <c r="D72" s="256">
        <f>'Weather Data'!C168</f>
        <v>0</v>
      </c>
      <c r="E72" s="256">
        <v>31</v>
      </c>
      <c r="F72" s="256">
        <v>1</v>
      </c>
      <c r="G72" s="256">
        <v>0</v>
      </c>
      <c r="H72" s="256">
        <f>'[11]CoS 2017 Load History'!F110</f>
        <v>44311</v>
      </c>
      <c r="I72" s="257">
        <v>129.91798131446814</v>
      </c>
      <c r="J72" s="256">
        <v>319.92</v>
      </c>
      <c r="K72" s="231"/>
      <c r="L72" s="9"/>
      <c r="M72" s="14"/>
    </row>
    <row r="73" spans="1:47" hidden="1">
      <c r="A73" s="254">
        <v>38292</v>
      </c>
      <c r="B73" s="255">
        <f>'[11]CoS 2017 Load History'!D111</f>
        <v>31681875.579999883</v>
      </c>
      <c r="C73" s="256">
        <f>'Weather Data'!B169</f>
        <v>554.9</v>
      </c>
      <c r="D73" s="256">
        <f>'Weather Data'!C169</f>
        <v>0</v>
      </c>
      <c r="E73" s="256">
        <v>30</v>
      </c>
      <c r="F73" s="256">
        <v>1</v>
      </c>
      <c r="G73" s="256">
        <v>0</v>
      </c>
      <c r="H73" s="256">
        <f>'[11]CoS 2017 Load History'!F111</f>
        <v>44365</v>
      </c>
      <c r="I73" s="257">
        <v>130.18559108448443</v>
      </c>
      <c r="J73" s="256">
        <v>352.08</v>
      </c>
      <c r="K73" s="231"/>
      <c r="L73" s="9"/>
      <c r="M73" s="14"/>
    </row>
    <row r="74" spans="1:47" hidden="1">
      <c r="A74" s="254">
        <v>38322</v>
      </c>
      <c r="B74" s="255">
        <f>'[11]CoS 2017 Load History'!D112</f>
        <v>37366129.619999848</v>
      </c>
      <c r="C74" s="256">
        <f>'Weather Data'!B170</f>
        <v>926.6</v>
      </c>
      <c r="D74" s="256">
        <f>'Weather Data'!C170</f>
        <v>0</v>
      </c>
      <c r="E74" s="256">
        <v>31</v>
      </c>
      <c r="F74" s="256">
        <v>0</v>
      </c>
      <c r="G74" s="256">
        <v>0</v>
      </c>
      <c r="H74" s="256">
        <f>'[11]CoS 2017 Load History'!F112</f>
        <v>44185</v>
      </c>
      <c r="I74" s="257">
        <v>130.45375208681136</v>
      </c>
      <c r="J74" s="256">
        <v>336.28800000000001</v>
      </c>
      <c r="K74" s="231"/>
      <c r="L74" s="9"/>
      <c r="M74" s="14"/>
    </row>
    <row r="75" spans="1:47" hidden="1">
      <c r="A75" s="254">
        <v>38353</v>
      </c>
      <c r="B75" s="255">
        <f>'[11]CoS 2017 Load History'!D113</f>
        <v>38920097.020000175</v>
      </c>
      <c r="C75" s="256">
        <f>'Weather Data'!B171</f>
        <v>1084.3</v>
      </c>
      <c r="D75" s="256">
        <f>'Weather Data'!C171</f>
        <v>0</v>
      </c>
      <c r="E75" s="256">
        <v>31</v>
      </c>
      <c r="F75" s="256">
        <v>0</v>
      </c>
      <c r="G75" s="256">
        <v>0</v>
      </c>
      <c r="H75" s="256">
        <f>'[11]CoS 2017 Load History'!F113</f>
        <v>44157</v>
      </c>
      <c r="I75" s="257">
        <v>130.74370215685079</v>
      </c>
      <c r="J75" s="256">
        <v>319.92</v>
      </c>
      <c r="K75" s="231"/>
      <c r="L75" s="9"/>
      <c r="M75" s="14"/>
    </row>
    <row r="76" spans="1:47" s="15" customFormat="1" hidden="1">
      <c r="A76" s="254">
        <v>38384</v>
      </c>
      <c r="B76" s="255">
        <f>'[11]CoS 2017 Load History'!D114</f>
        <v>33256365.220000371</v>
      </c>
      <c r="C76" s="256">
        <f>'Weather Data'!B172</f>
        <v>755.9</v>
      </c>
      <c r="D76" s="256">
        <f>'Weather Data'!C172</f>
        <v>0</v>
      </c>
      <c r="E76" s="256">
        <v>28</v>
      </c>
      <c r="F76" s="256">
        <v>0</v>
      </c>
      <c r="G76" s="256">
        <v>0</v>
      </c>
      <c r="H76" s="256">
        <f>'[11]CoS 2017 Load History'!F114</f>
        <v>44040</v>
      </c>
      <c r="I76" s="257">
        <v>131.0342966778299</v>
      </c>
      <c r="J76" s="256">
        <v>319.87200000000001</v>
      </c>
      <c r="K76" s="231"/>
      <c r="L76" s="9"/>
      <c r="M76" s="14"/>
      <c r="N76"/>
      <c r="O76"/>
      <c r="P76"/>
      <c r="Q76"/>
      <c r="R76"/>
      <c r="S76"/>
      <c r="T76"/>
      <c r="U76"/>
      <c r="V76"/>
      <c r="W76"/>
      <c r="X76"/>
      <c r="Y76"/>
      <c r="Z76"/>
      <c r="AA76"/>
      <c r="AB76"/>
      <c r="AC76"/>
      <c r="AD76"/>
      <c r="AE76"/>
      <c r="AF76"/>
      <c r="AG76"/>
      <c r="AH76"/>
      <c r="AI76"/>
      <c r="AJ76"/>
      <c r="AK76"/>
      <c r="AL76"/>
      <c r="AM76"/>
      <c r="AN76"/>
      <c r="AO76"/>
      <c r="AP76"/>
      <c r="AQ76"/>
      <c r="AR76"/>
      <c r="AS76"/>
      <c r="AT76"/>
      <c r="AU76"/>
    </row>
    <row r="77" spans="1:47" hidden="1">
      <c r="A77" s="254">
        <v>38412</v>
      </c>
      <c r="B77" s="255">
        <f>'[11]CoS 2017 Load History'!D115</f>
        <v>32485847.760000072</v>
      </c>
      <c r="C77" s="256">
        <f>'Weather Data'!B173</f>
        <v>814.1</v>
      </c>
      <c r="D77" s="256">
        <f>'Weather Data'!C173</f>
        <v>0</v>
      </c>
      <c r="E77" s="256">
        <v>31</v>
      </c>
      <c r="F77" s="256">
        <v>1</v>
      </c>
      <c r="G77" s="256">
        <v>0</v>
      </c>
      <c r="H77" s="256">
        <f>'[11]CoS 2017 Load History'!F115</f>
        <v>44100</v>
      </c>
      <c r="I77" s="257">
        <v>131.32553708212293</v>
      </c>
      <c r="J77" s="256">
        <v>351.91199999999998</v>
      </c>
      <c r="K77" s="231"/>
      <c r="L77" s="9"/>
      <c r="M77" s="14"/>
    </row>
    <row r="78" spans="1:47" hidden="1">
      <c r="A78" s="254">
        <v>38443</v>
      </c>
      <c r="B78" s="255">
        <f>'[11]CoS 2017 Load History'!D116</f>
        <v>27843394.499999896</v>
      </c>
      <c r="C78" s="256">
        <f>'Weather Data'!B174</f>
        <v>408.1</v>
      </c>
      <c r="D78" s="256">
        <f>'Weather Data'!C174</f>
        <v>0</v>
      </c>
      <c r="E78" s="256">
        <v>30</v>
      </c>
      <c r="F78" s="256">
        <v>1</v>
      </c>
      <c r="G78" s="256">
        <v>0</v>
      </c>
      <c r="H78" s="256">
        <f>'[11]CoS 2017 Load History'!F116</f>
        <v>44350</v>
      </c>
      <c r="I78" s="257">
        <v>131.61742480528775</v>
      </c>
      <c r="J78" s="256">
        <v>336.24</v>
      </c>
      <c r="K78" s="231"/>
      <c r="L78" s="9"/>
      <c r="M78" s="14"/>
    </row>
    <row r="79" spans="1:47" hidden="1">
      <c r="A79" s="254">
        <v>38473</v>
      </c>
      <c r="B79" s="255">
        <f>'[11]CoS 2017 Load History'!D117</f>
        <v>26410477.640000038</v>
      </c>
      <c r="C79" s="256">
        <f>'Weather Data'!B175</f>
        <v>306.2</v>
      </c>
      <c r="D79" s="256">
        <f>'Weather Data'!C175</f>
        <v>0</v>
      </c>
      <c r="E79" s="256">
        <v>31</v>
      </c>
      <c r="F79" s="256">
        <v>1</v>
      </c>
      <c r="G79" s="256">
        <v>0</v>
      </c>
      <c r="H79" s="256">
        <f>'[11]CoS 2017 Load History'!F117</f>
        <v>44250</v>
      </c>
      <c r="I79" s="257">
        <v>131.90996128607298</v>
      </c>
      <c r="J79" s="256">
        <v>336.28800000000001</v>
      </c>
      <c r="K79" s="231"/>
      <c r="L79" s="9"/>
      <c r="M79" s="14"/>
    </row>
    <row r="80" spans="1:47" hidden="1">
      <c r="A80" s="254">
        <v>38504</v>
      </c>
      <c r="B80" s="255">
        <f>'[11]CoS 2017 Load History'!D118</f>
        <v>24942453.350000061</v>
      </c>
      <c r="C80" s="256">
        <f>'Weather Data'!B176</f>
        <v>72.599999999999994</v>
      </c>
      <c r="D80" s="256">
        <f>'Weather Data'!C176</f>
        <v>16.8</v>
      </c>
      <c r="E80" s="256">
        <v>30</v>
      </c>
      <c r="F80" s="256">
        <v>0</v>
      </c>
      <c r="G80" s="256">
        <v>0</v>
      </c>
      <c r="H80" s="256">
        <f>'[11]CoS 2017 Load History'!F118</f>
        <v>44190</v>
      </c>
      <c r="I80" s="257">
        <v>132.20314796642501</v>
      </c>
      <c r="J80" s="256">
        <v>352.08</v>
      </c>
      <c r="K80" s="231"/>
      <c r="L80" s="9"/>
      <c r="M80" s="14"/>
    </row>
    <row r="81" spans="1:47" hidden="1">
      <c r="A81" s="254">
        <v>38534</v>
      </c>
      <c r="B81" s="255">
        <f>'[11]CoS 2017 Load History'!D119</f>
        <v>26102158.649999917</v>
      </c>
      <c r="C81" s="256">
        <f>'Weather Data'!B177</f>
        <v>45.3</v>
      </c>
      <c r="D81" s="256">
        <f>'Weather Data'!C177</f>
        <v>53</v>
      </c>
      <c r="E81" s="256">
        <v>31</v>
      </c>
      <c r="F81" s="256">
        <v>0</v>
      </c>
      <c r="G81" s="256">
        <v>0</v>
      </c>
      <c r="H81" s="256">
        <f>'[11]CoS 2017 Load History'!F119</f>
        <v>44315</v>
      </c>
      <c r="I81" s="257">
        <v>132.49698629149512</v>
      </c>
      <c r="J81" s="256">
        <v>319.92</v>
      </c>
      <c r="K81" s="231"/>
      <c r="L81" s="9"/>
      <c r="M81" s="14"/>
    </row>
    <row r="82" spans="1:47" hidden="1">
      <c r="A82" s="254">
        <v>38565</v>
      </c>
      <c r="B82" s="255">
        <f>'[11]CoS 2017 Load History'!D120</f>
        <v>26089422.109999936</v>
      </c>
      <c r="C82" s="256">
        <f>'Weather Data'!B178</f>
        <v>46.3</v>
      </c>
      <c r="D82" s="256">
        <f>'Weather Data'!C178</f>
        <v>29.6</v>
      </c>
      <c r="E82" s="256">
        <v>31</v>
      </c>
      <c r="F82" s="256">
        <v>0</v>
      </c>
      <c r="G82" s="256">
        <v>0</v>
      </c>
      <c r="H82" s="256">
        <f>'[11]CoS 2017 Load History'!F120</f>
        <v>44305</v>
      </c>
      <c r="I82" s="257">
        <v>132.79147770964664</v>
      </c>
      <c r="J82" s="256">
        <v>351.91199999999998</v>
      </c>
      <c r="K82" s="231"/>
      <c r="L82" s="9"/>
      <c r="M82" s="14"/>
    </row>
    <row r="83" spans="1:47" hidden="1">
      <c r="A83" s="254">
        <v>38596</v>
      </c>
      <c r="B83" s="255">
        <f>'[11]CoS 2017 Load History'!D121</f>
        <v>25222662.819999851</v>
      </c>
      <c r="C83" s="256">
        <f>'Weather Data'!B179</f>
        <v>148.80000000000001</v>
      </c>
      <c r="D83" s="256">
        <f>'Weather Data'!C179</f>
        <v>15.2</v>
      </c>
      <c r="E83" s="256">
        <v>30</v>
      </c>
      <c r="F83" s="256">
        <v>1</v>
      </c>
      <c r="G83" s="256">
        <v>0</v>
      </c>
      <c r="H83" s="256">
        <f>'[11]CoS 2017 Load History'!F121</f>
        <v>44424</v>
      </c>
      <c r="I83" s="257">
        <v>133.08662367246211</v>
      </c>
      <c r="J83" s="256">
        <v>336.24</v>
      </c>
      <c r="K83" s="231"/>
      <c r="L83" s="9"/>
      <c r="M83" s="14"/>
    </row>
    <row r="84" spans="1:47" hidden="1">
      <c r="A84" s="254">
        <v>38626</v>
      </c>
      <c r="B84" s="255">
        <f>'[11]CoS 2017 Load History'!D122</f>
        <v>28188329.079999827</v>
      </c>
      <c r="C84" s="256">
        <f>'Weather Data'!B180</f>
        <v>347.3</v>
      </c>
      <c r="D84" s="256">
        <f>'Weather Data'!C180</f>
        <v>0</v>
      </c>
      <c r="E84" s="256">
        <v>31</v>
      </c>
      <c r="F84" s="256">
        <v>1</v>
      </c>
      <c r="G84" s="256">
        <v>0</v>
      </c>
      <c r="H84" s="256">
        <f>'[11]CoS 2017 Load History'!F122</f>
        <v>44257</v>
      </c>
      <c r="I84" s="257">
        <v>133.38242563475035</v>
      </c>
      <c r="J84" s="256">
        <v>319.92</v>
      </c>
      <c r="K84" s="231"/>
      <c r="L84" s="9"/>
      <c r="M84" s="14"/>
    </row>
    <row r="85" spans="1:47" hidden="1">
      <c r="A85" s="254">
        <v>38657</v>
      </c>
      <c r="B85" s="255">
        <f>'[11]CoS 2017 Load History'!D123</f>
        <v>31328731.729999922</v>
      </c>
      <c r="C85" s="256">
        <f>'Weather Data'!B181</f>
        <v>606.9</v>
      </c>
      <c r="D85" s="256">
        <f>'Weather Data'!C181</f>
        <v>0</v>
      </c>
      <c r="E85" s="256">
        <v>30</v>
      </c>
      <c r="F85" s="256">
        <v>1</v>
      </c>
      <c r="G85" s="256">
        <v>0</v>
      </c>
      <c r="H85" s="256">
        <f>'[11]CoS 2017 Load History'!F123</f>
        <v>44315</v>
      </c>
      <c r="I85" s="257">
        <v>133.67888505455369</v>
      </c>
      <c r="J85" s="256">
        <v>352.08</v>
      </c>
      <c r="K85" s="231"/>
      <c r="L85" s="9"/>
      <c r="M85" s="14"/>
    </row>
    <row r="86" spans="1:47" hidden="1">
      <c r="A86" s="254">
        <v>38687</v>
      </c>
      <c r="B86" s="255">
        <f>'[11]CoS 2017 Load History'!D124</f>
        <v>35177920.479999423</v>
      </c>
      <c r="C86" s="256">
        <f>'Weather Data'!B182</f>
        <v>833.4</v>
      </c>
      <c r="D86" s="256">
        <f>'Weather Data'!C182</f>
        <v>0</v>
      </c>
      <c r="E86" s="256">
        <v>31</v>
      </c>
      <c r="F86" s="256">
        <v>0</v>
      </c>
      <c r="G86" s="256">
        <v>0</v>
      </c>
      <c r="H86" s="256">
        <f>'[11]CoS 2017 Load History'!F124</f>
        <v>44282</v>
      </c>
      <c r="I86" s="257">
        <v>133.97600339315525</v>
      </c>
      <c r="J86" s="256">
        <v>319.92</v>
      </c>
      <c r="K86" s="231"/>
      <c r="L86" s="9"/>
      <c r="M86" s="14"/>
    </row>
    <row r="87" spans="1:47" s="35" customFormat="1">
      <c r="A87" s="254">
        <v>38718</v>
      </c>
      <c r="B87" s="255">
        <f>'[11]CoS 2017 Load History'!D125</f>
        <v>35639480.850000851</v>
      </c>
      <c r="C87" s="256">
        <f>'Weather Data'!B183</f>
        <v>797</v>
      </c>
      <c r="D87" s="256">
        <f>'Weather Data'!C183</f>
        <v>0</v>
      </c>
      <c r="E87" s="256">
        <v>31</v>
      </c>
      <c r="F87" s="256">
        <v>0</v>
      </c>
      <c r="G87" s="256">
        <f>'CDM Activity'!I19</f>
        <v>20809.682226219731</v>
      </c>
      <c r="H87" s="256">
        <f>'[11]CoS 2017 Load History'!F125</f>
        <v>44181</v>
      </c>
      <c r="I87" s="257">
        <v>134.25197202423305</v>
      </c>
      <c r="J87" s="256">
        <v>336.28800000000001</v>
      </c>
      <c r="K87" s="256">
        <f>$O$103+C87*$O$104+D87*$O$105+E87*$O$106+F87*$O$107+G87*$O$108</f>
        <v>34654453.497340277</v>
      </c>
      <c r="L87" s="232">
        <f>K87-B87</f>
        <v>-985027.35266057402</v>
      </c>
      <c r="M87" s="233">
        <f>ABS(L87/B87)</f>
        <v>2.7638656040090734E-2</v>
      </c>
      <c r="N87" t="s">
        <v>15</v>
      </c>
      <c r="O87"/>
      <c r="P87"/>
      <c r="Q87"/>
      <c r="R87"/>
      <c r="S87"/>
      <c r="T87"/>
      <c r="U87"/>
      <c r="V87"/>
      <c r="W87"/>
      <c r="X87"/>
      <c r="Y87"/>
      <c r="Z87"/>
      <c r="AA87"/>
      <c r="AB87"/>
      <c r="AC87"/>
      <c r="AD87"/>
      <c r="AE87"/>
      <c r="AF87"/>
      <c r="AG87"/>
      <c r="AH87"/>
      <c r="AI87"/>
      <c r="AJ87"/>
      <c r="AK87"/>
      <c r="AL87"/>
      <c r="AM87"/>
      <c r="AN87"/>
      <c r="AO87"/>
      <c r="AP87"/>
      <c r="AQ87"/>
      <c r="AR87"/>
      <c r="AS87"/>
      <c r="AT87"/>
      <c r="AU87"/>
    </row>
    <row r="88" spans="1:47" ht="13.5" thickBot="1">
      <c r="A88" s="254">
        <v>38749</v>
      </c>
      <c r="B88" s="255">
        <f>'[11]CoS 2017 Load History'!D126</f>
        <v>31006600.609999921</v>
      </c>
      <c r="C88" s="256">
        <f>'Weather Data'!B184</f>
        <v>873.4</v>
      </c>
      <c r="D88" s="256">
        <f>'Weather Data'!C184</f>
        <v>0</v>
      </c>
      <c r="E88" s="256">
        <v>28</v>
      </c>
      <c r="F88" s="256">
        <v>0</v>
      </c>
      <c r="G88" s="256">
        <f>'CDM Activity'!I20</f>
        <v>41619.364452439462</v>
      </c>
      <c r="H88" s="256">
        <f>'[11]CoS 2017 Load History'!F126</f>
        <v>44198</v>
      </c>
      <c r="I88" s="257">
        <v>134.52850910550649</v>
      </c>
      <c r="J88" s="256">
        <v>319.87200000000001</v>
      </c>
      <c r="K88" s="256">
        <f t="shared" ref="K88:K151" si="0">$O$103+C88*$O$104+D88*$O$105+E88*$O$106+F88*$O$107+G88*$O$108</f>
        <v>32691529.774068374</v>
      </c>
      <c r="L88" s="232">
        <f t="shared" ref="L88:L92" si="1">K88-B88</f>
        <v>1684929.164068453</v>
      </c>
      <c r="M88" s="233">
        <f t="shared" ref="M88:M92" si="2">ABS(L88/B88)</f>
        <v>5.4340983239712114E-2</v>
      </c>
    </row>
    <row r="89" spans="1:47">
      <c r="A89" s="254">
        <v>38777</v>
      </c>
      <c r="B89" s="255">
        <f>'[11]CoS 2017 Load History'!D127</f>
        <v>31468779.68000007</v>
      </c>
      <c r="C89" s="256">
        <f>'Weather Data'!B185</f>
        <v>659</v>
      </c>
      <c r="D89" s="256">
        <f>'Weather Data'!C185</f>
        <v>0</v>
      </c>
      <c r="E89" s="256">
        <v>31</v>
      </c>
      <c r="F89" s="256">
        <v>1</v>
      </c>
      <c r="G89" s="256">
        <f>'CDM Activity'!I21</f>
        <v>62429.046678659193</v>
      </c>
      <c r="H89" s="256">
        <f>'[11]CoS 2017 Load History'!F127</f>
        <v>44236</v>
      </c>
      <c r="I89" s="257">
        <v>134.80561580788986</v>
      </c>
      <c r="J89" s="256">
        <v>368.28</v>
      </c>
      <c r="K89" s="256">
        <f t="shared" si="0"/>
        <v>31797093.467145968</v>
      </c>
      <c r="L89" s="232">
        <f t="shared" si="1"/>
        <v>328313.78714589775</v>
      </c>
      <c r="M89" s="233">
        <f t="shared" si="2"/>
        <v>1.0433000277877219E-2</v>
      </c>
      <c r="N89" s="53" t="s">
        <v>16</v>
      </c>
      <c r="O89" s="53"/>
    </row>
    <row r="90" spans="1:47">
      <c r="A90" s="254">
        <v>38808</v>
      </c>
      <c r="B90" s="255">
        <f>'[11]CoS 2017 Load History'!D128</f>
        <v>26780261.130000174</v>
      </c>
      <c r="C90" s="256">
        <f>'Weather Data'!B186</f>
        <v>366</v>
      </c>
      <c r="D90" s="256">
        <f>'Weather Data'!C186</f>
        <v>0</v>
      </c>
      <c r="E90" s="256">
        <v>30</v>
      </c>
      <c r="F90" s="256">
        <v>1</v>
      </c>
      <c r="G90" s="256">
        <f>'CDM Activity'!I22</f>
        <v>83238.728904878924</v>
      </c>
      <c r="H90" s="256">
        <f>'[11]CoS 2017 Load History'!F128</f>
        <v>44282</v>
      </c>
      <c r="I90" s="257">
        <v>135.08329330470943</v>
      </c>
      <c r="J90" s="256">
        <v>303.83999999999997</v>
      </c>
      <c r="K90" s="256">
        <f t="shared" si="0"/>
        <v>26851282.854605816</v>
      </c>
      <c r="L90" s="232">
        <f t="shared" si="1"/>
        <v>71021.724605642259</v>
      </c>
      <c r="M90" s="233">
        <f t="shared" si="2"/>
        <v>2.6520176282404232E-3</v>
      </c>
      <c r="N90" s="40" t="s">
        <v>17</v>
      </c>
      <c r="O90" s="56">
        <v>0.97608373532663517</v>
      </c>
    </row>
    <row r="91" spans="1:47">
      <c r="A91" s="254">
        <v>38838</v>
      </c>
      <c r="B91" s="255">
        <f>'[11]CoS 2017 Load History'!D129</f>
        <v>25597983.169999883</v>
      </c>
      <c r="C91" s="256">
        <f>'Weather Data'!B187</f>
        <v>241.5</v>
      </c>
      <c r="D91" s="256">
        <f>'Weather Data'!C187</f>
        <v>2.4</v>
      </c>
      <c r="E91" s="256">
        <v>31</v>
      </c>
      <c r="F91" s="256">
        <v>1</v>
      </c>
      <c r="G91" s="256">
        <f>'CDM Activity'!I23</f>
        <v>104048.41113109866</v>
      </c>
      <c r="H91" s="256">
        <f>'[11]CoS 2017 Load History'!F129</f>
        <v>44417</v>
      </c>
      <c r="I91" s="257">
        <v>135.36154277170829</v>
      </c>
      <c r="J91" s="256">
        <v>351.91199999999998</v>
      </c>
      <c r="K91" s="256">
        <f t="shared" si="0"/>
        <v>26232861.149232551</v>
      </c>
      <c r="L91" s="232">
        <f t="shared" si="1"/>
        <v>634877.97923266888</v>
      </c>
      <c r="M91" s="233">
        <f t="shared" si="2"/>
        <v>2.4801875015557008E-2</v>
      </c>
      <c r="N91" s="40" t="s">
        <v>18</v>
      </c>
      <c r="O91" s="56">
        <v>0.95273945836919682</v>
      </c>
    </row>
    <row r="92" spans="1:47">
      <c r="A92" s="254">
        <v>38869</v>
      </c>
      <c r="B92" s="255">
        <f>'[11]CoS 2017 Load History'!D130</f>
        <v>24345684.17000021</v>
      </c>
      <c r="C92" s="256">
        <f>'Weather Data'!B188</f>
        <v>81.5</v>
      </c>
      <c r="D92" s="256">
        <f>'Weather Data'!C188</f>
        <v>9.3000000000000007</v>
      </c>
      <c r="E92" s="256">
        <v>30</v>
      </c>
      <c r="F92" s="256">
        <v>0</v>
      </c>
      <c r="G92" s="256">
        <f>'CDM Activity'!I24</f>
        <v>124858.0933573184</v>
      </c>
      <c r="H92" s="256">
        <f>'[11]CoS 2017 Load History'!F130</f>
        <v>44241</v>
      </c>
      <c r="I92" s="257">
        <v>135.64036538705133</v>
      </c>
      <c r="J92" s="256">
        <v>352.08</v>
      </c>
      <c r="K92" s="256">
        <f t="shared" si="0"/>
        <v>24302256.431456432</v>
      </c>
      <c r="L92" s="232">
        <f t="shared" si="1"/>
        <v>-43427.738543778658</v>
      </c>
      <c r="M92" s="233">
        <f t="shared" si="2"/>
        <v>1.7837961850048218E-3</v>
      </c>
      <c r="N92" s="40" t="s">
        <v>19</v>
      </c>
      <c r="O92" s="56">
        <v>0.95066662759591591</v>
      </c>
    </row>
    <row r="93" spans="1:47">
      <c r="A93" s="254">
        <v>38899</v>
      </c>
      <c r="B93" s="255">
        <f>'[11]CoS 2017 Load History'!D131</f>
        <v>26114962.539999943</v>
      </c>
      <c r="C93" s="256">
        <f>'Weather Data'!B189</f>
        <v>23.2</v>
      </c>
      <c r="D93" s="256">
        <f>'Weather Data'!C189</f>
        <v>70.099999999999994</v>
      </c>
      <c r="E93" s="256">
        <v>31</v>
      </c>
      <c r="F93" s="256">
        <v>0</v>
      </c>
      <c r="G93" s="256">
        <f>'CDM Activity'!I25</f>
        <v>145667.77558353814</v>
      </c>
      <c r="H93" s="256">
        <f>'[11]CoS 2017 Load History'!F131</f>
        <v>44219</v>
      </c>
      <c r="I93" s="257">
        <v>135.9197623313303</v>
      </c>
      <c r="J93" s="256">
        <v>319.92</v>
      </c>
      <c r="K93" s="256">
        <f t="shared" si="0"/>
        <v>27118713.155002873</v>
      </c>
      <c r="L93" s="232">
        <f t="shared" ref="L93:L156" si="3">K93-B93</f>
        <v>1003750.6150029302</v>
      </c>
      <c r="M93" s="233">
        <f t="shared" ref="M93:M156" si="4">ABS(L93/B93)</f>
        <v>3.8435843569199019E-2</v>
      </c>
      <c r="N93" s="40" t="s">
        <v>20</v>
      </c>
      <c r="O93" s="63">
        <v>943538.30900298967</v>
      </c>
    </row>
    <row r="94" spans="1:47" ht="13.5" thickBot="1">
      <c r="A94" s="254">
        <v>38930</v>
      </c>
      <c r="B94" s="255">
        <f>'[11]CoS 2017 Load History'!D132</f>
        <v>26097674.579999994</v>
      </c>
      <c r="C94" s="256">
        <f>'Weather Data'!B190</f>
        <v>57.7</v>
      </c>
      <c r="D94" s="256">
        <f>'Weather Data'!C190</f>
        <v>31.7</v>
      </c>
      <c r="E94" s="256">
        <v>31</v>
      </c>
      <c r="F94" s="256">
        <v>0</v>
      </c>
      <c r="G94" s="256">
        <f>'CDM Activity'!I26</f>
        <v>166477.45780975788</v>
      </c>
      <c r="H94" s="256">
        <f>'[11]CoS 2017 Load History'!F132</f>
        <v>44380</v>
      </c>
      <c r="I94" s="257">
        <v>136.19973478756879</v>
      </c>
      <c r="J94" s="256">
        <v>351.91199999999998</v>
      </c>
      <c r="K94" s="256">
        <f t="shared" si="0"/>
        <v>25867298.266846254</v>
      </c>
      <c r="L94" s="232">
        <f t="shared" si="3"/>
        <v>-230376.31315374002</v>
      </c>
      <c r="M94" s="233">
        <f t="shared" si="4"/>
        <v>8.8274651616006197E-3</v>
      </c>
      <c r="N94" s="51" t="s">
        <v>21</v>
      </c>
      <c r="O94" s="51">
        <v>120</v>
      </c>
    </row>
    <row r="95" spans="1:47">
      <c r="A95" s="254">
        <v>38961</v>
      </c>
      <c r="B95" s="255">
        <f>'[11]CoS 2017 Load History'!D133</f>
        <v>25191336.769999918</v>
      </c>
      <c r="C95" s="256">
        <f>'Weather Data'!B191</f>
        <v>210.5</v>
      </c>
      <c r="D95" s="256">
        <f>'Weather Data'!C191</f>
        <v>1.2</v>
      </c>
      <c r="E95" s="256">
        <v>30</v>
      </c>
      <c r="F95" s="256">
        <v>1</v>
      </c>
      <c r="G95" s="256">
        <f>'CDM Activity'!I27</f>
        <v>187287.14003597762</v>
      </c>
      <c r="H95" s="256">
        <f>'[11]CoS 2017 Load History'!F133</f>
        <v>44567</v>
      </c>
      <c r="I95" s="257">
        <v>136.48028394122719</v>
      </c>
      <c r="J95" s="256">
        <v>319.68</v>
      </c>
      <c r="K95" s="256">
        <f t="shared" si="0"/>
        <v>24630022.845137708</v>
      </c>
      <c r="L95" s="232">
        <f t="shared" si="3"/>
        <v>-561313.92486220971</v>
      </c>
      <c r="M95" s="233">
        <f t="shared" si="4"/>
        <v>2.2282022188305314E-2</v>
      </c>
    </row>
    <row r="96" spans="1:47" ht="13.5" thickBot="1">
      <c r="A96" s="254">
        <v>38991</v>
      </c>
      <c r="B96" s="255">
        <f>'[11]CoS 2017 Load History'!D134</f>
        <v>28029266.82999998</v>
      </c>
      <c r="C96" s="256">
        <f>'Weather Data'!B192</f>
        <v>440.9</v>
      </c>
      <c r="D96" s="256">
        <f>'Weather Data'!C192</f>
        <v>0</v>
      </c>
      <c r="E96" s="256">
        <v>31</v>
      </c>
      <c r="F96" s="256">
        <v>1</v>
      </c>
      <c r="G96" s="256">
        <f>'CDM Activity'!I28</f>
        <v>208096.82226219735</v>
      </c>
      <c r="H96" s="256">
        <f>'[11]CoS 2017 Load History'!F134</f>
        <v>44364</v>
      </c>
      <c r="I96" s="257">
        <v>136.76141098020776</v>
      </c>
      <c r="J96" s="256">
        <v>336.28800000000001</v>
      </c>
      <c r="K96" s="256">
        <f t="shared" si="0"/>
        <v>28608670.190132104</v>
      </c>
      <c r="L96" s="232">
        <f t="shared" si="3"/>
        <v>579403.36013212427</v>
      </c>
      <c r="M96" s="233">
        <f t="shared" si="4"/>
        <v>2.0671370523041424E-2</v>
      </c>
      <c r="N96" t="s">
        <v>22</v>
      </c>
    </row>
    <row r="97" spans="1:20">
      <c r="A97" s="254">
        <v>39022</v>
      </c>
      <c r="B97" s="255">
        <f>'[11]CoS 2017 Load History'!D135</f>
        <v>30314179.629999813</v>
      </c>
      <c r="C97" s="256">
        <f>'Weather Data'!B193</f>
        <v>540.4</v>
      </c>
      <c r="D97" s="256">
        <f>'Weather Data'!C193</f>
        <v>0</v>
      </c>
      <c r="E97" s="256">
        <v>30</v>
      </c>
      <c r="F97" s="256">
        <v>1</v>
      </c>
      <c r="G97" s="256">
        <f>'CDM Activity'!I29</f>
        <v>228906.50448841709</v>
      </c>
      <c r="H97" s="256">
        <f>'[11]CoS 2017 Load History'!F135</f>
        <v>44313</v>
      </c>
      <c r="I97" s="257">
        <v>137.04311709485967</v>
      </c>
      <c r="J97" s="256">
        <v>352.08</v>
      </c>
      <c r="K97" s="256">
        <f t="shared" si="0"/>
        <v>28920681.378685553</v>
      </c>
      <c r="L97" s="232">
        <f t="shared" si="3"/>
        <v>-1393498.2513142601</v>
      </c>
      <c r="M97" s="233">
        <f t="shared" si="4"/>
        <v>4.5968529194014965E-2</v>
      </c>
      <c r="N97" s="52"/>
      <c r="O97" s="52" t="s">
        <v>26</v>
      </c>
      <c r="P97" s="52" t="s">
        <v>27</v>
      </c>
      <c r="Q97" s="52" t="s">
        <v>28</v>
      </c>
      <c r="R97" s="52" t="s">
        <v>29</v>
      </c>
      <c r="S97" s="52" t="s">
        <v>30</v>
      </c>
    </row>
    <row r="98" spans="1:20">
      <c r="A98" s="254">
        <v>39052</v>
      </c>
      <c r="B98" s="255">
        <f>'[11]CoS 2017 Load History'!D136</f>
        <v>34399460.200000234</v>
      </c>
      <c r="C98" s="256">
        <f>'Weather Data'!B194</f>
        <v>747.4</v>
      </c>
      <c r="D98" s="256">
        <f>'Weather Data'!C194</f>
        <v>0</v>
      </c>
      <c r="E98" s="256">
        <v>31</v>
      </c>
      <c r="F98" s="256">
        <v>0</v>
      </c>
      <c r="G98" s="256">
        <f>'CDM Activity'!I30</f>
        <v>249716.18671463683</v>
      </c>
      <c r="H98" s="256">
        <f>'[11]CoS 2017 Load History'!F136</f>
        <v>44347</v>
      </c>
      <c r="I98" s="257">
        <v>137.32540347798411</v>
      </c>
      <c r="J98" s="256">
        <v>304.29599999999999</v>
      </c>
      <c r="K98" s="256">
        <f t="shared" si="0"/>
        <v>33570743.599308103</v>
      </c>
      <c r="L98" s="232">
        <f t="shared" si="3"/>
        <v>-828716.60069213063</v>
      </c>
      <c r="M98" s="233">
        <f t="shared" si="4"/>
        <v>2.4090976889577034E-2</v>
      </c>
      <c r="N98" s="40" t="s">
        <v>23</v>
      </c>
      <c r="O98" s="40">
        <v>5</v>
      </c>
      <c r="P98" s="40">
        <v>2045970580686466</v>
      </c>
      <c r="Q98" s="40">
        <v>409194116137293.19</v>
      </c>
      <c r="R98" s="40">
        <v>459.63205035846539</v>
      </c>
      <c r="S98" s="40">
        <v>8.7044541237157318E-74</v>
      </c>
    </row>
    <row r="99" spans="1:20">
      <c r="A99" s="254">
        <v>39083</v>
      </c>
      <c r="B99" s="255">
        <f>'[11]CoS 2017 Load History'!D137</f>
        <v>36651750.410000287</v>
      </c>
      <c r="C99" s="256">
        <f>'Weather Data'!B195</f>
        <v>913.4</v>
      </c>
      <c r="D99" s="256">
        <f>'Weather Data'!C195</f>
        <v>0</v>
      </c>
      <c r="E99" s="256">
        <v>31</v>
      </c>
      <c r="F99" s="256">
        <v>0</v>
      </c>
      <c r="G99" s="256">
        <f>'CDM Activity'!I31</f>
        <v>270864.72934878524</v>
      </c>
      <c r="H99" s="256">
        <f>'[11]CoS 2017 Load History'!F137</f>
        <v>44296</v>
      </c>
      <c r="I99" s="257">
        <v>137.552207546647</v>
      </c>
      <c r="J99" s="256">
        <v>351.91199999999998</v>
      </c>
      <c r="K99" s="256">
        <f t="shared" si="0"/>
        <v>35755696.614308566</v>
      </c>
      <c r="L99" s="232">
        <f t="shared" si="3"/>
        <v>-896053.79569172114</v>
      </c>
      <c r="M99" s="233">
        <f t="shared" si="4"/>
        <v>2.4447776318132854E-2</v>
      </c>
      <c r="N99" s="40" t="s">
        <v>24</v>
      </c>
      <c r="O99" s="40">
        <v>114</v>
      </c>
      <c r="P99" s="40">
        <v>101490157623409.23</v>
      </c>
      <c r="Q99" s="40">
        <v>890264540556.22131</v>
      </c>
      <c r="R99" s="40"/>
      <c r="S99" s="40"/>
    </row>
    <row r="100" spans="1:20" ht="13.5" thickBot="1">
      <c r="A100" s="254">
        <v>39114</v>
      </c>
      <c r="B100" s="255">
        <f>'[11]CoS 2017 Load History'!D138</f>
        <v>32943660.569999944</v>
      </c>
      <c r="C100" s="256">
        <f>'Weather Data'!B196</f>
        <v>924.7</v>
      </c>
      <c r="D100" s="256">
        <f>'Weather Data'!C196</f>
        <v>0</v>
      </c>
      <c r="E100" s="256">
        <v>28</v>
      </c>
      <c r="F100" s="256">
        <v>0</v>
      </c>
      <c r="G100" s="256">
        <f>'CDM Activity'!I32</f>
        <v>292013.27198293363</v>
      </c>
      <c r="H100" s="256">
        <f>'[11]CoS 2017 Load History'!F138</f>
        <v>44278</v>
      </c>
      <c r="I100" s="257">
        <v>137.77938620066888</v>
      </c>
      <c r="J100" s="256">
        <v>319.87200000000001</v>
      </c>
      <c r="K100" s="256">
        <f t="shared" si="0"/>
        <v>32920090.555274725</v>
      </c>
      <c r="L100" s="232">
        <f t="shared" si="3"/>
        <v>-23570.014725219458</v>
      </c>
      <c r="M100" s="233">
        <f t="shared" si="4"/>
        <v>7.1546435087676413E-4</v>
      </c>
      <c r="N100" s="51" t="s">
        <v>5</v>
      </c>
      <c r="O100" s="51">
        <v>119</v>
      </c>
      <c r="P100" s="51">
        <v>2147460738309875.2</v>
      </c>
      <c r="Q100" s="51"/>
      <c r="R100" s="51"/>
      <c r="S100" s="51"/>
    </row>
    <row r="101" spans="1:20" ht="13.5" thickBot="1">
      <c r="A101" s="254">
        <v>39142</v>
      </c>
      <c r="B101" s="255">
        <f>'[11]CoS 2017 Load History'!D139</f>
        <v>32857535.92000011</v>
      </c>
      <c r="C101" s="256">
        <f>'Weather Data'!B197</f>
        <v>665</v>
      </c>
      <c r="D101" s="256">
        <f>'Weather Data'!C197</f>
        <v>0</v>
      </c>
      <c r="E101" s="256">
        <v>31</v>
      </c>
      <c r="F101" s="256">
        <v>1</v>
      </c>
      <c r="G101" s="256">
        <f>'CDM Activity'!I33</f>
        <v>313161.81461708201</v>
      </c>
      <c r="H101" s="256">
        <f>'[11]CoS 2017 Load History'!F139</f>
        <v>44348</v>
      </c>
      <c r="I101" s="257">
        <v>138.00694005870795</v>
      </c>
      <c r="J101" s="256">
        <v>351.91199999999998</v>
      </c>
      <c r="K101" s="256">
        <f t="shared" si="0"/>
        <v>31418207.254403517</v>
      </c>
      <c r="L101" s="232">
        <f t="shared" si="3"/>
        <v>-1439328.6655965932</v>
      </c>
      <c r="M101" s="233">
        <f t="shared" si="4"/>
        <v>4.3805131008636769E-2</v>
      </c>
    </row>
    <row r="102" spans="1:20">
      <c r="A102" s="254">
        <v>39173</v>
      </c>
      <c r="B102" s="255">
        <f>'[11]CoS 2017 Load History'!D140</f>
        <v>27092407.240000095</v>
      </c>
      <c r="C102" s="256">
        <f>'Weather Data'!B198</f>
        <v>474.1</v>
      </c>
      <c r="D102" s="256">
        <f>'Weather Data'!C198</f>
        <v>0</v>
      </c>
      <c r="E102" s="256">
        <v>30</v>
      </c>
      <c r="F102" s="256">
        <v>1</v>
      </c>
      <c r="G102" s="256">
        <f>'CDM Activity'!I34</f>
        <v>334310.35725123039</v>
      </c>
      <c r="H102" s="256">
        <f>'[11]CoS 2017 Load History'!F140</f>
        <v>44296</v>
      </c>
      <c r="I102" s="257">
        <v>138.23486974044414</v>
      </c>
      <c r="J102" s="256">
        <v>319.68</v>
      </c>
      <c r="K102" s="256">
        <f t="shared" si="0"/>
        <v>27839479.414745625</v>
      </c>
      <c r="L102" s="232">
        <f t="shared" si="3"/>
        <v>747072.17474552989</v>
      </c>
      <c r="M102" s="233">
        <f t="shared" si="4"/>
        <v>2.7574964754055839E-2</v>
      </c>
      <c r="N102" s="52"/>
      <c r="O102" s="52" t="s">
        <v>31</v>
      </c>
      <c r="P102" s="52" t="s">
        <v>20</v>
      </c>
      <c r="Q102" s="52" t="s">
        <v>32</v>
      </c>
      <c r="R102" s="52" t="s">
        <v>33</v>
      </c>
      <c r="S102" s="52" t="s">
        <v>34</v>
      </c>
      <c r="T102" s="52" t="s">
        <v>35</v>
      </c>
    </row>
    <row r="103" spans="1:20">
      <c r="A103" s="254">
        <v>39203</v>
      </c>
      <c r="B103" s="255">
        <f>'[11]CoS 2017 Load History'!D141</f>
        <v>25115209.089999869</v>
      </c>
      <c r="C103" s="256">
        <f>'Weather Data'!B199</f>
        <v>250.9</v>
      </c>
      <c r="D103" s="256">
        <f>'Weather Data'!C199</f>
        <v>0.6</v>
      </c>
      <c r="E103" s="256">
        <v>31</v>
      </c>
      <c r="F103" s="256">
        <v>1</v>
      </c>
      <c r="G103" s="256">
        <f>'CDM Activity'!I35</f>
        <v>355458.89988537878</v>
      </c>
      <c r="H103" s="256">
        <f>'[11]CoS 2017 Load History'!F141</f>
        <v>44412</v>
      </c>
      <c r="I103" s="257">
        <v>138.46317586658083</v>
      </c>
      <c r="J103" s="256">
        <v>351.91199999999998</v>
      </c>
      <c r="K103" s="256">
        <f t="shared" si="0"/>
        <v>25819742.278104309</v>
      </c>
      <c r="L103" s="232">
        <f t="shared" si="3"/>
        <v>704533.18810443953</v>
      </c>
      <c r="M103" s="233">
        <f t="shared" si="4"/>
        <v>2.8052053462097742E-2</v>
      </c>
      <c r="N103" s="40" t="s">
        <v>25</v>
      </c>
      <c r="O103" s="63">
        <v>-6448974.2895362955</v>
      </c>
      <c r="P103" s="63">
        <v>3324444.7104360289</v>
      </c>
      <c r="Q103" s="54">
        <v>-1.9398651056796965</v>
      </c>
      <c r="R103" s="40">
        <v>5.4866339121335365E-2</v>
      </c>
      <c r="S103" s="63">
        <v>-13034673.655956656</v>
      </c>
      <c r="T103" s="63">
        <v>136725.07688406482</v>
      </c>
    </row>
    <row r="104" spans="1:20">
      <c r="A104" s="254">
        <v>39234</v>
      </c>
      <c r="B104" s="255">
        <f>'[11]CoS 2017 Load History'!D142</f>
        <v>23534586.620000288</v>
      </c>
      <c r="C104" s="256">
        <f>'Weather Data'!B200</f>
        <v>96.7</v>
      </c>
      <c r="D104" s="256">
        <f>'Weather Data'!C200</f>
        <v>6.5</v>
      </c>
      <c r="E104" s="256">
        <v>30</v>
      </c>
      <c r="F104" s="256">
        <v>0</v>
      </c>
      <c r="G104" s="256">
        <f>'CDM Activity'!I36</f>
        <v>376607.44251952716</v>
      </c>
      <c r="H104" s="256">
        <f>'[11]CoS 2017 Load History'!F142</f>
        <v>44550</v>
      </c>
      <c r="I104" s="257">
        <v>138.69185905884657</v>
      </c>
      <c r="J104" s="256">
        <v>336.24</v>
      </c>
      <c r="K104" s="256">
        <f t="shared" si="0"/>
        <v>23922580.547688901</v>
      </c>
      <c r="L104" s="232">
        <f t="shared" si="3"/>
        <v>387993.92768861353</v>
      </c>
      <c r="M104" s="233">
        <f t="shared" si="4"/>
        <v>1.6486116112992888E-2</v>
      </c>
      <c r="N104" s="40" t="s">
        <v>1</v>
      </c>
      <c r="O104" s="63">
        <v>13395.724333996457</v>
      </c>
      <c r="P104" s="63">
        <v>341.52399433290111</v>
      </c>
      <c r="Q104" s="54">
        <v>39.223376852810382</v>
      </c>
      <c r="R104" s="40">
        <v>4.9853246099152811E-68</v>
      </c>
      <c r="S104" s="63">
        <v>12719.167931649028</v>
      </c>
      <c r="T104" s="63">
        <v>14072.280736343886</v>
      </c>
    </row>
    <row r="105" spans="1:20">
      <c r="A105" s="254">
        <v>39264</v>
      </c>
      <c r="B105" s="255">
        <f>'[11]CoS 2017 Load History'!D143</f>
        <v>25046931.960000161</v>
      </c>
      <c r="C105" s="256">
        <f>'Weather Data'!B201</f>
        <v>40.200000000000003</v>
      </c>
      <c r="D105" s="256">
        <f>'Weather Data'!C201</f>
        <v>51.8</v>
      </c>
      <c r="E105" s="256">
        <v>31</v>
      </c>
      <c r="F105" s="256">
        <v>0</v>
      </c>
      <c r="G105" s="256">
        <f>'CDM Activity'!I37</f>
        <v>397755.98515367555</v>
      </c>
      <c r="H105" s="256">
        <f>'[11]CoS 2017 Load History'!F143</f>
        <v>44365</v>
      </c>
      <c r="I105" s="257">
        <v>138.92091993999671</v>
      </c>
      <c r="J105" s="256">
        <v>336.28800000000001</v>
      </c>
      <c r="K105" s="256">
        <f t="shared" si="0"/>
        <v>26086240.144973569</v>
      </c>
      <c r="L105" s="232">
        <f t="shared" si="3"/>
        <v>1039308.1849734075</v>
      </c>
      <c r="M105" s="233">
        <f t="shared" si="4"/>
        <v>4.1494430800274387E-2</v>
      </c>
      <c r="N105" s="40" t="s">
        <v>2</v>
      </c>
      <c r="O105" s="63">
        <v>43631.532157690701</v>
      </c>
      <c r="P105" s="63">
        <v>8222.9868642243855</v>
      </c>
      <c r="Q105" s="54">
        <v>5.3060442486558861</v>
      </c>
      <c r="R105" s="40">
        <v>5.5769314631085092E-7</v>
      </c>
      <c r="S105" s="63">
        <v>27341.858513305528</v>
      </c>
      <c r="T105" s="63">
        <v>59921.20580207587</v>
      </c>
    </row>
    <row r="106" spans="1:20">
      <c r="A106" s="254">
        <v>39295</v>
      </c>
      <c r="B106" s="255">
        <f>'[11]CoS 2017 Load History'!D144</f>
        <v>25330023.870000076</v>
      </c>
      <c r="C106" s="256">
        <f>'Weather Data'!B202</f>
        <v>62.9</v>
      </c>
      <c r="D106" s="256">
        <f>'Weather Data'!C202</f>
        <v>22.1</v>
      </c>
      <c r="E106" s="256">
        <v>31</v>
      </c>
      <c r="F106" s="256">
        <v>0</v>
      </c>
      <c r="G106" s="256">
        <f>'CDM Activity'!I38</f>
        <v>418904.52778782393</v>
      </c>
      <c r="H106" s="256">
        <f>'[11]CoS 2017 Load History'!F144</f>
        <v>44440</v>
      </c>
      <c r="I106" s="257">
        <v>139.15035913381516</v>
      </c>
      <c r="J106" s="256">
        <v>351.91199999999998</v>
      </c>
      <c r="K106" s="256">
        <f t="shared" si="0"/>
        <v>25055729.357828926</v>
      </c>
      <c r="L106" s="232">
        <f t="shared" si="3"/>
        <v>-274294.51217114925</v>
      </c>
      <c r="M106" s="233">
        <f t="shared" si="4"/>
        <v>1.0828829596801657E-2</v>
      </c>
      <c r="N106" s="40" t="s">
        <v>3</v>
      </c>
      <c r="O106" s="63">
        <v>982746.83985501854</v>
      </c>
      <c r="P106" s="63">
        <v>109789.14480644565</v>
      </c>
      <c r="Q106" s="54">
        <v>8.9512204652615353</v>
      </c>
      <c r="R106" s="40">
        <v>7.6301585607521043E-15</v>
      </c>
      <c r="S106" s="63">
        <v>765255.38959209342</v>
      </c>
      <c r="T106" s="63">
        <v>1200238.2901179437</v>
      </c>
    </row>
    <row r="107" spans="1:20">
      <c r="A107" s="254">
        <v>39326</v>
      </c>
      <c r="B107" s="255">
        <f>'[11]CoS 2017 Load History'!D145</f>
        <v>24758256.469999984</v>
      </c>
      <c r="C107" s="256">
        <f>'Weather Data'!B203</f>
        <v>164.7</v>
      </c>
      <c r="D107" s="256">
        <f>'Weather Data'!C203</f>
        <v>9.6</v>
      </c>
      <c r="E107" s="256">
        <v>30</v>
      </c>
      <c r="F107" s="256">
        <v>1</v>
      </c>
      <c r="G107" s="256">
        <f>'CDM Activity'!I39</f>
        <v>440053.07042197231</v>
      </c>
      <c r="H107" s="256">
        <f>'[11]CoS 2017 Load History'!F145</f>
        <v>44418</v>
      </c>
      <c r="I107" s="257">
        <v>139.38017726511606</v>
      </c>
      <c r="J107" s="256">
        <v>303.83999999999997</v>
      </c>
      <c r="K107" s="256">
        <f t="shared" si="0"/>
        <v>23920018.892306227</v>
      </c>
      <c r="L107" s="232">
        <f t="shared" si="3"/>
        <v>-838237.57769375667</v>
      </c>
      <c r="M107" s="233">
        <f t="shared" si="4"/>
        <v>3.385689047649474E-2</v>
      </c>
      <c r="N107" s="40" t="s">
        <v>14</v>
      </c>
      <c r="O107" s="63">
        <v>-932516.98645444028</v>
      </c>
      <c r="P107" s="63">
        <v>206265.09153429646</v>
      </c>
      <c r="Q107" s="54">
        <v>-4.5209636760051914</v>
      </c>
      <c r="R107" s="40">
        <v>1.514709165667637E-5</v>
      </c>
      <c r="S107" s="63">
        <v>-1341126.5441251672</v>
      </c>
      <c r="T107" s="63">
        <v>-523907.42878371332</v>
      </c>
    </row>
    <row r="108" spans="1:20" ht="13.5" thickBot="1">
      <c r="A108" s="254">
        <v>39356</v>
      </c>
      <c r="B108" s="255">
        <f>'[11]CoS 2017 Load History'!D146</f>
        <v>27656765.080000009</v>
      </c>
      <c r="C108" s="256">
        <f>'Weather Data'!B204</f>
        <v>310.60000000000002</v>
      </c>
      <c r="D108" s="256">
        <f>'Weather Data'!C204</f>
        <v>0</v>
      </c>
      <c r="E108" s="256">
        <v>31</v>
      </c>
      <c r="F108" s="256">
        <v>1</v>
      </c>
      <c r="G108" s="256">
        <f>'CDM Activity'!I40</f>
        <v>461201.6130561207</v>
      </c>
      <c r="H108" s="256">
        <f>'[11]CoS 2017 Load History'!F146</f>
        <v>44489</v>
      </c>
      <c r="I108" s="257">
        <v>139.61037495974546</v>
      </c>
      <c r="J108" s="256">
        <v>351.91199999999998</v>
      </c>
      <c r="K108" s="256">
        <f t="shared" si="0"/>
        <v>26399601.979334548</v>
      </c>
      <c r="L108" s="232">
        <f t="shared" si="3"/>
        <v>-1257163.1006654613</v>
      </c>
      <c r="M108" s="233">
        <f t="shared" si="4"/>
        <v>4.545589829573303E-2</v>
      </c>
      <c r="N108" s="51" t="s">
        <v>56</v>
      </c>
      <c r="O108" s="55">
        <v>-1.8316734686198752</v>
      </c>
      <c r="P108" s="55">
        <v>0.45910427243805313</v>
      </c>
      <c r="Q108" s="55">
        <v>-3.9896676606663961</v>
      </c>
      <c r="R108" s="51">
        <v>1.1731300042504073E-4</v>
      </c>
      <c r="S108" s="55">
        <v>-2.7411554962874694</v>
      </c>
      <c r="T108" s="55">
        <v>-0.92219144095228123</v>
      </c>
    </row>
    <row r="109" spans="1:20">
      <c r="A109" s="254">
        <v>39387</v>
      </c>
      <c r="B109" s="255">
        <f>'[11]CoS 2017 Load History'!D147</f>
        <v>30856187.839999899</v>
      </c>
      <c r="C109" s="256">
        <f>'Weather Data'!B205</f>
        <v>620.29999999999995</v>
      </c>
      <c r="D109" s="256">
        <f>'Weather Data'!C205</f>
        <v>0</v>
      </c>
      <c r="E109" s="256">
        <v>30</v>
      </c>
      <c r="F109" s="256">
        <v>1</v>
      </c>
      <c r="G109" s="256">
        <f>'CDM Activity'!I41</f>
        <v>482350.15569026908</v>
      </c>
      <c r="H109" s="256">
        <f>'[11]CoS 2017 Load History'!F147</f>
        <v>44459</v>
      </c>
      <c r="I109" s="257">
        <v>139.84095284458306</v>
      </c>
      <c r="J109" s="256">
        <v>352.08</v>
      </c>
      <c r="K109" s="256">
        <f t="shared" si="0"/>
        <v>29526773.741275288</v>
      </c>
      <c r="L109" s="232">
        <f t="shared" si="3"/>
        <v>-1329414.0987246111</v>
      </c>
      <c r="M109" s="233">
        <f t="shared" si="4"/>
        <v>4.3084197750483215E-2</v>
      </c>
    </row>
    <row r="110" spans="1:20">
      <c r="A110" s="254">
        <v>39417</v>
      </c>
      <c r="B110" s="255">
        <f>'[11]CoS 2017 Load History'!D148</f>
        <v>35513367.18000026</v>
      </c>
      <c r="C110" s="256">
        <f>'Weather Data'!B206</f>
        <v>925.8</v>
      </c>
      <c r="D110" s="256">
        <f>'Weather Data'!C206</f>
        <v>0</v>
      </c>
      <c r="E110" s="256">
        <v>31</v>
      </c>
      <c r="F110" s="256">
        <v>0</v>
      </c>
      <c r="G110" s="256">
        <f>'CDM Activity'!I42</f>
        <v>503498.69832441746</v>
      </c>
      <c r="H110" s="256">
        <f>'[11]CoS 2017 Load History'!F148</f>
        <v>44312</v>
      </c>
      <c r="I110" s="257">
        <v>140.07191154754381</v>
      </c>
      <c r="J110" s="256">
        <v>304.29599999999999</v>
      </c>
      <c r="K110" s="256">
        <f t="shared" si="0"/>
        <v>35495694.127177723</v>
      </c>
      <c r="L110" s="232">
        <f t="shared" si="3"/>
        <v>-17673.05282253772</v>
      </c>
      <c r="M110" s="233">
        <f t="shared" si="4"/>
        <v>4.9764509045175786E-4</v>
      </c>
    </row>
    <row r="111" spans="1:20">
      <c r="A111" s="254">
        <v>39448</v>
      </c>
      <c r="B111" s="255">
        <f>'[11]CoS 2017 Load History'!D149</f>
        <v>36959741.449999802</v>
      </c>
      <c r="C111" s="256">
        <f>'Weather Data'!B207</f>
        <v>934.70000000000016</v>
      </c>
      <c r="D111" s="256">
        <f>'Weather Data'!C207</f>
        <v>0</v>
      </c>
      <c r="E111" s="256">
        <v>31</v>
      </c>
      <c r="F111" s="256">
        <v>0</v>
      </c>
      <c r="G111" s="256">
        <f>'CDM Activity'!I43</f>
        <v>513423.64228246541</v>
      </c>
      <c r="H111" s="256">
        <f>'[11]CoS 2017 Load History'!F149</f>
        <v>44333</v>
      </c>
      <c r="I111" s="259">
        <v>139.96642175819056</v>
      </c>
      <c r="J111" s="260">
        <v>352</v>
      </c>
      <c r="K111" s="256">
        <f t="shared" si="0"/>
        <v>35596736.817224793</v>
      </c>
      <c r="L111" s="232">
        <f t="shared" si="3"/>
        <v>-1363004.6327750087</v>
      </c>
      <c r="M111" s="233">
        <f t="shared" si="4"/>
        <v>3.6878088950349407E-2</v>
      </c>
    </row>
    <row r="112" spans="1:20">
      <c r="A112" s="254">
        <v>39479</v>
      </c>
      <c r="B112" s="255">
        <f>'[11]CoS 2017 Load History'!D150</f>
        <v>33315884.939999737</v>
      </c>
      <c r="C112" s="256">
        <f>'Weather Data'!B208</f>
        <v>921.50000000000011</v>
      </c>
      <c r="D112" s="256">
        <f>'Weather Data'!C208</f>
        <v>0</v>
      </c>
      <c r="E112" s="256">
        <v>29</v>
      </c>
      <c r="F112" s="256">
        <v>0</v>
      </c>
      <c r="G112" s="256">
        <f>'CDM Activity'!I44</f>
        <v>523348.58624051337</v>
      </c>
      <c r="H112" s="256">
        <f>'[11]CoS 2017 Load History'!F150</f>
        <v>44401</v>
      </c>
      <c r="I112" s="259">
        <v>139.86101141442734</v>
      </c>
      <c r="J112" s="260">
        <v>320</v>
      </c>
      <c r="K112" s="256">
        <f t="shared" si="0"/>
        <v>33436240.319780506</v>
      </c>
      <c r="L112" s="232">
        <f t="shared" si="3"/>
        <v>120355.37978076935</v>
      </c>
      <c r="M112" s="233">
        <f t="shared" si="4"/>
        <v>3.6125523904744971E-3</v>
      </c>
    </row>
    <row r="113" spans="1:13">
      <c r="A113" s="254">
        <v>39508</v>
      </c>
      <c r="B113" s="255">
        <f>'[11]CoS 2017 Load History'!D151</f>
        <v>32204211.009999871</v>
      </c>
      <c r="C113" s="256">
        <f>'Weather Data'!B209</f>
        <v>791.9</v>
      </c>
      <c r="D113" s="256">
        <f>'Weather Data'!C209</f>
        <v>0</v>
      </c>
      <c r="E113" s="256">
        <v>31</v>
      </c>
      <c r="F113" s="256">
        <v>1</v>
      </c>
      <c r="G113" s="256">
        <f>'CDM Activity'!I45</f>
        <v>533273.53019856126</v>
      </c>
      <c r="H113" s="256">
        <f>'[11]CoS 2017 Load History'!F151</f>
        <v>44333</v>
      </c>
      <c r="I113" s="259">
        <v>139.75568045642274</v>
      </c>
      <c r="J113" s="260">
        <v>304</v>
      </c>
      <c r="K113" s="256">
        <f t="shared" si="0"/>
        <v>32714951.882824667</v>
      </c>
      <c r="L113" s="232">
        <f t="shared" si="3"/>
        <v>510740.87282479554</v>
      </c>
      <c r="M113" s="233">
        <f t="shared" si="4"/>
        <v>1.5859443743745288E-2</v>
      </c>
    </row>
    <row r="114" spans="1:13">
      <c r="A114" s="254">
        <v>39539</v>
      </c>
      <c r="B114" s="255">
        <f>'[11]CoS 2017 Load History'!D152</f>
        <v>27546470.049999915</v>
      </c>
      <c r="C114" s="256">
        <f>'Weather Data'!B210</f>
        <v>456.89999999999986</v>
      </c>
      <c r="D114" s="256">
        <f>'Weather Data'!C210</f>
        <v>0</v>
      </c>
      <c r="E114" s="256">
        <v>30</v>
      </c>
      <c r="F114" s="256">
        <v>1</v>
      </c>
      <c r="G114" s="256">
        <f>'CDM Activity'!I46</f>
        <v>543198.47415660915</v>
      </c>
      <c r="H114" s="256">
        <f>'[11]CoS 2017 Load History'!F152</f>
        <v>44453</v>
      </c>
      <c r="I114" s="259">
        <v>139.65042882439042</v>
      </c>
      <c r="J114" s="260">
        <v>352</v>
      </c>
      <c r="K114" s="256">
        <f t="shared" si="0"/>
        <v>27226458.13455534</v>
      </c>
      <c r="L114" s="232">
        <f t="shared" si="3"/>
        <v>-320011.91544457525</v>
      </c>
      <c r="M114" s="233">
        <f t="shared" si="4"/>
        <v>1.1617166005797401E-2</v>
      </c>
    </row>
    <row r="115" spans="1:13">
      <c r="A115" s="254">
        <v>39569</v>
      </c>
      <c r="B115" s="255">
        <f>'[11]CoS 2017 Load History'!D153</f>
        <v>25811018.169999894</v>
      </c>
      <c r="C115" s="256">
        <f>'Weather Data'!B211</f>
        <v>327.7</v>
      </c>
      <c r="D115" s="256">
        <f>'Weather Data'!C211</f>
        <v>0</v>
      </c>
      <c r="E115" s="256">
        <v>31</v>
      </c>
      <c r="F115" s="256">
        <v>1</v>
      </c>
      <c r="G115" s="256">
        <f>'CDM Activity'!I47</f>
        <v>553123.41811465705</v>
      </c>
      <c r="H115" s="256">
        <f>'[11]CoS 2017 Load History'!F153</f>
        <v>44678</v>
      </c>
      <c r="I115" s="259">
        <v>139.54525645858905</v>
      </c>
      <c r="J115" s="260">
        <v>336</v>
      </c>
      <c r="K115" s="256">
        <f t="shared" si="0"/>
        <v>26460298.13393252</v>
      </c>
      <c r="L115" s="232">
        <f t="shared" si="3"/>
        <v>649279.96393262595</v>
      </c>
      <c r="M115" s="233">
        <f t="shared" si="4"/>
        <v>2.5155147296253622E-2</v>
      </c>
    </row>
    <row r="116" spans="1:13">
      <c r="A116" s="254">
        <v>39600</v>
      </c>
      <c r="B116" s="255">
        <f>'[11]CoS 2017 Load History'!D154</f>
        <v>23670990.890000027</v>
      </c>
      <c r="C116" s="256">
        <f>'Weather Data'!B212</f>
        <v>109.89999999999998</v>
      </c>
      <c r="D116" s="256">
        <f>'Weather Data'!C212</f>
        <v>4.5999999999999996</v>
      </c>
      <c r="E116" s="256">
        <v>30</v>
      </c>
      <c r="F116" s="256">
        <v>0</v>
      </c>
      <c r="G116" s="256">
        <f>'CDM Activity'!I48</f>
        <v>563048.36207270494</v>
      </c>
      <c r="H116" s="256">
        <f>'[11]CoS 2017 Load History'!F154</f>
        <v>44475</v>
      </c>
      <c r="I116" s="259">
        <v>139.44016329932234</v>
      </c>
      <c r="J116" s="260">
        <v>336</v>
      </c>
      <c r="K116" s="256">
        <f t="shared" si="0"/>
        <v>23675005.311987396</v>
      </c>
      <c r="L116" s="232">
        <f t="shared" si="3"/>
        <v>4014.4219873696566</v>
      </c>
      <c r="M116" s="233">
        <f t="shared" si="4"/>
        <v>1.6959247739246848E-4</v>
      </c>
    </row>
    <row r="117" spans="1:13">
      <c r="A117" s="254">
        <v>39630</v>
      </c>
      <c r="B117" s="255">
        <f>'[11]CoS 2017 Load History'!D155</f>
        <v>24760370.830000084</v>
      </c>
      <c r="C117" s="256">
        <f>'Weather Data'!B213</f>
        <v>34.700000000000003</v>
      </c>
      <c r="D117" s="256">
        <f>'Weather Data'!C213</f>
        <v>22.1</v>
      </c>
      <c r="E117" s="256">
        <v>31</v>
      </c>
      <c r="F117" s="256">
        <v>0</v>
      </c>
      <c r="G117" s="256">
        <f>'CDM Activity'!I49</f>
        <v>572973.30603075284</v>
      </c>
      <c r="H117" s="256">
        <f>'[11]CoS 2017 Load History'!F155</f>
        <v>44447</v>
      </c>
      <c r="I117" s="259">
        <v>139.3351492869389</v>
      </c>
      <c r="J117" s="260">
        <v>352</v>
      </c>
      <c r="K117" s="256">
        <f t="shared" si="0"/>
        <v>24395766.238159977</v>
      </c>
      <c r="L117" s="232">
        <f t="shared" si="3"/>
        <v>-364604.59184010699</v>
      </c>
      <c r="M117" s="233">
        <f t="shared" si="4"/>
        <v>1.4725328402527231E-2</v>
      </c>
    </row>
    <row r="118" spans="1:13">
      <c r="A118" s="254">
        <v>39661</v>
      </c>
      <c r="B118" s="255">
        <f>'[11]CoS 2017 Load History'!D156</f>
        <v>25074714.10000005</v>
      </c>
      <c r="C118" s="256">
        <f>'Weather Data'!B214</f>
        <v>50.400000000000006</v>
      </c>
      <c r="D118" s="256">
        <f>'Weather Data'!C214</f>
        <v>22.200000000000003</v>
      </c>
      <c r="E118" s="256">
        <v>31</v>
      </c>
      <c r="F118" s="256">
        <v>0</v>
      </c>
      <c r="G118" s="256">
        <f>'CDM Activity'!I50</f>
        <v>582898.24998880073</v>
      </c>
      <c r="H118" s="256">
        <f>'[11]CoS 2017 Load History'!F156</f>
        <v>44683</v>
      </c>
      <c r="I118" s="259">
        <v>139.23021436183228</v>
      </c>
      <c r="J118" s="260">
        <v>320</v>
      </c>
      <c r="K118" s="256">
        <f t="shared" si="0"/>
        <v>24592263.006893992</v>
      </c>
      <c r="L118" s="232">
        <f t="shared" si="3"/>
        <v>-482451.09310605749</v>
      </c>
      <c r="M118" s="233">
        <f t="shared" si="4"/>
        <v>1.924054213268404E-2</v>
      </c>
    </row>
    <row r="119" spans="1:13">
      <c r="A119" s="254">
        <v>39692</v>
      </c>
      <c r="B119" s="255">
        <f>'[11]CoS 2017 Load History'!D157</f>
        <v>24527138.439999893</v>
      </c>
      <c r="C119" s="256">
        <f>'Weather Data'!B215</f>
        <v>193.29999999999998</v>
      </c>
      <c r="D119" s="256">
        <f>'Weather Data'!C215</f>
        <v>7</v>
      </c>
      <c r="E119" s="256">
        <v>30</v>
      </c>
      <c r="F119" s="256">
        <v>1</v>
      </c>
      <c r="G119" s="256">
        <f>'CDM Activity'!I51</f>
        <v>592823.19394684862</v>
      </c>
      <c r="H119" s="256">
        <f>'[11]CoS 2017 Load History'!F157</f>
        <v>44620</v>
      </c>
      <c r="I119" s="259">
        <v>139.12535846444095</v>
      </c>
      <c r="J119" s="260">
        <v>336</v>
      </c>
      <c r="K119" s="256">
        <f t="shared" si="0"/>
        <v>23909869.642590232</v>
      </c>
      <c r="L119" s="232">
        <f t="shared" si="3"/>
        <v>-617268.79740966111</v>
      </c>
      <c r="M119" s="233">
        <f t="shared" si="4"/>
        <v>2.5166767779277222E-2</v>
      </c>
    </row>
    <row r="120" spans="1:13">
      <c r="A120" s="254">
        <v>39722</v>
      </c>
      <c r="B120" s="255">
        <f>'[11]CoS 2017 Load History'!D158</f>
        <v>27463878.839999922</v>
      </c>
      <c r="C120" s="256">
        <f>'Weather Data'!B216</f>
        <v>373.09999999999997</v>
      </c>
      <c r="D120" s="256">
        <f>'Weather Data'!C216</f>
        <v>0</v>
      </c>
      <c r="E120" s="256">
        <v>31</v>
      </c>
      <c r="F120" s="256">
        <v>1</v>
      </c>
      <c r="G120" s="256">
        <f>'CDM Activity'!I52</f>
        <v>602748.13790489652</v>
      </c>
      <c r="H120" s="256">
        <f>'[11]CoS 2017 Load History'!F158</f>
        <v>44594</v>
      </c>
      <c r="I120" s="259">
        <v>139.02058153524823</v>
      </c>
      <c r="J120" s="260">
        <v>352</v>
      </c>
      <c r="K120" s="256">
        <f t="shared" si="0"/>
        <v>26977567.736068487</v>
      </c>
      <c r="L120" s="232">
        <f t="shared" si="3"/>
        <v>-486311.10393143445</v>
      </c>
      <c r="M120" s="233">
        <f t="shared" si="4"/>
        <v>1.7707298621749811E-2</v>
      </c>
    </row>
    <row r="121" spans="1:13">
      <c r="A121" s="254">
        <v>39753</v>
      </c>
      <c r="B121" s="255">
        <f>'[11]CoS 2017 Load History'!D159</f>
        <v>31251337.249999966</v>
      </c>
      <c r="C121" s="256">
        <f>'Weather Data'!B217</f>
        <v>591.00000000000011</v>
      </c>
      <c r="D121" s="256">
        <f>'Weather Data'!C217</f>
        <v>0</v>
      </c>
      <c r="E121" s="256">
        <v>30</v>
      </c>
      <c r="F121" s="256">
        <v>1</v>
      </c>
      <c r="G121" s="256">
        <f>'CDM Activity'!I53</f>
        <v>612673.08186294441</v>
      </c>
      <c r="H121" s="256">
        <f>'[11]CoS 2017 Load History'!F159</f>
        <v>44809</v>
      </c>
      <c r="I121" s="259">
        <v>138.91588351478222</v>
      </c>
      <c r="J121" s="260">
        <v>304</v>
      </c>
      <c r="K121" s="256">
        <f t="shared" si="0"/>
        <v>28895569.972065795</v>
      </c>
      <c r="L121" s="232">
        <f t="shared" si="3"/>
        <v>-2355767.2779341713</v>
      </c>
      <c r="M121" s="233">
        <f t="shared" si="4"/>
        <v>7.5381327176141044E-2</v>
      </c>
    </row>
    <row r="122" spans="1:13">
      <c r="A122" s="254">
        <v>39783</v>
      </c>
      <c r="B122" s="255">
        <f>'[11]CoS 2017 Load History'!D160</f>
        <v>37054439.399999842</v>
      </c>
      <c r="C122" s="256">
        <f>'Weather Data'!B218</f>
        <v>1033.7999999999997</v>
      </c>
      <c r="D122" s="256">
        <f>'Weather Data'!C218</f>
        <v>0</v>
      </c>
      <c r="E122" s="256">
        <v>31</v>
      </c>
      <c r="F122" s="256">
        <v>0</v>
      </c>
      <c r="G122" s="256">
        <f>'CDM Activity'!I54</f>
        <v>622598.0258209923</v>
      </c>
      <c r="H122" s="256">
        <f>'[11]CoS 2017 Load History'!F160</f>
        <v>44624</v>
      </c>
      <c r="I122" s="259">
        <v>138.8112643436159</v>
      </c>
      <c r="J122" s="260">
        <v>336</v>
      </c>
      <c r="K122" s="256">
        <f t="shared" si="0"/>
        <v>36724281.276943386</v>
      </c>
      <c r="L122" s="232">
        <f t="shared" si="3"/>
        <v>-330158.12305645645</v>
      </c>
      <c r="M122" s="233">
        <f t="shared" si="4"/>
        <v>8.9100827971629725E-3</v>
      </c>
    </row>
    <row r="123" spans="1:13">
      <c r="A123" s="254">
        <v>39814</v>
      </c>
      <c r="B123" s="255">
        <f>'[11]CoS 2017 Load History'!D161</f>
        <v>38386142.999999948</v>
      </c>
      <c r="C123" s="256">
        <f>'Weather Data'!B219</f>
        <v>1093.3999999999996</v>
      </c>
      <c r="D123" s="256">
        <f>'Weather Data'!C219</f>
        <v>0</v>
      </c>
      <c r="E123" s="256">
        <v>31</v>
      </c>
      <c r="F123" s="256">
        <v>0</v>
      </c>
      <c r="G123" s="256">
        <f>'CDM Activity'!I55</f>
        <v>632742.12409511243</v>
      </c>
      <c r="H123" s="256">
        <f>'[11]CoS 2017 Load History'!F161</f>
        <v>44558</v>
      </c>
      <c r="I123" s="259">
        <v>138.38779708736809</v>
      </c>
      <c r="J123" s="260">
        <v>336</v>
      </c>
      <c r="K123" s="256">
        <f t="shared" si="0"/>
        <v>37504085.77157779</v>
      </c>
      <c r="L123" s="232">
        <f t="shared" si="3"/>
        <v>-882057.22842215747</v>
      </c>
      <c r="M123" s="233">
        <f t="shared" si="4"/>
        <v>2.2978532342313181E-2</v>
      </c>
    </row>
    <row r="124" spans="1:13">
      <c r="A124" s="254">
        <v>39845</v>
      </c>
      <c r="B124" s="255">
        <f>'[11]CoS 2017 Load History'!D162</f>
        <v>32364264.230000056</v>
      </c>
      <c r="C124" s="256">
        <f>'Weather Data'!B220</f>
        <v>838.90000000000009</v>
      </c>
      <c r="D124" s="256">
        <f>'Weather Data'!C220</f>
        <v>0</v>
      </c>
      <c r="E124" s="256">
        <v>28</v>
      </c>
      <c r="F124" s="256">
        <v>0</v>
      </c>
      <c r="G124" s="256">
        <f>'CDM Activity'!I56</f>
        <v>642886.22236923256</v>
      </c>
      <c r="H124" s="256">
        <f>'[11]CoS 2017 Load History'!F162</f>
        <v>44533</v>
      </c>
      <c r="I124" s="259">
        <v>137.965621689659</v>
      </c>
      <c r="J124" s="260">
        <v>304</v>
      </c>
      <c r="K124" s="256">
        <f t="shared" si="0"/>
        <v>31128052.73333887</v>
      </c>
      <c r="L124" s="232">
        <f t="shared" si="3"/>
        <v>-1236211.4966611862</v>
      </c>
      <c r="M124" s="233">
        <f t="shared" si="4"/>
        <v>3.8196805213179537E-2</v>
      </c>
    </row>
    <row r="125" spans="1:13">
      <c r="A125" s="254">
        <v>39873</v>
      </c>
      <c r="B125" s="255">
        <f>'[11]CoS 2017 Load History'!D163</f>
        <v>32111110.449999887</v>
      </c>
      <c r="C125" s="256">
        <f>'Weather Data'!B221</f>
        <v>762.3</v>
      </c>
      <c r="D125" s="256">
        <f>'Weather Data'!C221</f>
        <v>0</v>
      </c>
      <c r="E125" s="256">
        <v>31</v>
      </c>
      <c r="F125" s="256">
        <v>1</v>
      </c>
      <c r="G125" s="256">
        <f>'CDM Activity'!I57</f>
        <v>653030.32064335269</v>
      </c>
      <c r="H125" s="256">
        <f>'[11]CoS 2017 Load History'!F163</f>
        <v>44479</v>
      </c>
      <c r="I125" s="259">
        <v>137.54473420945553</v>
      </c>
      <c r="J125" s="260">
        <v>352</v>
      </c>
      <c r="K125" s="256">
        <f t="shared" si="0"/>
        <v>32099083.106793579</v>
      </c>
      <c r="L125" s="232">
        <f t="shared" si="3"/>
        <v>-12027.343206308782</v>
      </c>
      <c r="M125" s="233">
        <f t="shared" si="4"/>
        <v>3.7455394839230248E-4</v>
      </c>
    </row>
    <row r="126" spans="1:13">
      <c r="A126" s="254">
        <v>39904</v>
      </c>
      <c r="B126" s="255">
        <f>'[11]CoS 2017 Load History'!D164</f>
        <v>27582319.489999644</v>
      </c>
      <c r="C126" s="256">
        <f>'Weather Data'!B222</f>
        <v>453.2</v>
      </c>
      <c r="D126" s="256">
        <f>'Weather Data'!C222</f>
        <v>0</v>
      </c>
      <c r="E126" s="256">
        <v>30</v>
      </c>
      <c r="F126" s="256">
        <v>1</v>
      </c>
      <c r="G126" s="256">
        <f>'CDM Activity'!I58</f>
        <v>663174.41891747282</v>
      </c>
      <c r="H126" s="256">
        <f>'[11]CoS 2017 Load History'!F164</f>
        <v>44545</v>
      </c>
      <c r="I126" s="259">
        <v>137.12513071774731</v>
      </c>
      <c r="J126" s="260">
        <v>320</v>
      </c>
      <c r="K126" s="256">
        <f t="shared" si="0"/>
        <v>26957137.199628476</v>
      </c>
      <c r="L126" s="232">
        <f t="shared" si="3"/>
        <v>-625182.2903711684</v>
      </c>
      <c r="M126" s="233">
        <f t="shared" si="4"/>
        <v>2.2666052091733509E-2</v>
      </c>
    </row>
    <row r="127" spans="1:13">
      <c r="A127" s="254">
        <v>39934</v>
      </c>
      <c r="B127" s="255">
        <f>'[11]CoS 2017 Load History'!D165</f>
        <v>25664853.929999951</v>
      </c>
      <c r="C127" s="256">
        <f>'Weather Data'!B223</f>
        <v>319.8</v>
      </c>
      <c r="D127" s="256">
        <f>'Weather Data'!C223</f>
        <v>0</v>
      </c>
      <c r="E127" s="256">
        <v>31</v>
      </c>
      <c r="F127" s="256">
        <v>1</v>
      </c>
      <c r="G127" s="256">
        <f>'CDM Activity'!I59</f>
        <v>673318.51719159295</v>
      </c>
      <c r="H127" s="256">
        <f>'[11]CoS 2017 Load History'!F165</f>
        <v>44731</v>
      </c>
      <c r="I127" s="259">
        <v>136.70680729751015</v>
      </c>
      <c r="J127" s="260">
        <v>320</v>
      </c>
      <c r="K127" s="256">
        <f t="shared" si="0"/>
        <v>26134313.73765659</v>
      </c>
      <c r="L127" s="232">
        <f t="shared" si="3"/>
        <v>469459.80765663832</v>
      </c>
      <c r="M127" s="233">
        <f t="shared" si="4"/>
        <v>1.8291933744765294E-2</v>
      </c>
    </row>
    <row r="128" spans="1:13">
      <c r="A128" s="254">
        <v>39965</v>
      </c>
      <c r="B128" s="255">
        <f>'[11]CoS 2017 Load History'!D166</f>
        <v>23320632.669999916</v>
      </c>
      <c r="C128" s="256">
        <f>'Weather Data'!B224</f>
        <v>141.80000000000001</v>
      </c>
      <c r="D128" s="256">
        <f>'Weather Data'!C224</f>
        <v>13.7</v>
      </c>
      <c r="E128" s="256">
        <v>30</v>
      </c>
      <c r="F128" s="256">
        <v>0</v>
      </c>
      <c r="G128" s="256">
        <f>'CDM Activity'!I60</f>
        <v>683462.61546571308</v>
      </c>
      <c r="H128" s="256">
        <f>'[11]CoS 2017 Load History'!F166</f>
        <v>44604</v>
      </c>
      <c r="I128" s="259">
        <v>136.28976004366936</v>
      </c>
      <c r="J128" s="260">
        <v>352</v>
      </c>
      <c r="K128" s="256">
        <f t="shared" si="0"/>
        <v>24278816.267693225</v>
      </c>
      <c r="L128" s="232">
        <f t="shared" si="3"/>
        <v>958183.59769330919</v>
      </c>
      <c r="M128" s="233">
        <f t="shared" si="4"/>
        <v>4.1087375769437592E-2</v>
      </c>
    </row>
    <row r="129" spans="1:13">
      <c r="A129" s="254">
        <v>39995</v>
      </c>
      <c r="B129" s="255">
        <f>'[11]CoS 2017 Load History'!D167</f>
        <v>24041096.170000102</v>
      </c>
      <c r="C129" s="256">
        <f>'Weather Data'!B225</f>
        <v>74.5</v>
      </c>
      <c r="D129" s="256">
        <f>'Weather Data'!C225</f>
        <v>2</v>
      </c>
      <c r="E129" s="256">
        <v>31</v>
      </c>
      <c r="F129" s="256">
        <v>0</v>
      </c>
      <c r="G129" s="256">
        <f>'CDM Activity'!I61</f>
        <v>693606.71373983321</v>
      </c>
      <c r="H129" s="256">
        <f>'[11]CoS 2017 Load History'!F167</f>
        <v>44542</v>
      </c>
      <c r="I129" s="259">
        <v>135.87398506306334</v>
      </c>
      <c r="J129" s="260">
        <v>352</v>
      </c>
      <c r="K129" s="256">
        <f t="shared" si="0"/>
        <v>23830961.257953521</v>
      </c>
      <c r="L129" s="232">
        <f t="shared" si="3"/>
        <v>-210134.91204658151</v>
      </c>
      <c r="M129" s="233">
        <f t="shared" si="4"/>
        <v>8.7406543595462266E-3</v>
      </c>
    </row>
    <row r="130" spans="1:13">
      <c r="A130" s="254">
        <v>40026</v>
      </c>
      <c r="B130" s="255">
        <f>'[11]CoS 2017 Load History'!D168</f>
        <v>24433772.640000012</v>
      </c>
      <c r="C130" s="256">
        <f>'Weather Data'!B226</f>
        <v>84.2</v>
      </c>
      <c r="D130" s="256">
        <f>'Weather Data'!C226</f>
        <v>14.2</v>
      </c>
      <c r="E130" s="256">
        <v>31</v>
      </c>
      <c r="F130" s="256">
        <v>0</v>
      </c>
      <c r="G130" s="256">
        <f>'CDM Activity'!I62</f>
        <v>703750.81201395334</v>
      </c>
      <c r="H130" s="256">
        <f>'[11]CoS 2017 Load History'!F168</f>
        <v>44538</v>
      </c>
      <c r="I130" s="259">
        <v>135.45947847440726</v>
      </c>
      <c r="J130" s="260">
        <v>320</v>
      </c>
      <c r="K130" s="256">
        <f t="shared" si="0"/>
        <v>24474623.800645337</v>
      </c>
      <c r="L130" s="232">
        <f t="shared" si="3"/>
        <v>40851.160645324737</v>
      </c>
      <c r="M130" s="233">
        <f t="shared" si="4"/>
        <v>1.6719137583546212E-3</v>
      </c>
    </row>
    <row r="131" spans="1:13">
      <c r="A131" s="254">
        <v>40057</v>
      </c>
      <c r="B131" s="255">
        <f>'[11]CoS 2017 Load History'!D169</f>
        <v>24530858.359999929</v>
      </c>
      <c r="C131" s="256">
        <f>'Weather Data'!B227</f>
        <v>102.8</v>
      </c>
      <c r="D131" s="256">
        <f>'Weather Data'!C227</f>
        <v>3.5</v>
      </c>
      <c r="E131" s="256">
        <v>30</v>
      </c>
      <c r="F131" s="256">
        <v>1</v>
      </c>
      <c r="G131" s="256">
        <f>'CDM Activity'!I63</f>
        <v>713894.91028807347</v>
      </c>
      <c r="H131" s="256">
        <f>'[11]CoS 2017 Load History'!F169</f>
        <v>44722</v>
      </c>
      <c r="I131" s="259">
        <v>135.04623640825679</v>
      </c>
      <c r="J131" s="260">
        <v>336</v>
      </c>
      <c r="K131" s="256">
        <f t="shared" si="0"/>
        <v>22323082.377189141</v>
      </c>
      <c r="L131" s="232">
        <f t="shared" si="3"/>
        <v>-2207775.9828107879</v>
      </c>
      <c r="M131" s="233">
        <f t="shared" si="4"/>
        <v>8.9999948245218855E-2</v>
      </c>
    </row>
    <row r="132" spans="1:13">
      <c r="A132" s="254">
        <v>40087</v>
      </c>
      <c r="B132" s="255">
        <f>'[11]CoS 2017 Load History'!D170</f>
        <v>27407141.959999695</v>
      </c>
      <c r="C132" s="256">
        <f>'Weather Data'!B228</f>
        <v>451.40000000000003</v>
      </c>
      <c r="D132" s="256">
        <f>'Weather Data'!C228</f>
        <v>0</v>
      </c>
      <c r="E132" s="256">
        <v>31</v>
      </c>
      <c r="F132" s="256">
        <v>1</v>
      </c>
      <c r="G132" s="256">
        <f>'CDM Activity'!I64</f>
        <v>724039.0085621936</v>
      </c>
      <c r="H132" s="256">
        <f>'[11]CoS 2017 Load History'!F170</f>
        <v>44786</v>
      </c>
      <c r="I132" s="259">
        <v>134.63425500697198</v>
      </c>
      <c r="J132" s="260">
        <v>336</v>
      </c>
      <c r="K132" s="256">
        <f t="shared" si="0"/>
        <v>27804287.681651633</v>
      </c>
      <c r="L132" s="232">
        <f t="shared" si="3"/>
        <v>397145.72165193781</v>
      </c>
      <c r="M132" s="233">
        <f t="shared" si="4"/>
        <v>1.4490592351131173E-2</v>
      </c>
    </row>
    <row r="133" spans="1:13">
      <c r="A133" s="254">
        <v>40118</v>
      </c>
      <c r="B133" s="255">
        <f>'[11]CoS 2017 Load History'!D171</f>
        <v>29972143.999999814</v>
      </c>
      <c r="C133" s="256">
        <f>'Weather Data'!B229</f>
        <v>473.49999999999994</v>
      </c>
      <c r="D133" s="256">
        <f>'Weather Data'!C229</f>
        <v>0</v>
      </c>
      <c r="E133" s="256">
        <v>30</v>
      </c>
      <c r="F133" s="256">
        <v>1</v>
      </c>
      <c r="G133" s="256">
        <f>'CDM Activity'!I65</f>
        <v>734183.10683631373</v>
      </c>
      <c r="H133" s="256">
        <f>'[11]CoS 2017 Load History'!F171</f>
        <v>44620</v>
      </c>
      <c r="I133" s="259">
        <v>134.22353042468131</v>
      </c>
      <c r="J133" s="260">
        <v>320</v>
      </c>
      <c r="K133" s="256">
        <f t="shared" si="0"/>
        <v>27099005.673906151</v>
      </c>
      <c r="L133" s="232">
        <f t="shared" si="3"/>
        <v>-2873138.3260936625</v>
      </c>
      <c r="M133" s="233">
        <f t="shared" si="4"/>
        <v>9.586028700828611E-2</v>
      </c>
    </row>
    <row r="134" spans="1:13">
      <c r="A134" s="254">
        <v>40148</v>
      </c>
      <c r="B134" s="255">
        <f>'[11]CoS 2017 Load History'!D172</f>
        <v>34913483.790000267</v>
      </c>
      <c r="C134" s="256">
        <f>'Weather Data'!B230</f>
        <v>914.89999999999986</v>
      </c>
      <c r="D134" s="256">
        <f>'Weather Data'!C230</f>
        <v>0</v>
      </c>
      <c r="E134" s="256">
        <v>31</v>
      </c>
      <c r="F134" s="256">
        <v>0</v>
      </c>
      <c r="G134" s="256">
        <f>'CDM Activity'!I66</f>
        <v>744327.20511043386</v>
      </c>
      <c r="H134" s="256">
        <f>'[11]CoS 2017 Load History'!F172</f>
        <v>44706</v>
      </c>
      <c r="I134" s="259">
        <v>133.81405882724573</v>
      </c>
      <c r="J134" s="260">
        <v>352</v>
      </c>
      <c r="K134" s="256">
        <f t="shared" si="0"/>
        <v>34908561.545569874</v>
      </c>
      <c r="L134" s="232">
        <f t="shared" si="3"/>
        <v>-4922.2444303929806</v>
      </c>
      <c r="M134" s="233">
        <f t="shared" si="4"/>
        <v>1.4098405246521929E-4</v>
      </c>
    </row>
    <row r="135" spans="1:13">
      <c r="A135" s="254">
        <v>40179</v>
      </c>
      <c r="B135" s="255">
        <f>'[11]CoS 2017 Load History'!D173</f>
        <v>36085553.260000087</v>
      </c>
      <c r="C135" s="256">
        <f>'Weather Data'!B231</f>
        <v>900.20000000000027</v>
      </c>
      <c r="D135" s="256">
        <f>'Weather Data'!C231</f>
        <v>0</v>
      </c>
      <c r="E135" s="256">
        <v>31</v>
      </c>
      <c r="F135" s="256">
        <v>0</v>
      </c>
      <c r="G135" s="256">
        <f>'CDM Activity'!I67</f>
        <v>715812.91985037085</v>
      </c>
      <c r="H135" s="256">
        <f>'[11]CoS 2017 Load History'!F173</f>
        <v>44629</v>
      </c>
      <c r="I135" s="259">
        <v>134.14408039564063</v>
      </c>
      <c r="J135" s="256">
        <v>320</v>
      </c>
      <c r="K135" s="256">
        <f t="shared" si="0"/>
        <v>34763873.257647648</v>
      </c>
      <c r="L135" s="232">
        <f t="shared" si="3"/>
        <v>-1321680.0023524389</v>
      </c>
      <c r="M135" s="233">
        <f t="shared" si="4"/>
        <v>3.6626291769163127E-2</v>
      </c>
    </row>
    <row r="136" spans="1:13">
      <c r="A136" s="254">
        <v>40210</v>
      </c>
      <c r="B136" s="255">
        <f>'[11]CoS 2017 Load History'!D174</f>
        <v>30010764.890000019</v>
      </c>
      <c r="C136" s="256">
        <f>'Weather Data'!B232</f>
        <v>778.39999999999975</v>
      </c>
      <c r="D136" s="256">
        <f>'Weather Data'!C232</f>
        <v>0</v>
      </c>
      <c r="E136" s="256">
        <v>28</v>
      </c>
      <c r="F136" s="256">
        <v>0</v>
      </c>
      <c r="G136" s="256">
        <f>'CDM Activity'!I68</f>
        <v>687298.63459030783</v>
      </c>
      <c r="H136" s="256">
        <f>'[11]CoS 2017 Load History'!F174</f>
        <v>44651</v>
      </c>
      <c r="I136" s="259">
        <v>134.47491588625388</v>
      </c>
      <c r="J136" s="256">
        <v>304</v>
      </c>
      <c r="K136" s="256">
        <f t="shared" si="0"/>
        <v>30236262.373989325</v>
      </c>
      <c r="L136" s="232">
        <f t="shared" si="3"/>
        <v>225497.48398930579</v>
      </c>
      <c r="M136" s="233">
        <f t="shared" si="4"/>
        <v>7.5138865942215461E-3</v>
      </c>
    </row>
    <row r="137" spans="1:13">
      <c r="A137" s="254">
        <v>40238</v>
      </c>
      <c r="B137" s="255">
        <f>'[11]CoS 2017 Load History'!D175</f>
        <v>28911520.730000079</v>
      </c>
      <c r="C137" s="256">
        <f>'Weather Data'!B233</f>
        <v>514.4</v>
      </c>
      <c r="D137" s="256">
        <f>'Weather Data'!C233</f>
        <v>0</v>
      </c>
      <c r="E137" s="256">
        <v>31</v>
      </c>
      <c r="F137" s="256">
        <v>1</v>
      </c>
      <c r="G137" s="256">
        <f>'CDM Activity'!I69</f>
        <v>658784.34933024482</v>
      </c>
      <c r="H137" s="256">
        <f>'[11]CoS 2017 Load History'!F175</f>
        <v>44651</v>
      </c>
      <c r="I137" s="259">
        <v>134.80656730643724</v>
      </c>
      <c r="J137" s="256">
        <v>368</v>
      </c>
      <c r="K137" s="256">
        <f t="shared" si="0"/>
        <v>28767743.542712394</v>
      </c>
      <c r="L137" s="232">
        <f t="shared" si="3"/>
        <v>-143777.18728768453</v>
      </c>
      <c r="M137" s="233">
        <f t="shared" si="4"/>
        <v>4.9730067342495044E-3</v>
      </c>
    </row>
    <row r="138" spans="1:13">
      <c r="A138" s="254">
        <v>40269</v>
      </c>
      <c r="B138" s="255">
        <f>'[11]CoS 2017 Load History'!D176</f>
        <v>25118804.909999732</v>
      </c>
      <c r="C138" s="256">
        <f>'Weather Data'!B234</f>
        <v>358.00000000000011</v>
      </c>
      <c r="D138" s="256">
        <f>'Weather Data'!C234</f>
        <v>0</v>
      </c>
      <c r="E138" s="256">
        <v>30</v>
      </c>
      <c r="F138" s="256">
        <v>1</v>
      </c>
      <c r="G138" s="256">
        <f>'CDM Activity'!I70</f>
        <v>630270.0640701818</v>
      </c>
      <c r="H138" s="256">
        <f>'[11]CoS 2017 Load History'!F176</f>
        <v>44625</v>
      </c>
      <c r="I138" s="259">
        <v>135.13903666849313</v>
      </c>
      <c r="J138" s="256">
        <v>320</v>
      </c>
      <c r="K138" s="256">
        <f t="shared" si="0"/>
        <v>25742134.276807848</v>
      </c>
      <c r="L138" s="232">
        <f t="shared" si="3"/>
        <v>623329.36680811644</v>
      </c>
      <c r="M138" s="233">
        <f t="shared" si="4"/>
        <v>2.4815247741343402E-2</v>
      </c>
    </row>
    <row r="139" spans="1:13">
      <c r="A139" s="254">
        <v>40299</v>
      </c>
      <c r="B139" s="255">
        <f>'[11]CoS 2017 Load History'!D177</f>
        <v>24585712.38999987</v>
      </c>
      <c r="C139" s="256">
        <f>'Weather Data'!B235</f>
        <v>212.40000000000003</v>
      </c>
      <c r="D139" s="256">
        <f>'Weather Data'!C235</f>
        <v>0.6</v>
      </c>
      <c r="E139" s="256">
        <v>31</v>
      </c>
      <c r="F139" s="256">
        <v>1</v>
      </c>
      <c r="G139" s="256">
        <f>'CDM Activity'!I71</f>
        <v>601755.77881011879</v>
      </c>
      <c r="H139" s="256">
        <f>'[11]CoS 2017 Load History'!F177</f>
        <v>44628</v>
      </c>
      <c r="I139" s="259">
        <v>135.47232598968688</v>
      </c>
      <c r="J139" s="256">
        <v>320</v>
      </c>
      <c r="K139" s="256">
        <f t="shared" si="0"/>
        <v>24852871.432715114</v>
      </c>
      <c r="L139" s="232">
        <f t="shared" si="3"/>
        <v>267159.042715244</v>
      </c>
      <c r="M139" s="233">
        <f t="shared" si="4"/>
        <v>1.0866434882070359E-2</v>
      </c>
    </row>
    <row r="140" spans="1:13">
      <c r="A140" s="254">
        <v>40330</v>
      </c>
      <c r="B140" s="255">
        <f>'[11]CoS 2017 Load History'!D178</f>
        <v>23836918.189999718</v>
      </c>
      <c r="C140" s="256">
        <f>'Weather Data'!B236</f>
        <v>106.30000000000003</v>
      </c>
      <c r="D140" s="256">
        <f>'Weather Data'!C236</f>
        <v>3.0000000000000004</v>
      </c>
      <c r="E140" s="256">
        <v>30</v>
      </c>
      <c r="F140" s="256">
        <v>0</v>
      </c>
      <c r="G140" s="256">
        <f>'CDM Activity'!I72</f>
        <v>573241.49355005578</v>
      </c>
      <c r="H140" s="256">
        <f>'[11]CoS 2017 Load History'!F178</f>
        <v>44772</v>
      </c>
      <c r="I140" s="259">
        <v>135.80643729225892</v>
      </c>
      <c r="J140" s="256">
        <v>352</v>
      </c>
      <c r="K140" s="256">
        <f t="shared" si="0"/>
        <v>23538299.764443487</v>
      </c>
      <c r="L140" s="232">
        <f t="shared" si="3"/>
        <v>-298618.42555623129</v>
      </c>
      <c r="M140" s="233">
        <f t="shared" si="4"/>
        <v>1.2527560113937481E-2</v>
      </c>
    </row>
    <row r="141" spans="1:13">
      <c r="A141" s="254">
        <v>40360</v>
      </c>
      <c r="B141" s="255">
        <f>'[11]CoS 2017 Load History'!D179</f>
        <v>25905019.170000263</v>
      </c>
      <c r="C141" s="256">
        <f>'Weather Data'!B237</f>
        <v>14.5</v>
      </c>
      <c r="D141" s="256">
        <f>'Weather Data'!C237</f>
        <v>52</v>
      </c>
      <c r="E141" s="256">
        <v>31</v>
      </c>
      <c r="F141" s="256">
        <v>0</v>
      </c>
      <c r="G141" s="256">
        <f>'CDM Activity'!I73</f>
        <v>544727.20828999276</v>
      </c>
      <c r="H141" s="256">
        <f>'[11]CoS 2017 Load History'!F179</f>
        <v>44773</v>
      </c>
      <c r="I141" s="259">
        <v>136.14137260343708</v>
      </c>
      <c r="J141" s="256">
        <v>336</v>
      </c>
      <c r="K141" s="256">
        <f t="shared" si="0"/>
        <v>25481493.045951992</v>
      </c>
      <c r="L141" s="232">
        <f t="shared" si="3"/>
        <v>-423526.12404827029</v>
      </c>
      <c r="M141" s="233">
        <f t="shared" si="4"/>
        <v>1.6349191686325471E-2</v>
      </c>
    </row>
    <row r="142" spans="1:13">
      <c r="A142" s="254">
        <v>40391</v>
      </c>
      <c r="B142" s="255">
        <f>'[11]CoS 2017 Load History'!D180</f>
        <v>26075806.560000002</v>
      </c>
      <c r="C142" s="256">
        <f>'Weather Data'!B238</f>
        <v>37.9</v>
      </c>
      <c r="D142" s="256">
        <f>'Weather Data'!C238</f>
        <v>55.8</v>
      </c>
      <c r="E142" s="256">
        <v>31</v>
      </c>
      <c r="F142" s="256">
        <v>0</v>
      </c>
      <c r="G142" s="256">
        <f>'CDM Activity'!I74</f>
        <v>516212.92302992969</v>
      </c>
      <c r="H142" s="256">
        <f>'[11]CoS 2017 Load History'!F180</f>
        <v>44748</v>
      </c>
      <c r="I142" s="259">
        <v>136.47713395544886</v>
      </c>
      <c r="J142" s="256">
        <v>336</v>
      </c>
      <c r="K142" s="256">
        <f t="shared" si="0"/>
        <v>26012981.67735425</v>
      </c>
      <c r="L142" s="232">
        <f t="shared" si="3"/>
        <v>-62824.882645752281</v>
      </c>
      <c r="M142" s="233">
        <f t="shared" si="4"/>
        <v>2.4093169467718383E-3</v>
      </c>
    </row>
    <row r="143" spans="1:13">
      <c r="A143" s="254">
        <v>40422</v>
      </c>
      <c r="B143" s="255">
        <f>'[11]CoS 2017 Load History'!D181</f>
        <v>24545247.180000003</v>
      </c>
      <c r="C143" s="256">
        <f>'Weather Data'!B239</f>
        <v>231.1</v>
      </c>
      <c r="D143" s="256">
        <f>'Weather Data'!C239</f>
        <v>0</v>
      </c>
      <c r="E143" s="256">
        <v>30</v>
      </c>
      <c r="F143" s="256">
        <v>1</v>
      </c>
      <c r="G143" s="256">
        <f>'CDM Activity'!I75</f>
        <v>487698.63776986662</v>
      </c>
      <c r="H143" s="256">
        <f>'[11]CoS 2017 Load History'!F181</f>
        <v>44858</v>
      </c>
      <c r="I143" s="259">
        <v>136.81372338553382</v>
      </c>
      <c r="J143" s="256">
        <v>336</v>
      </c>
      <c r="K143" s="256">
        <f t="shared" si="0"/>
        <v>24303361.157761279</v>
      </c>
      <c r="L143" s="232">
        <f t="shared" si="3"/>
        <v>-241886.02223872393</v>
      </c>
      <c r="M143" s="233">
        <f t="shared" si="4"/>
        <v>9.8546989755237784E-3</v>
      </c>
    </row>
    <row r="144" spans="1:13">
      <c r="A144" s="254">
        <v>40452</v>
      </c>
      <c r="B144" s="255">
        <f>'[11]CoS 2017 Load History'!D182</f>
        <v>26297636.290000055</v>
      </c>
      <c r="C144" s="256">
        <f>'Weather Data'!B240</f>
        <v>355.49999999999989</v>
      </c>
      <c r="D144" s="256">
        <f>'Weather Data'!C240</f>
        <v>0</v>
      </c>
      <c r="E144" s="256">
        <v>31</v>
      </c>
      <c r="F144" s="256">
        <v>1</v>
      </c>
      <c r="G144" s="256">
        <f>'CDM Activity'!I76</f>
        <v>459184.35250980355</v>
      </c>
      <c r="H144" s="256">
        <f>'[11]CoS 2017 Load History'!F182</f>
        <v>44861</v>
      </c>
      <c r="I144" s="259">
        <v>137.15114293595587</v>
      </c>
      <c r="J144" s="256">
        <v>320</v>
      </c>
      <c r="K144" s="256">
        <f t="shared" si="0"/>
        <v>27004764.964552972</v>
      </c>
      <c r="L144" s="232">
        <f t="shared" si="3"/>
        <v>707128.67455291748</v>
      </c>
      <c r="M144" s="233">
        <f t="shared" si="4"/>
        <v>2.6889438531850499E-2</v>
      </c>
    </row>
    <row r="145" spans="1:13">
      <c r="A145" s="254">
        <v>40483</v>
      </c>
      <c r="B145" s="255">
        <f>'[11]CoS 2017 Load History'!D183</f>
        <v>29657866.35999972</v>
      </c>
      <c r="C145" s="256">
        <f>'Weather Data'!B241</f>
        <v>549.40000000000009</v>
      </c>
      <c r="D145" s="256">
        <f>'Weather Data'!C241</f>
        <v>0</v>
      </c>
      <c r="E145" s="256">
        <v>30</v>
      </c>
      <c r="F145" s="256">
        <v>1</v>
      </c>
      <c r="G145" s="256">
        <f>'CDM Activity'!I77</f>
        <v>430670.06724974047</v>
      </c>
      <c r="H145" s="256">
        <f>'[11]CoS 2017 Load History'!F183</f>
        <v>44810</v>
      </c>
      <c r="I145" s="259">
        <v>137.48939465401571</v>
      </c>
      <c r="J145" s="256">
        <v>336</v>
      </c>
      <c r="K145" s="256">
        <f t="shared" si="0"/>
        <v>28671677.932847384</v>
      </c>
      <c r="L145" s="232">
        <f t="shared" si="3"/>
        <v>-986188.42715233564</v>
      </c>
      <c r="M145" s="233">
        <f t="shared" si="4"/>
        <v>3.3252170442120269E-2</v>
      </c>
    </row>
    <row r="146" spans="1:13">
      <c r="A146" s="254">
        <v>40513</v>
      </c>
      <c r="B146" s="255">
        <f>'[11]CoS 2017 Load History'!D184</f>
        <v>34557679.539999954</v>
      </c>
      <c r="C146" s="256">
        <f>'Weather Data'!B242</f>
        <v>879.0999999999998</v>
      </c>
      <c r="D146" s="256">
        <f>'Weather Data'!C242</f>
        <v>0</v>
      </c>
      <c r="E146" s="256">
        <v>31</v>
      </c>
      <c r="F146" s="256">
        <v>0</v>
      </c>
      <c r="G146" s="256">
        <f>'CDM Activity'!I78</f>
        <v>402155.7819896774</v>
      </c>
      <c r="H146" s="256">
        <f>'[11]CoS 2017 Load History'!F184</f>
        <v>44821</v>
      </c>
      <c r="I146" s="259">
        <v>137.8284805920631</v>
      </c>
      <c r="J146" s="256">
        <v>368</v>
      </c>
      <c r="K146" s="256">
        <f t="shared" si="0"/>
        <v>35055740.931862995</v>
      </c>
      <c r="L146" s="232">
        <f t="shared" si="3"/>
        <v>498061.39186304063</v>
      </c>
      <c r="M146" s="233">
        <f t="shared" si="4"/>
        <v>1.4412466302505717E-2</v>
      </c>
    </row>
    <row r="147" spans="1:13">
      <c r="A147" s="254">
        <v>40544</v>
      </c>
      <c r="B147" s="255">
        <f>'[11]CoS 2017 Load History'!D185</f>
        <v>36516937.350000232</v>
      </c>
      <c r="C147" s="256">
        <f>'Weather Data'!B243</f>
        <v>1077.9000000000003</v>
      </c>
      <c r="D147" s="256">
        <f>'Weather Data'!C243</f>
        <v>0</v>
      </c>
      <c r="E147" s="261">
        <v>31</v>
      </c>
      <c r="F147" s="256">
        <v>0</v>
      </c>
      <c r="G147" s="256">
        <f>'CDM Activity'!I79</f>
        <v>433380.04574383411</v>
      </c>
      <c r="H147" s="256">
        <f>'[11]CoS 2017 Load History'!F185</f>
        <v>44726</v>
      </c>
      <c r="I147" s="259">
        <v>138.03353704635359</v>
      </c>
      <c r="J147" s="256">
        <v>336</v>
      </c>
      <c r="K147" s="256">
        <f t="shared" si="0"/>
        <v>37661618.273965813</v>
      </c>
      <c r="L147" s="232">
        <f t="shared" si="3"/>
        <v>1144680.9239655808</v>
      </c>
      <c r="M147" s="233">
        <f t="shared" si="4"/>
        <v>3.1346575234233696E-2</v>
      </c>
    </row>
    <row r="148" spans="1:13">
      <c r="A148" s="254">
        <v>40575</v>
      </c>
      <c r="B148" s="255">
        <f>'[11]CoS 2017 Load History'!D186</f>
        <v>31386775.589999977</v>
      </c>
      <c r="C148" s="256">
        <f>'Weather Data'!B244</f>
        <v>826.9</v>
      </c>
      <c r="D148" s="256">
        <f>'Weather Data'!C244</f>
        <v>0</v>
      </c>
      <c r="E148" s="261">
        <v>28</v>
      </c>
      <c r="F148" s="256">
        <v>0</v>
      </c>
      <c r="G148" s="256">
        <f>'CDM Activity'!I80</f>
        <v>464604.30949799082</v>
      </c>
      <c r="H148" s="256">
        <f>'[11]CoS 2017 Load History'!F186</f>
        <v>44775</v>
      </c>
      <c r="I148" s="259">
        <v>138.23889857655627</v>
      </c>
      <c r="J148" s="256">
        <v>304</v>
      </c>
      <c r="K148" s="256">
        <f t="shared" si="0"/>
        <v>31293858.291071966</v>
      </c>
      <c r="L148" s="232">
        <f t="shared" si="3"/>
        <v>-92917.298928011209</v>
      </c>
      <c r="M148" s="233">
        <f t="shared" si="4"/>
        <v>2.9603964466364376E-3</v>
      </c>
    </row>
    <row r="149" spans="1:13">
      <c r="A149" s="254">
        <v>40603</v>
      </c>
      <c r="B149" s="255">
        <f>'[11]CoS 2017 Load History'!D187</f>
        <v>31223082.410000503</v>
      </c>
      <c r="C149" s="256">
        <f>'Weather Data'!B245</f>
        <v>749.9</v>
      </c>
      <c r="D149" s="256">
        <f>'Weather Data'!C245</f>
        <v>0</v>
      </c>
      <c r="E149" s="261">
        <v>31</v>
      </c>
      <c r="F149" s="256">
        <v>1</v>
      </c>
      <c r="G149" s="256">
        <f>'CDM Activity'!I81</f>
        <v>495828.57325214753</v>
      </c>
      <c r="H149" s="256">
        <f>'[11]CoS 2017 Load History'!F187</f>
        <v>44762</v>
      </c>
      <c r="I149" s="259">
        <v>138.4445656365526</v>
      </c>
      <c r="J149" s="256">
        <v>368</v>
      </c>
      <c r="K149" s="256">
        <f t="shared" si="0"/>
        <v>32220918.394969177</v>
      </c>
      <c r="L149" s="232">
        <f t="shared" si="3"/>
        <v>997835.98496867344</v>
      </c>
      <c r="M149" s="233">
        <f t="shared" si="4"/>
        <v>3.195827919440377E-2</v>
      </c>
    </row>
    <row r="150" spans="1:13">
      <c r="A150" s="254">
        <v>40634</v>
      </c>
      <c r="B150" s="255">
        <f>'[11]CoS 2017 Load History'!D188</f>
        <v>26878420.399999555</v>
      </c>
      <c r="C150" s="256">
        <f>'Weather Data'!B246</f>
        <v>482.30000000000007</v>
      </c>
      <c r="D150" s="256">
        <f>'Weather Data'!C246</f>
        <v>0</v>
      </c>
      <c r="E150" s="261">
        <v>30</v>
      </c>
      <c r="F150" s="256">
        <v>1</v>
      </c>
      <c r="G150" s="256">
        <f>'CDM Activity'!I82</f>
        <v>527052.8370063043</v>
      </c>
      <c r="H150" s="256">
        <f>'[11]CoS 2017 Load History'!F188</f>
        <v>44920</v>
      </c>
      <c r="I150" s="259">
        <v>138.65053868089922</v>
      </c>
      <c r="J150" s="256">
        <v>320</v>
      </c>
      <c r="K150" s="256">
        <f t="shared" si="0"/>
        <v>27596283.067841031</v>
      </c>
      <c r="L150" s="232">
        <f t="shared" si="3"/>
        <v>717862.66784147546</v>
      </c>
      <c r="M150" s="233">
        <f t="shared" si="4"/>
        <v>2.6707769919451344E-2</v>
      </c>
    </row>
    <row r="151" spans="1:13">
      <c r="A151" s="254">
        <v>40664</v>
      </c>
      <c r="B151" s="255">
        <f>'[11]CoS 2017 Load History'!D189</f>
        <v>24676485.139999926</v>
      </c>
      <c r="C151" s="256">
        <f>'Weather Data'!B247</f>
        <v>266.99999999999994</v>
      </c>
      <c r="D151" s="256">
        <f>'Weather Data'!C247</f>
        <v>0</v>
      </c>
      <c r="E151" s="261">
        <v>31</v>
      </c>
      <c r="F151" s="256">
        <v>1</v>
      </c>
      <c r="G151" s="256">
        <f>'CDM Activity'!I83</f>
        <v>558277.10076046106</v>
      </c>
      <c r="H151" s="256">
        <f>'[11]CoS 2017 Load History'!F189</f>
        <v>44927</v>
      </c>
      <c r="I151" s="259">
        <v>138.85681816482909</v>
      </c>
      <c r="J151" s="256">
        <v>336</v>
      </c>
      <c r="K151" s="256">
        <f t="shared" si="0"/>
        <v>25637737.803090934</v>
      </c>
      <c r="L151" s="232">
        <f t="shared" si="3"/>
        <v>961252.66309100762</v>
      </c>
      <c r="M151" s="233">
        <f t="shared" si="4"/>
        <v>3.8954196987027241E-2</v>
      </c>
    </row>
    <row r="152" spans="1:13">
      <c r="A152" s="254">
        <v>40695</v>
      </c>
      <c r="B152" s="255">
        <f>'[11]CoS 2017 Load History'!D190</f>
        <v>23151010.42999975</v>
      </c>
      <c r="C152" s="256">
        <f>'Weather Data'!B248</f>
        <v>110.1</v>
      </c>
      <c r="D152" s="256">
        <f>'Weather Data'!C248</f>
        <v>0</v>
      </c>
      <c r="E152" s="261">
        <v>30</v>
      </c>
      <c r="F152" s="256">
        <v>0</v>
      </c>
      <c r="G152" s="256">
        <f>'CDM Activity'!I84</f>
        <v>589501.36451461783</v>
      </c>
      <c r="H152" s="256">
        <f>'[11]CoS 2017 Load History'!F190</f>
        <v>44911</v>
      </c>
      <c r="I152" s="259">
        <v>139.06340454425245</v>
      </c>
      <c r="J152" s="256">
        <v>352</v>
      </c>
      <c r="K152" s="256">
        <f t="shared" ref="K152:K206" si="5">$O$103+C152*$O$104+D152*$O$105+E152*$O$106+F152*$O$107+G152*$O$108</f>
        <v>23428526.146190628</v>
      </c>
      <c r="L152" s="232">
        <f t="shared" si="3"/>
        <v>277515.7161908783</v>
      </c>
      <c r="M152" s="233">
        <f t="shared" si="4"/>
        <v>1.1987196715667555E-2</v>
      </c>
    </row>
    <row r="153" spans="1:13">
      <c r="A153" s="254">
        <v>40725</v>
      </c>
      <c r="B153" s="255">
        <f>'[11]CoS 2017 Load History'!D191</f>
        <v>25352001.299999826</v>
      </c>
      <c r="C153" s="256">
        <f>'Weather Data'!B249</f>
        <v>29.8</v>
      </c>
      <c r="D153" s="256">
        <f>'Weather Data'!C249</f>
        <v>63.7</v>
      </c>
      <c r="E153" s="261">
        <v>31</v>
      </c>
      <c r="F153" s="256">
        <v>0</v>
      </c>
      <c r="G153" s="256">
        <f>'CDM Activity'!I85</f>
        <v>620725.6282687746</v>
      </c>
      <c r="H153" s="256">
        <f>'[11]CoS 2017 Load History'!F191</f>
        <v>44960</v>
      </c>
      <c r="I153" s="259">
        <v>139.27029827575782</v>
      </c>
      <c r="J153" s="256">
        <v>320</v>
      </c>
      <c r="K153" s="256">
        <f t="shared" si="5"/>
        <v>26057732.264974952</v>
      </c>
      <c r="L153" s="232">
        <f t="shared" si="3"/>
        <v>705730.96497512609</v>
      </c>
      <c r="M153" s="233">
        <f t="shared" si="4"/>
        <v>2.7837288134532043E-2</v>
      </c>
    </row>
    <row r="154" spans="1:13">
      <c r="A154" s="254">
        <v>40756</v>
      </c>
      <c r="B154" s="255">
        <f>'[11]CoS 2017 Load History'!D192</f>
        <v>25813855.500000261</v>
      </c>
      <c r="C154" s="256">
        <f>'Weather Data'!B250</f>
        <v>22.2</v>
      </c>
      <c r="D154" s="256">
        <f>'Weather Data'!C250</f>
        <v>35.699999999999996</v>
      </c>
      <c r="E154" s="261">
        <v>31</v>
      </c>
      <c r="F154" s="256">
        <v>0</v>
      </c>
      <c r="G154" s="256">
        <f>'CDM Activity'!I86</f>
        <v>651949.89202293137</v>
      </c>
      <c r="H154" s="256">
        <f>'[11]CoS 2017 Load History'!F192</f>
        <v>44959</v>
      </c>
      <c r="I154" s="259">
        <v>139.477499816613</v>
      </c>
      <c r="J154" s="256">
        <v>352</v>
      </c>
      <c r="K154" s="256">
        <f t="shared" si="5"/>
        <v>24677049.204125565</v>
      </c>
      <c r="L154" s="232">
        <f t="shared" si="3"/>
        <v>-1136806.2958746962</v>
      </c>
      <c r="M154" s="233">
        <f t="shared" si="4"/>
        <v>4.4038609260623029E-2</v>
      </c>
    </row>
    <row r="155" spans="1:13">
      <c r="A155" s="254">
        <v>40787</v>
      </c>
      <c r="B155" s="255">
        <f>'[11]CoS 2017 Load History'!D193</f>
        <v>24597483.110000037</v>
      </c>
      <c r="C155" s="256">
        <f>'Weather Data'!B251</f>
        <v>172.3</v>
      </c>
      <c r="D155" s="256">
        <f>'Weather Data'!C251</f>
        <v>9.4</v>
      </c>
      <c r="E155" s="261">
        <v>30</v>
      </c>
      <c r="F155" s="256">
        <v>1</v>
      </c>
      <c r="G155" s="256">
        <f>'CDM Activity'!I87</f>
        <v>683174.15577708813</v>
      </c>
      <c r="H155" s="256">
        <f>'[11]CoS 2017 Load History'!F193</f>
        <v>45001</v>
      </c>
      <c r="I155" s="259">
        <v>139.68500962476614</v>
      </c>
      <c r="J155" s="256">
        <v>336</v>
      </c>
      <c r="K155" s="256">
        <f t="shared" si="5"/>
        <v>23567781.649106026</v>
      </c>
      <c r="L155" s="232">
        <f t="shared" si="3"/>
        <v>-1029701.460894011</v>
      </c>
      <c r="M155" s="233">
        <f t="shared" si="4"/>
        <v>4.1862065980050975E-2</v>
      </c>
    </row>
    <row r="156" spans="1:13">
      <c r="A156" s="254">
        <v>40817</v>
      </c>
      <c r="B156" s="255">
        <f>'[11]CoS 2017 Load History'!D194</f>
        <v>26370882.959999766</v>
      </c>
      <c r="C156" s="256">
        <f>'Weather Data'!B252</f>
        <v>337.20000000000005</v>
      </c>
      <c r="D156" s="256">
        <f>'Weather Data'!C252</f>
        <v>5.4</v>
      </c>
      <c r="E156" s="261">
        <v>31</v>
      </c>
      <c r="F156" s="256">
        <v>1</v>
      </c>
      <c r="G156" s="256">
        <f>'CDM Activity'!I88</f>
        <v>714398.4195312449</v>
      </c>
      <c r="H156" s="256">
        <f>'[11]CoS 2017 Load History'!F194</f>
        <v>44933</v>
      </c>
      <c r="I156" s="259">
        <v>139.89282815884664</v>
      </c>
      <c r="J156" s="256">
        <v>320</v>
      </c>
      <c r="K156" s="256">
        <f t="shared" si="5"/>
        <v>26527764.647510618</v>
      </c>
      <c r="L156" s="232">
        <f t="shared" si="3"/>
        <v>156881.68751085177</v>
      </c>
      <c r="M156" s="233">
        <f t="shared" si="4"/>
        <v>5.9490494781238509E-3</v>
      </c>
    </row>
    <row r="157" spans="1:13">
      <c r="A157" s="254">
        <v>40848</v>
      </c>
      <c r="B157" s="255">
        <f>'[11]CoS 2017 Load History'!D195</f>
        <v>28854940.729999892</v>
      </c>
      <c r="C157" s="256">
        <f>'Weather Data'!B253</f>
        <v>563.20000000000005</v>
      </c>
      <c r="D157" s="256">
        <f>'Weather Data'!C253</f>
        <v>0</v>
      </c>
      <c r="E157" s="261">
        <v>30</v>
      </c>
      <c r="F157" s="256">
        <v>1</v>
      </c>
      <c r="G157" s="256">
        <f>'CDM Activity'!I89</f>
        <v>745622.68328540167</v>
      </c>
      <c r="H157" s="256">
        <f>'[11]CoS 2017 Load History'!F195</f>
        <v>44984</v>
      </c>
      <c r="I157" s="259">
        <v>140.1009558781663</v>
      </c>
      <c r="J157" s="256">
        <v>352</v>
      </c>
      <c r="K157" s="256">
        <f t="shared" si="5"/>
        <v>28279648.577991594</v>
      </c>
      <c r="L157" s="232">
        <f t="shared" ref="L157:L206" si="6">K157-B157</f>
        <v>-575292.15200829878</v>
      </c>
      <c r="M157" s="233">
        <f t="shared" ref="M157:M206" si="7">ABS(L157/B157)</f>
        <v>1.9937388102488088E-2</v>
      </c>
    </row>
    <row r="158" spans="1:13">
      <c r="A158" s="254">
        <v>40878</v>
      </c>
      <c r="B158" s="255">
        <f>'[11]CoS 2017 Load History'!D196</f>
        <v>32390431.579999913</v>
      </c>
      <c r="C158" s="256">
        <f>'Weather Data'!B254</f>
        <v>769.8</v>
      </c>
      <c r="D158" s="256">
        <f>'Weather Data'!C254</f>
        <v>0</v>
      </c>
      <c r="E158" s="261">
        <v>31</v>
      </c>
      <c r="F158" s="256">
        <v>0</v>
      </c>
      <c r="G158" s="256">
        <f>'CDM Activity'!I90</f>
        <v>776846.94703955844</v>
      </c>
      <c r="H158" s="256">
        <f>'[11]CoS 2017 Load History'!F196</f>
        <v>44950</v>
      </c>
      <c r="I158" s="259">
        <v>140.30939324272023</v>
      </c>
      <c r="J158" s="256">
        <v>336</v>
      </c>
      <c r="K158" s="256">
        <f t="shared" si="5"/>
        <v>32905276.396209046</v>
      </c>
      <c r="L158" s="232">
        <f t="shared" si="6"/>
        <v>514844.81620913371</v>
      </c>
      <c r="M158" s="233">
        <f t="shared" si="7"/>
        <v>1.5894966232158341E-2</v>
      </c>
    </row>
    <row r="159" spans="1:13">
      <c r="A159" s="254">
        <v>40909</v>
      </c>
      <c r="B159" s="255">
        <f>'[11]CoS 2017 Load History'!D197</f>
        <v>33402660.419999894</v>
      </c>
      <c r="C159" s="256">
        <f>'Weather Data'!B255</f>
        <v>865.69999999999993</v>
      </c>
      <c r="D159" s="256">
        <f>'Weather Data'!C255</f>
        <v>0</v>
      </c>
      <c r="E159" s="256">
        <v>31</v>
      </c>
      <c r="F159" s="256">
        <v>0</v>
      </c>
      <c r="G159" s="256">
        <f>'CDM Activity'!I91</f>
        <v>757573.01478562516</v>
      </c>
      <c r="H159" s="256">
        <f>'[11]CoS 2017 Load History'!F197</f>
        <v>44701</v>
      </c>
      <c r="I159" s="259">
        <v>140.51814071318793</v>
      </c>
      <c r="J159" s="256">
        <v>336</v>
      </c>
      <c r="K159" s="256">
        <f t="shared" si="5"/>
        <v>34225229.910184808</v>
      </c>
      <c r="L159" s="232">
        <f t="shared" si="6"/>
        <v>822569.49018491432</v>
      </c>
      <c r="M159" s="233">
        <f t="shared" si="7"/>
        <v>2.4625867516001796E-2</v>
      </c>
    </row>
    <row r="160" spans="1:13">
      <c r="A160" s="254">
        <v>40940</v>
      </c>
      <c r="B160" s="255">
        <f>'[11]CoS 2017 Load History'!D198</f>
        <v>29415795.669999786</v>
      </c>
      <c r="C160" s="256">
        <f>'Weather Data'!B256</f>
        <v>693.8</v>
      </c>
      <c r="D160" s="256">
        <f>'Weather Data'!C256</f>
        <v>0</v>
      </c>
      <c r="E160" s="256">
        <v>29</v>
      </c>
      <c r="F160" s="256">
        <v>0</v>
      </c>
      <c r="G160" s="256">
        <f>'CDM Activity'!I92</f>
        <v>738299.08253169188</v>
      </c>
      <c r="H160" s="256">
        <f>'[11]CoS 2017 Load History'!F198</f>
        <v>44705</v>
      </c>
      <c r="I160" s="259">
        <v>140.72719875093426</v>
      </c>
      <c r="J160" s="256">
        <v>320</v>
      </c>
      <c r="K160" s="256">
        <f t="shared" si="5"/>
        <v>29992314.767806288</v>
      </c>
      <c r="L160" s="232">
        <f t="shared" si="6"/>
        <v>576519.09780650213</v>
      </c>
      <c r="M160" s="233">
        <f t="shared" si="7"/>
        <v>1.9598963233025013E-2</v>
      </c>
    </row>
    <row r="161" spans="1:13">
      <c r="A161" s="254">
        <v>40969</v>
      </c>
      <c r="B161" s="255">
        <f>'[11]CoS 2017 Load History'!D199</f>
        <v>28020794.100000076</v>
      </c>
      <c r="C161" s="256">
        <f>'Weather Data'!B257</f>
        <v>525.4</v>
      </c>
      <c r="D161" s="256">
        <f>'Weather Data'!C257</f>
        <v>0</v>
      </c>
      <c r="E161" s="256">
        <v>31</v>
      </c>
      <c r="F161" s="256">
        <v>1</v>
      </c>
      <c r="G161" s="256">
        <f>'CDM Activity'!I93</f>
        <v>719025.1502777586</v>
      </c>
      <c r="H161" s="256">
        <f>'[11]CoS 2017 Load History'!F199</f>
        <v>44715</v>
      </c>
      <c r="I161" s="259">
        <v>140.9365678180105</v>
      </c>
      <c r="J161" s="256">
        <v>352</v>
      </c>
      <c r="K161" s="256">
        <f t="shared" si="5"/>
        <v>28804755.033562388</v>
      </c>
      <c r="L161" s="232">
        <f t="shared" si="6"/>
        <v>783960.93356231228</v>
      </c>
      <c r="M161" s="233">
        <f t="shared" si="7"/>
        <v>2.7977827136680261E-2</v>
      </c>
    </row>
    <row r="162" spans="1:13">
      <c r="A162" s="254">
        <v>41000</v>
      </c>
      <c r="B162" s="255">
        <f>'[11]CoS 2017 Load History'!D200</f>
        <v>24997873.08000005</v>
      </c>
      <c r="C162" s="256">
        <f>'Weather Data'!B258</f>
        <v>434.89999999999986</v>
      </c>
      <c r="D162" s="256">
        <f>'Weather Data'!C258</f>
        <v>0</v>
      </c>
      <c r="E162" s="256">
        <v>30</v>
      </c>
      <c r="F162" s="256">
        <v>1</v>
      </c>
      <c r="G162" s="256">
        <f>'CDM Activity'!I94</f>
        <v>699751.21802382532</v>
      </c>
      <c r="H162" s="256">
        <f>'[11]CoS 2017 Load History'!F200</f>
        <v>44680</v>
      </c>
      <c r="I162" s="259">
        <v>141.14624837715536</v>
      </c>
      <c r="J162" s="256">
        <v>320</v>
      </c>
      <c r="K162" s="256">
        <f t="shared" si="5"/>
        <v>26644998.691826195</v>
      </c>
      <c r="L162" s="232">
        <f t="shared" si="6"/>
        <v>1647125.6118261442</v>
      </c>
      <c r="M162" s="233">
        <f t="shared" si="7"/>
        <v>6.5890630237016176E-2</v>
      </c>
    </row>
    <row r="163" spans="1:13">
      <c r="A163" s="254">
        <v>41030</v>
      </c>
      <c r="B163" s="255">
        <f>'[11]CoS 2017 Load History'!D201</f>
        <v>24359301.689999789</v>
      </c>
      <c r="C163" s="256">
        <f>'Weather Data'!B259</f>
        <v>227.10000000000002</v>
      </c>
      <c r="D163" s="256">
        <f>'Weather Data'!C259</f>
        <v>0</v>
      </c>
      <c r="E163" s="256">
        <v>31</v>
      </c>
      <c r="F163" s="256">
        <v>1</v>
      </c>
      <c r="G163" s="256">
        <f>'CDM Activity'!I95</f>
        <v>680477.28576989204</v>
      </c>
      <c r="H163" s="256">
        <f>'[11]CoS 2017 Load History'!F201</f>
        <v>44589</v>
      </c>
      <c r="I163" s="259">
        <v>141.35624089179598</v>
      </c>
      <c r="J163" s="256">
        <v>352</v>
      </c>
      <c r="K163" s="256">
        <f t="shared" si="5"/>
        <v>24879417.565422256</v>
      </c>
      <c r="L163" s="232">
        <f t="shared" si="6"/>
        <v>520115.87542246655</v>
      </c>
      <c r="M163" s="233">
        <f t="shared" si="7"/>
        <v>2.1351838490345124E-2</v>
      </c>
    </row>
    <row r="164" spans="1:13">
      <c r="A164" s="254">
        <v>41061</v>
      </c>
      <c r="B164" s="255">
        <f>'[11]CoS 2017 Load History'!D202</f>
        <v>24710374.199999895</v>
      </c>
      <c r="C164" s="256">
        <f>'Weather Data'!B260</f>
        <v>64.900000000000006</v>
      </c>
      <c r="D164" s="256">
        <f>'Weather Data'!C260</f>
        <v>18.399999999999999</v>
      </c>
      <c r="E164" s="256">
        <v>30</v>
      </c>
      <c r="F164" s="256">
        <v>0</v>
      </c>
      <c r="G164" s="256">
        <f>'CDM Activity'!I96</f>
        <v>661203.35351595876</v>
      </c>
      <c r="H164" s="256">
        <f>'[11]CoS 2017 Load History'!F202</f>
        <v>44697</v>
      </c>
      <c r="I164" s="259">
        <v>141.56654582604895</v>
      </c>
      <c r="J164" s="256">
        <v>336</v>
      </c>
      <c r="K164" s="256">
        <f t="shared" si="5"/>
        <v>23494524.96709447</v>
      </c>
      <c r="L164" s="232">
        <f t="shared" si="6"/>
        <v>-1215849.2329054251</v>
      </c>
      <c r="M164" s="233">
        <f t="shared" si="7"/>
        <v>4.9203999221728918E-2</v>
      </c>
    </row>
    <row r="165" spans="1:13">
      <c r="A165" s="254">
        <v>41091</v>
      </c>
      <c r="B165" s="255">
        <f>'[11]CoS 2017 Load History'!D203</f>
        <v>26676003.260000024</v>
      </c>
      <c r="C165" s="256">
        <f>'Weather Data'!B261</f>
        <v>6.8</v>
      </c>
      <c r="D165" s="256">
        <f>'Weather Data'!C261</f>
        <v>66.5</v>
      </c>
      <c r="E165" s="256">
        <v>31</v>
      </c>
      <c r="F165" s="256">
        <v>0</v>
      </c>
      <c r="G165" s="256">
        <f>'CDM Activity'!I97</f>
        <v>641929.42126202548</v>
      </c>
      <c r="H165" s="256">
        <f>'[11]CoS 2017 Load History'!F203</f>
        <v>44693</v>
      </c>
      <c r="I165" s="259">
        <v>141.77716364472141</v>
      </c>
      <c r="J165" s="256">
        <v>336</v>
      </c>
      <c r="K165" s="256">
        <f t="shared" si="5"/>
        <v>25832960.470274724</v>
      </c>
      <c r="L165" s="232">
        <f t="shared" si="6"/>
        <v>-843042.78972529992</v>
      </c>
      <c r="M165" s="233">
        <f t="shared" si="7"/>
        <v>3.1603039687336548E-2</v>
      </c>
    </row>
    <row r="166" spans="1:13">
      <c r="A166" s="254">
        <v>41122</v>
      </c>
      <c r="B166" s="255">
        <f>'[11]CoS 2017 Load History'!D204</f>
        <v>26201585.379999846</v>
      </c>
      <c r="C166" s="256">
        <f>'Weather Data'!B262</f>
        <v>38.499999999999986</v>
      </c>
      <c r="D166" s="256">
        <f>'Weather Data'!C262</f>
        <v>27.7</v>
      </c>
      <c r="E166" s="256">
        <v>31</v>
      </c>
      <c r="F166" s="256">
        <v>0</v>
      </c>
      <c r="G166" s="256">
        <f>'CDM Activity'!I98</f>
        <v>622655.48900809221</v>
      </c>
      <c r="H166" s="256">
        <f>'[11]CoS 2017 Load History'!F204</f>
        <v>44727</v>
      </c>
      <c r="I166" s="259">
        <v>141.98809481331199</v>
      </c>
      <c r="J166" s="256">
        <v>352</v>
      </c>
      <c r="K166" s="256">
        <f t="shared" si="5"/>
        <v>24600005.03428952</v>
      </c>
      <c r="L166" s="232">
        <f t="shared" si="6"/>
        <v>-1601580.345710326</v>
      </c>
      <c r="M166" s="233">
        <f t="shared" si="7"/>
        <v>6.1125322093404384E-2</v>
      </c>
    </row>
    <row r="167" spans="1:13">
      <c r="A167" s="254">
        <v>41153</v>
      </c>
      <c r="B167" s="255">
        <f>'[11]CoS 2017 Load History'!D205</f>
        <v>24540374.200000215</v>
      </c>
      <c r="C167" s="256">
        <f>'Weather Data'!B263</f>
        <v>213.49999999999997</v>
      </c>
      <c r="D167" s="256">
        <f>'Weather Data'!C263</f>
        <v>4</v>
      </c>
      <c r="E167" s="256">
        <v>30</v>
      </c>
      <c r="F167" s="256">
        <v>1</v>
      </c>
      <c r="G167" s="256">
        <f>'CDM Activity'!I99</f>
        <v>603381.55675415893</v>
      </c>
      <c r="H167" s="256">
        <f>'[11]CoS 2017 Load History'!F205</f>
        <v>44764</v>
      </c>
      <c r="I167" s="259">
        <v>142.19933979801186</v>
      </c>
      <c r="J167" s="256">
        <v>304</v>
      </c>
      <c r="K167" s="256">
        <f t="shared" si="5"/>
        <v>24030229.204637673</v>
      </c>
      <c r="L167" s="232">
        <f t="shared" si="6"/>
        <v>-510144.99536254257</v>
      </c>
      <c r="M167" s="233">
        <f t="shared" si="7"/>
        <v>2.0787987632337655E-2</v>
      </c>
    </row>
    <row r="168" spans="1:13">
      <c r="A168" s="254">
        <v>41183</v>
      </c>
      <c r="B168" s="255">
        <f>'[11]CoS 2017 Load History'!D206</f>
        <v>26589019.44000008</v>
      </c>
      <c r="C168" s="256">
        <f>'Weather Data'!B264</f>
        <v>395.80000000000007</v>
      </c>
      <c r="D168" s="256">
        <f>'Weather Data'!C264</f>
        <v>0</v>
      </c>
      <c r="E168" s="256">
        <v>31</v>
      </c>
      <c r="F168" s="256">
        <v>1</v>
      </c>
      <c r="G168" s="256">
        <f>'CDM Activity'!I100</f>
        <v>584107.62450022565</v>
      </c>
      <c r="H168" s="256">
        <f>'[11]CoS 2017 Load History'!F206</f>
        <v>44784</v>
      </c>
      <c r="I168" s="259">
        <v>142.41089906570582</v>
      </c>
      <c r="J168" s="256">
        <v>352</v>
      </c>
      <c r="K168" s="256">
        <f t="shared" si="5"/>
        <v>27315794.012294993</v>
      </c>
      <c r="L168" s="232">
        <f t="shared" si="6"/>
        <v>726774.57229491323</v>
      </c>
      <c r="M168" s="233">
        <f t="shared" si="7"/>
        <v>2.7333635748957544E-2</v>
      </c>
    </row>
    <row r="169" spans="1:13">
      <c r="A169" s="254">
        <v>41214</v>
      </c>
      <c r="B169" s="255">
        <f>'[11]CoS 2017 Load History'!D207</f>
        <v>28916497.10000005</v>
      </c>
      <c r="C169" s="256">
        <f>'Weather Data'!B265</f>
        <v>600.80000000000007</v>
      </c>
      <c r="D169" s="256">
        <f>'Weather Data'!C265</f>
        <v>0</v>
      </c>
      <c r="E169" s="256">
        <v>30</v>
      </c>
      <c r="F169" s="256">
        <v>1</v>
      </c>
      <c r="G169" s="256">
        <f>'CDM Activity'!I101</f>
        <v>564833.69224629237</v>
      </c>
      <c r="H169" s="256">
        <f>'[11]CoS 2017 Load History'!F207</f>
        <v>44871</v>
      </c>
      <c r="I169" s="259">
        <v>142.62277308397324</v>
      </c>
      <c r="J169" s="256">
        <v>352</v>
      </c>
      <c r="K169" s="256">
        <f t="shared" si="5"/>
        <v>29114474.211254757</v>
      </c>
      <c r="L169" s="232">
        <f t="shared" si="6"/>
        <v>197977.11125470698</v>
      </c>
      <c r="M169" s="233">
        <f t="shared" si="7"/>
        <v>6.8465108539964422E-3</v>
      </c>
    </row>
    <row r="170" spans="1:13">
      <c r="A170" s="254">
        <v>41244</v>
      </c>
      <c r="B170" s="255">
        <f>'[11]CoS 2017 Load History'!D208</f>
        <v>33312146.319999933</v>
      </c>
      <c r="C170" s="256">
        <f>'Weather Data'!B266</f>
        <v>793.69999999999993</v>
      </c>
      <c r="D170" s="256">
        <f>'Weather Data'!C266</f>
        <v>0</v>
      </c>
      <c r="E170" s="256">
        <v>31</v>
      </c>
      <c r="F170" s="256">
        <v>0</v>
      </c>
      <c r="G170" s="256">
        <f>'CDM Activity'!I102</f>
        <v>545559.75999235909</v>
      </c>
      <c r="H170" s="256">
        <f>'[11]CoS 2017 Load History'!F208</f>
        <v>44915</v>
      </c>
      <c r="I170" s="259">
        <v>142.83496232108919</v>
      </c>
      <c r="J170" s="256">
        <v>304</v>
      </c>
      <c r="K170" s="256">
        <f t="shared" si="5"/>
        <v>33649076.811937638</v>
      </c>
      <c r="L170" s="232">
        <f t="shared" si="6"/>
        <v>336930.49193770438</v>
      </c>
      <c r="M170" s="233">
        <f t="shared" si="7"/>
        <v>1.0114343540074396E-2</v>
      </c>
    </row>
    <row r="171" spans="1:13">
      <c r="A171" s="254">
        <v>41275</v>
      </c>
      <c r="B171" s="255">
        <f>'[11]CoS 2017 Load History'!D209</f>
        <v>35527330.339999676</v>
      </c>
      <c r="C171" s="256">
        <f>'Weather Data'!B267</f>
        <v>928.40000000000009</v>
      </c>
      <c r="D171" s="256">
        <f>'Weather Data'!C267</f>
        <v>0</v>
      </c>
      <c r="E171" s="256">
        <v>31</v>
      </c>
      <c r="F171" s="256">
        <v>0</v>
      </c>
      <c r="G171" s="256">
        <f>'CDM Activity'!I103</f>
        <v>567435.68685622059</v>
      </c>
      <c r="H171" s="256">
        <f>'[11]CoS 2017 Load History'!F209</f>
        <v>44923</v>
      </c>
      <c r="I171" s="259">
        <v>143.1291789570798</v>
      </c>
      <c r="J171" s="256">
        <v>352</v>
      </c>
      <c r="K171" s="256">
        <f t="shared" si="5"/>
        <v>35413411.32488896</v>
      </c>
      <c r="L171" s="232">
        <f t="shared" si="6"/>
        <v>-113919.01511071622</v>
      </c>
      <c r="M171" s="233">
        <f t="shared" si="7"/>
        <v>3.2065177433964567E-3</v>
      </c>
    </row>
    <row r="172" spans="1:13">
      <c r="A172" s="254">
        <v>41306</v>
      </c>
      <c r="B172" s="255">
        <f>'[11]CoS 2017 Load History'!D210</f>
        <v>30889612.989999942</v>
      </c>
      <c r="C172" s="256">
        <f>'Weather Data'!B268</f>
        <v>866.59999999999991</v>
      </c>
      <c r="D172" s="256">
        <f>'Weather Data'!C268</f>
        <v>0</v>
      </c>
      <c r="E172" s="256">
        <v>28</v>
      </c>
      <c r="F172" s="256">
        <v>0</v>
      </c>
      <c r="G172" s="256">
        <f>'CDM Activity'!I104</f>
        <v>589311.6137200821</v>
      </c>
      <c r="H172" s="256">
        <f>'[11]CoS 2017 Load History'!F210</f>
        <v>44915</v>
      </c>
      <c r="I172" s="259">
        <v>143.42400163116841</v>
      </c>
      <c r="J172" s="256">
        <v>304</v>
      </c>
      <c r="K172" s="256">
        <f t="shared" si="5"/>
        <v>31597245.486644909</v>
      </c>
      <c r="L172" s="232">
        <f t="shared" si="6"/>
        <v>707632.4966449663</v>
      </c>
      <c r="M172" s="233">
        <f t="shared" si="7"/>
        <v>2.290842869653472E-2</v>
      </c>
    </row>
    <row r="173" spans="1:13">
      <c r="A173" s="254">
        <v>41334</v>
      </c>
      <c r="B173" s="255">
        <f>'[11]CoS 2017 Load History'!D211</f>
        <v>30782617.299999747</v>
      </c>
      <c r="C173" s="256">
        <f>'Weather Data'!B269</f>
        <v>767.3</v>
      </c>
      <c r="D173" s="256">
        <f>'Weather Data'!C269</f>
        <v>0</v>
      </c>
      <c r="E173" s="256">
        <v>31</v>
      </c>
      <c r="F173" s="256">
        <v>1</v>
      </c>
      <c r="G173" s="256">
        <f>'CDM Activity'!I105</f>
        <v>611187.5405839436</v>
      </c>
      <c r="H173" s="256">
        <f>'[11]CoS 2017 Load History'!F211</f>
        <v>44918</v>
      </c>
      <c r="I173" s="259">
        <v>143.71943159169427</v>
      </c>
      <c r="J173" s="256">
        <v>320</v>
      </c>
      <c r="K173" s="256">
        <f t="shared" si="5"/>
        <v>32242704.038551673</v>
      </c>
      <c r="L173" s="232">
        <f t="shared" si="6"/>
        <v>1460086.7385519259</v>
      </c>
      <c r="M173" s="233">
        <f t="shared" si="7"/>
        <v>4.743218305065755E-2</v>
      </c>
    </row>
    <row r="174" spans="1:13">
      <c r="A174" s="254">
        <v>41365</v>
      </c>
      <c r="B174" s="255">
        <f>'[11]CoS 2017 Load History'!D212</f>
        <v>26800317.319999933</v>
      </c>
      <c r="C174" s="256">
        <f>'Weather Data'!B270</f>
        <v>524.79999999999995</v>
      </c>
      <c r="D174" s="256">
        <f>'Weather Data'!C270</f>
        <v>0</v>
      </c>
      <c r="E174" s="256">
        <v>30</v>
      </c>
      <c r="F174" s="256">
        <v>1</v>
      </c>
      <c r="G174" s="256">
        <f>'CDM Activity'!I106</f>
        <v>633063.4674478051</v>
      </c>
      <c r="H174" s="256">
        <f>'[11]CoS 2017 Load History'!F212</f>
        <v>44876</v>
      </c>
      <c r="I174" s="259">
        <v>144.01547008956803</v>
      </c>
      <c r="J174" s="256">
        <v>352</v>
      </c>
      <c r="K174" s="256">
        <f t="shared" si="5"/>
        <v>27971424.492864508</v>
      </c>
      <c r="L174" s="232">
        <f t="shared" si="6"/>
        <v>1171107.1728645749</v>
      </c>
      <c r="M174" s="233">
        <f t="shared" si="7"/>
        <v>4.3697511446650954E-2</v>
      </c>
    </row>
    <row r="175" spans="1:13">
      <c r="A175" s="254">
        <v>41395</v>
      </c>
      <c r="B175" s="255">
        <f>'[11]CoS 2017 Load History'!D213</f>
        <v>24986643.508349925</v>
      </c>
      <c r="C175" s="256">
        <f>'Weather Data'!B271</f>
        <v>325.3</v>
      </c>
      <c r="D175" s="256">
        <f>'Weather Data'!C271</f>
        <v>0</v>
      </c>
      <c r="E175" s="256">
        <v>31</v>
      </c>
      <c r="F175" s="256">
        <v>1</v>
      </c>
      <c r="G175" s="256">
        <f>'CDM Activity'!I107</f>
        <v>654939.39431166661</v>
      </c>
      <c r="H175" s="256">
        <f>'[11]CoS 2017 Load History'!F213</f>
        <v>44874</v>
      </c>
      <c r="I175" s="259">
        <v>144.31211837827698</v>
      </c>
      <c r="J175" s="256">
        <v>352</v>
      </c>
      <c r="K175" s="256">
        <f t="shared" si="5"/>
        <v>26241654.773249235</v>
      </c>
      <c r="L175" s="232">
        <f t="shared" si="6"/>
        <v>1255011.2648993097</v>
      </c>
      <c r="M175" s="233">
        <f t="shared" si="7"/>
        <v>5.0227285008485258E-2</v>
      </c>
    </row>
    <row r="176" spans="1:13">
      <c r="A176" s="254">
        <v>41426</v>
      </c>
      <c r="B176" s="255">
        <f>'[11]CoS 2017 Load History'!D214</f>
        <v>23287804.425449979</v>
      </c>
      <c r="C176" s="256">
        <f>'Weather Data'!B272</f>
        <v>130.9</v>
      </c>
      <c r="D176" s="256">
        <f>'Weather Data'!C272</f>
        <v>5.5</v>
      </c>
      <c r="E176" s="256">
        <v>30</v>
      </c>
      <c r="F176" s="256">
        <v>0</v>
      </c>
      <c r="G176" s="256">
        <f>'CDM Activity'!I108</f>
        <v>676815.32117552811</v>
      </c>
      <c r="H176" s="256">
        <f>'[11]CoS 2017 Load History'!F214</f>
        <v>44881</v>
      </c>
      <c r="I176" s="259">
        <v>144.60937771389038</v>
      </c>
      <c r="J176" s="256">
        <v>320</v>
      </c>
      <c r="K176" s="256">
        <f t="shared" si="5"/>
        <v>23787199.98134904</v>
      </c>
      <c r="L176" s="232">
        <f t="shared" si="6"/>
        <v>499395.55589906126</v>
      </c>
      <c r="M176" s="233">
        <f t="shared" si="7"/>
        <v>2.1444510043776344E-2</v>
      </c>
    </row>
    <row r="177" spans="1:13">
      <c r="A177" s="254">
        <v>41456</v>
      </c>
      <c r="B177" s="255">
        <f>'[11]CoS 2017 Load History'!D215</f>
        <v>24573362.894389432</v>
      </c>
      <c r="C177" s="256">
        <f>'Weather Data'!B273</f>
        <v>60.7</v>
      </c>
      <c r="D177" s="256">
        <f>'Weather Data'!C273</f>
        <v>28.000000000000007</v>
      </c>
      <c r="E177" s="256">
        <v>31</v>
      </c>
      <c r="F177" s="256">
        <v>0</v>
      </c>
      <c r="G177" s="256">
        <f>'CDM Activity'!I109</f>
        <v>698691.24803938961</v>
      </c>
      <c r="H177" s="256">
        <f>'[11]CoS 2017 Load History'!F215</f>
        <v>44900</v>
      </c>
      <c r="I177" s="259">
        <v>144.90724935506483</v>
      </c>
      <c r="J177" s="256">
        <v>352</v>
      </c>
      <c r="K177" s="256">
        <f t="shared" si="5"/>
        <v>24771206.891667545</v>
      </c>
      <c r="L177" s="232">
        <f t="shared" si="6"/>
        <v>197843.99727811292</v>
      </c>
      <c r="M177" s="233">
        <f t="shared" si="7"/>
        <v>8.051156780144425E-3</v>
      </c>
    </row>
    <row r="178" spans="1:13">
      <c r="A178" s="254">
        <v>41487</v>
      </c>
      <c r="B178" s="255">
        <f>'[11]CoS 2017 Load History'!D216</f>
        <v>24947123.430989914</v>
      </c>
      <c r="C178" s="256">
        <f>'Weather Data'!B274</f>
        <v>45.8</v>
      </c>
      <c r="D178" s="256">
        <f>'Weather Data'!C274</f>
        <v>41.8</v>
      </c>
      <c r="E178" s="256">
        <v>31</v>
      </c>
      <c r="F178" s="256">
        <v>0</v>
      </c>
      <c r="G178" s="256">
        <f>'CDM Activity'!I110</f>
        <v>720567.17490325111</v>
      </c>
      <c r="H178" s="256">
        <f>'[11]CoS 2017 Load History'!F216</f>
        <v>44933</v>
      </c>
      <c r="I178" s="259">
        <v>145.20573456304953</v>
      </c>
      <c r="J178" s="256">
        <v>336</v>
      </c>
      <c r="K178" s="256">
        <f t="shared" si="5"/>
        <v>25133656.188029125</v>
      </c>
      <c r="L178" s="232">
        <f t="shared" si="6"/>
        <v>186532.75703921169</v>
      </c>
      <c r="M178" s="233">
        <f t="shared" si="7"/>
        <v>7.4771248699357553E-3</v>
      </c>
    </row>
    <row r="179" spans="1:13">
      <c r="A179" s="254">
        <v>41518</v>
      </c>
      <c r="B179" s="255">
        <f>'[11]CoS 2017 Load History'!D217</f>
        <v>24308811.02900004</v>
      </c>
      <c r="C179" s="256">
        <f>'Weather Data'!B275</f>
        <v>178.79999999999995</v>
      </c>
      <c r="D179" s="256">
        <f>'Weather Data'!C275</f>
        <v>0</v>
      </c>
      <c r="E179" s="256">
        <v>30</v>
      </c>
      <c r="F179" s="256">
        <v>1</v>
      </c>
      <c r="G179" s="256">
        <f>'CDM Activity'!I111</f>
        <v>742443.10176711262</v>
      </c>
      <c r="H179" s="256">
        <f>'[11]CoS 2017 Load History'!F217</f>
        <v>44955</v>
      </c>
      <c r="I179" s="259">
        <v>145.50483460169167</v>
      </c>
      <c r="J179" s="256">
        <v>320</v>
      </c>
      <c r="K179" s="256">
        <f t="shared" si="5"/>
        <v>23136156.099111721</v>
      </c>
      <c r="L179" s="232">
        <f t="shared" si="6"/>
        <v>-1172654.9298883192</v>
      </c>
      <c r="M179" s="233">
        <f t="shared" si="7"/>
        <v>4.8239913029450916E-2</v>
      </c>
    </row>
    <row r="180" spans="1:13">
      <c r="A180" s="254">
        <v>41548</v>
      </c>
      <c r="B180" s="255">
        <f>'[11]CoS 2017 Load History'!D218</f>
        <v>26948256.942999907</v>
      </c>
      <c r="C180" s="256">
        <f>'Weather Data'!B276</f>
        <v>328.50000000000006</v>
      </c>
      <c r="D180" s="256">
        <f>'Weather Data'!C276</f>
        <v>0</v>
      </c>
      <c r="E180" s="256">
        <v>31</v>
      </c>
      <c r="F180" s="256">
        <v>1</v>
      </c>
      <c r="G180" s="256">
        <f>'CDM Activity'!I112</f>
        <v>764319.02863097412</v>
      </c>
      <c r="H180" s="256">
        <f>'[11]CoS 2017 Load History'!F218</f>
        <v>44993</v>
      </c>
      <c r="I180" s="259">
        <v>145.8045507374417</v>
      </c>
      <c r="J180" s="256">
        <v>352</v>
      </c>
      <c r="K180" s="256">
        <f t="shared" si="5"/>
        <v>26084173.316928007</v>
      </c>
      <c r="L180" s="232">
        <f t="shared" si="6"/>
        <v>-864083.62607190013</v>
      </c>
      <c r="M180" s="233">
        <f t="shared" si="7"/>
        <v>3.2064546063204837E-2</v>
      </c>
    </row>
    <row r="181" spans="1:13">
      <c r="A181" s="254">
        <v>41579</v>
      </c>
      <c r="B181" s="255">
        <f>'[11]CoS 2017 Load History'!D219</f>
        <v>31135195.451000102</v>
      </c>
      <c r="C181" s="256">
        <f>'Weather Data'!B277</f>
        <v>620.6</v>
      </c>
      <c r="D181" s="256">
        <f>'Weather Data'!C277</f>
        <v>0</v>
      </c>
      <c r="E181" s="256">
        <v>30</v>
      </c>
      <c r="F181" s="256">
        <v>1</v>
      </c>
      <c r="G181" s="256">
        <f>'CDM Activity'!I113</f>
        <v>786194.95549483562</v>
      </c>
      <c r="H181" s="256">
        <f>'[11]CoS 2017 Load History'!F219</f>
        <v>45062</v>
      </c>
      <c r="I181" s="259">
        <v>146.1048842393588</v>
      </c>
      <c r="J181" s="256">
        <v>336</v>
      </c>
      <c r="K181" s="256">
        <f t="shared" si="5"/>
        <v>28974248.000195343</v>
      </c>
      <c r="L181" s="232">
        <f t="shared" si="6"/>
        <v>-2160947.4508047588</v>
      </c>
      <c r="M181" s="233">
        <f t="shared" si="7"/>
        <v>6.9405295823680033E-2</v>
      </c>
    </row>
    <row r="182" spans="1:13">
      <c r="A182" s="254">
        <v>41609</v>
      </c>
      <c r="B182" s="255">
        <f>'[11]CoS 2017 Load History'!D220</f>
        <v>36848813.003099665</v>
      </c>
      <c r="C182" s="256">
        <f>'Weather Data'!B278</f>
        <v>1112.8999999999999</v>
      </c>
      <c r="D182" s="256">
        <f>'Weather Data'!C278</f>
        <v>0</v>
      </c>
      <c r="E182" s="256">
        <v>31</v>
      </c>
      <c r="F182" s="256">
        <v>0</v>
      </c>
      <c r="G182" s="256">
        <f>'CDM Activity'!I114</f>
        <v>808070.88235869713</v>
      </c>
      <c r="H182" s="256">
        <f>'[11]CoS 2017 Load History'!F220</f>
        <v>45079</v>
      </c>
      <c r="I182" s="259">
        <v>146.40583637911641</v>
      </c>
      <c r="J182" s="256">
        <v>320</v>
      </c>
      <c r="K182" s="256">
        <f t="shared" si="5"/>
        <v>37444157.361293256</v>
      </c>
      <c r="L182" s="232">
        <f t="shared" si="6"/>
        <v>595344.35819359124</v>
      </c>
      <c r="M182" s="233">
        <f t="shared" si="7"/>
        <v>1.6156405313341077E-2</v>
      </c>
    </row>
    <row r="183" spans="1:13">
      <c r="A183" s="254">
        <v>41640</v>
      </c>
      <c r="B183" s="255">
        <f>'[11]CoS 2017 Load History'!D221</f>
        <v>38922016.556109458</v>
      </c>
      <c r="C183" s="256">
        <f>'Weather Data'!B279</f>
        <v>1119.5999999999997</v>
      </c>
      <c r="D183" s="256">
        <f>'Weather Data'!C279</f>
        <v>0</v>
      </c>
      <c r="E183" s="256">
        <v>31</v>
      </c>
      <c r="F183" s="256">
        <v>0</v>
      </c>
      <c r="G183" s="256">
        <f>'CDM Activity'!I115</f>
        <v>794211.51216618088</v>
      </c>
      <c r="H183" s="256">
        <f>'[11]CoS 2017 Load History'!F221</f>
        <v>45081</v>
      </c>
      <c r="I183" s="259"/>
      <c r="J183" s="256"/>
      <c r="K183" s="256">
        <f t="shared" si="5"/>
        <v>37559294.555004448</v>
      </c>
      <c r="L183" s="232">
        <f t="shared" si="6"/>
        <v>-1362722.0011050105</v>
      </c>
      <c r="M183" s="233">
        <f t="shared" si="7"/>
        <v>3.5011598105163147E-2</v>
      </c>
    </row>
    <row r="184" spans="1:13">
      <c r="A184" s="254">
        <v>41671</v>
      </c>
      <c r="B184" s="255">
        <f>'[11]CoS 2017 Load History'!D222</f>
        <v>32993369.868999798</v>
      </c>
      <c r="C184" s="256">
        <f>'Weather Data'!B280</f>
        <v>978.39999999999986</v>
      </c>
      <c r="D184" s="256">
        <f>'Weather Data'!C280</f>
        <v>0</v>
      </c>
      <c r="E184" s="256">
        <v>28</v>
      </c>
      <c r="F184" s="256">
        <v>0</v>
      </c>
      <c r="G184" s="256">
        <f>'CDM Activity'!I116</f>
        <v>780352.14197366463</v>
      </c>
      <c r="H184" s="256">
        <f>'[11]CoS 2017 Load History'!F222</f>
        <v>45092</v>
      </c>
      <c r="I184" s="259"/>
      <c r="J184" s="256"/>
      <c r="K184" s="256">
        <f t="shared" si="5"/>
        <v>32744963.600152504</v>
      </c>
      <c r="L184" s="232">
        <f t="shared" si="6"/>
        <v>-248406.26884729415</v>
      </c>
      <c r="M184" s="233">
        <f t="shared" si="7"/>
        <v>7.5289753618254648E-3</v>
      </c>
    </row>
    <row r="185" spans="1:13">
      <c r="A185" s="254">
        <v>41699</v>
      </c>
      <c r="B185" s="255">
        <f>'[11]CoS 2017 Load History'!D223</f>
        <v>32244957.139890101</v>
      </c>
      <c r="C185" s="256">
        <f>'Weather Data'!B281</f>
        <v>883.5</v>
      </c>
      <c r="D185" s="256">
        <f>'Weather Data'!C281</f>
        <v>0</v>
      </c>
      <c r="E185" s="256">
        <v>31</v>
      </c>
      <c r="F185" s="256">
        <v>1</v>
      </c>
      <c r="G185" s="256">
        <f>'CDM Activity'!I117</f>
        <v>766492.77178114839</v>
      </c>
      <c r="H185" s="256">
        <f>'[11]CoS 2017 Load History'!F223</f>
        <v>45098</v>
      </c>
      <c r="I185" s="259"/>
      <c r="J185" s="256"/>
      <c r="K185" s="256">
        <f t="shared" si="5"/>
        <v>33514818.73464027</v>
      </c>
      <c r="L185" s="232">
        <f t="shared" si="6"/>
        <v>1269861.5947501697</v>
      </c>
      <c r="M185" s="233">
        <f t="shared" si="7"/>
        <v>3.9381711355392972E-2</v>
      </c>
    </row>
    <row r="186" spans="1:13">
      <c r="A186" s="254">
        <v>41730</v>
      </c>
      <c r="B186" s="255">
        <f>'[11]CoS 2017 Load History'!D224</f>
        <v>27204303.46900025</v>
      </c>
      <c r="C186" s="256">
        <f>'Weather Data'!B282</f>
        <v>522.9</v>
      </c>
      <c r="D186" s="256">
        <f>'Weather Data'!C282</f>
        <v>0</v>
      </c>
      <c r="E186" s="256">
        <v>30</v>
      </c>
      <c r="F186" s="256">
        <v>1</v>
      </c>
      <c r="G186" s="256">
        <f>'CDM Activity'!I118</f>
        <v>752633.40158863214</v>
      </c>
      <c r="H186" s="256">
        <f>'[11]CoS 2017 Load History'!F224</f>
        <v>45080</v>
      </c>
      <c r="I186" s="259"/>
      <c r="J186" s="256"/>
      <c r="K186" s="256">
        <f t="shared" si="5"/>
        <v>27726959.540619541</v>
      </c>
      <c r="L186" s="232">
        <f t="shared" si="6"/>
        <v>522656.07161929086</v>
      </c>
      <c r="M186" s="233">
        <f t="shared" si="7"/>
        <v>1.921225706862394E-2</v>
      </c>
    </row>
    <row r="187" spans="1:13">
      <c r="A187" s="254">
        <v>41760</v>
      </c>
      <c r="B187" s="255">
        <f>'[11]CoS 2017 Load History'!D225</f>
        <v>24728780.316999894</v>
      </c>
      <c r="C187" s="256">
        <f>'Weather Data'!B283</f>
        <v>266.90000000000003</v>
      </c>
      <c r="D187" s="256">
        <f>'Weather Data'!C283</f>
        <v>1.1000000000000001</v>
      </c>
      <c r="E187" s="256">
        <v>31</v>
      </c>
      <c r="F187" s="256">
        <v>1</v>
      </c>
      <c r="G187" s="256">
        <f>'CDM Activity'!I119</f>
        <v>738774.0313961159</v>
      </c>
      <c r="H187" s="256">
        <f>'[11]CoS 2017 Load History'!F225</f>
        <v>45067.5</v>
      </c>
      <c r="I187" s="259"/>
      <c r="J187" s="256"/>
      <c r="K187" s="256">
        <f t="shared" si="5"/>
        <v>25353781.477018341</v>
      </c>
      <c r="L187" s="232">
        <f t="shared" si="6"/>
        <v>625001.16001844779</v>
      </c>
      <c r="M187" s="233">
        <f t="shared" si="7"/>
        <v>2.5274241268939106E-2</v>
      </c>
    </row>
    <row r="188" spans="1:13">
      <c r="A188" s="254">
        <v>41791</v>
      </c>
      <c r="B188" s="255">
        <f>'[11]CoS 2017 Load History'!D226</f>
        <v>22654738.925000042</v>
      </c>
      <c r="C188" s="256">
        <f>'Weather Data'!B284</f>
        <v>135.19999999999999</v>
      </c>
      <c r="D188" s="256">
        <f>'Weather Data'!C284</f>
        <v>6</v>
      </c>
      <c r="E188" s="256">
        <v>30</v>
      </c>
      <c r="F188" s="256">
        <v>0</v>
      </c>
      <c r="G188" s="256">
        <f>'CDM Activity'!I120</f>
        <v>724914.66120359965</v>
      </c>
      <c r="H188" s="256">
        <f>'[11]CoS 2017 Load History'!F226</f>
        <v>45067.25</v>
      </c>
      <c r="I188" s="259"/>
      <c r="J188" s="256"/>
      <c r="K188" s="256">
        <f t="shared" si="5"/>
        <v>23778515.077076528</v>
      </c>
      <c r="L188" s="232">
        <f t="shared" si="6"/>
        <v>1123776.1520764865</v>
      </c>
      <c r="M188" s="233">
        <f t="shared" si="7"/>
        <v>4.9604462704108801E-2</v>
      </c>
    </row>
    <row r="189" spans="1:13">
      <c r="A189" s="254">
        <v>41821</v>
      </c>
      <c r="B189" s="255">
        <f>'[11]CoS 2017 Load History'!D227</f>
        <v>23503977.621029828</v>
      </c>
      <c r="C189" s="256">
        <f>'Weather Data'!B285</f>
        <v>47.199999999999989</v>
      </c>
      <c r="D189" s="256">
        <f>'Weather Data'!C285</f>
        <v>9.5</v>
      </c>
      <c r="E189" s="256">
        <v>31</v>
      </c>
      <c r="F189" s="256">
        <v>0</v>
      </c>
      <c r="G189" s="256">
        <f>'CDM Activity'!I121</f>
        <v>711055.29101108341</v>
      </c>
      <c r="H189" s="256">
        <f>'[11]CoS 2017 Load History'!F227</f>
        <v>45053.125</v>
      </c>
      <c r="I189" s="259"/>
      <c r="J189" s="256"/>
      <c r="K189" s="256">
        <f t="shared" si="5"/>
        <v>23760534.378765188</v>
      </c>
      <c r="L189" s="232">
        <f t="shared" si="6"/>
        <v>256556.75773536041</v>
      </c>
      <c r="M189" s="233">
        <f t="shared" si="7"/>
        <v>1.0915461283702473E-2</v>
      </c>
    </row>
    <row r="190" spans="1:13">
      <c r="A190" s="254">
        <v>41852</v>
      </c>
      <c r="B190" s="255">
        <f>'[11]CoS 2017 Load History'!D228</f>
        <v>23764110.289000064</v>
      </c>
      <c r="C190" s="256">
        <f>'Weather Data'!B286</f>
        <v>65.200000000000017</v>
      </c>
      <c r="D190" s="256">
        <f>'Weather Data'!C286</f>
        <v>10.099999999999998</v>
      </c>
      <c r="E190" s="256">
        <v>31</v>
      </c>
      <c r="F190" s="256">
        <v>0</v>
      </c>
      <c r="G190" s="256">
        <f>'CDM Activity'!I122</f>
        <v>697195.92081856716</v>
      </c>
      <c r="H190" s="256">
        <f>'[11]CoS 2017 Load History'!F228</f>
        <v>45066.0625</v>
      </c>
      <c r="I190" s="259"/>
      <c r="J190" s="256"/>
      <c r="K190" s="256">
        <f t="shared" si="5"/>
        <v>24053222.176745154</v>
      </c>
      <c r="L190" s="232">
        <f t="shared" si="6"/>
        <v>289111.88774508983</v>
      </c>
      <c r="M190" s="233">
        <f t="shared" si="7"/>
        <v>1.2165904139862287E-2</v>
      </c>
    </row>
    <row r="191" spans="1:13">
      <c r="A191" s="254">
        <v>41883</v>
      </c>
      <c r="B191" s="255">
        <f>'[11]CoS 2017 Load History'!D229</f>
        <v>23696270.525999971</v>
      </c>
      <c r="C191" s="256">
        <f>'Weather Data'!B287</f>
        <v>196.5</v>
      </c>
      <c r="D191" s="256">
        <f>'Weather Data'!C287</f>
        <v>0</v>
      </c>
      <c r="E191" s="256">
        <v>30</v>
      </c>
      <c r="F191" s="256">
        <v>1</v>
      </c>
      <c r="G191" s="256">
        <f>'CDM Activity'!I123</f>
        <v>683336.55062605091</v>
      </c>
      <c r="H191" s="256">
        <f>'[11]CoS 2017 Load History'!F229</f>
        <v>45097.03125</v>
      </c>
      <c r="I191" s="259"/>
      <c r="J191" s="256"/>
      <c r="K191" s="256">
        <f t="shared" si="5"/>
        <v>23481524.321370162</v>
      </c>
      <c r="L191" s="232">
        <f t="shared" si="6"/>
        <v>-214746.20462980866</v>
      </c>
      <c r="M191" s="233">
        <f t="shared" si="7"/>
        <v>9.0624473751759922E-3</v>
      </c>
    </row>
    <row r="192" spans="1:13">
      <c r="A192" s="254">
        <v>41913</v>
      </c>
      <c r="B192" s="255">
        <f>'[11]CoS 2017 Load History'!D230</f>
        <v>26444465.620999623</v>
      </c>
      <c r="C192" s="256">
        <f>'Weather Data'!B288</f>
        <v>382.59999999999997</v>
      </c>
      <c r="D192" s="256">
        <f>'Weather Data'!C288</f>
        <v>0</v>
      </c>
      <c r="E192" s="256">
        <v>31</v>
      </c>
      <c r="F192" s="256">
        <v>1</v>
      </c>
      <c r="G192" s="256">
        <f>'CDM Activity'!I124</f>
        <v>669477.18043353467</v>
      </c>
      <c r="H192" s="256">
        <f>'[11]CoS 2017 Load History'!F230</f>
        <v>45138.015625</v>
      </c>
      <c r="I192" s="259"/>
      <c r="J192" s="256"/>
      <c r="K192" s="256">
        <f t="shared" si="5"/>
        <v>26982601.300455336</v>
      </c>
      <c r="L192" s="232">
        <f t="shared" si="6"/>
        <v>538135.67945571244</v>
      </c>
      <c r="M192" s="233">
        <f t="shared" si="7"/>
        <v>2.0349652254964736E-2</v>
      </c>
    </row>
    <row r="193" spans="1:13">
      <c r="A193" s="254">
        <v>41944</v>
      </c>
      <c r="B193" s="255">
        <f>'[11]CoS 2017 Load History'!D231</f>
        <v>29676769.037999768</v>
      </c>
      <c r="C193" s="256">
        <f>'Weather Data'!B289</f>
        <v>647.79999999999995</v>
      </c>
      <c r="D193" s="256">
        <f>'Weather Data'!C289</f>
        <v>0</v>
      </c>
      <c r="E193" s="256">
        <v>30</v>
      </c>
      <c r="F193" s="256">
        <v>1</v>
      </c>
      <c r="G193" s="256">
        <f>'CDM Activity'!I125</f>
        <v>655617.81024101842</v>
      </c>
      <c r="H193" s="256">
        <f>'[11]CoS 2017 Load History'!F231</f>
        <v>45196.5078125</v>
      </c>
      <c r="I193" s="259"/>
      <c r="J193" s="256"/>
      <c r="K193" s="256">
        <f t="shared" si="5"/>
        <v>29577786.394649588</v>
      </c>
      <c r="L193" s="232">
        <f t="shared" si="6"/>
        <v>-98982.643350180238</v>
      </c>
      <c r="M193" s="233">
        <f t="shared" si="7"/>
        <v>3.3353578087775464E-3</v>
      </c>
    </row>
    <row r="194" spans="1:13">
      <c r="A194" s="254">
        <v>41974</v>
      </c>
      <c r="B194" s="255">
        <f>'[11]CoS 2017 Load History'!D232</f>
        <v>34191036.516999617</v>
      </c>
      <c r="C194" s="256">
        <f>'Weather Data'!B290</f>
        <v>780.59999999999991</v>
      </c>
      <c r="D194" s="256">
        <f>'Weather Data'!C290</f>
        <v>0</v>
      </c>
      <c r="E194" s="256">
        <v>31</v>
      </c>
      <c r="F194" s="256">
        <v>0</v>
      </c>
      <c r="G194" s="256">
        <f>'CDM Activity'!I126</f>
        <v>641758.44004850218</v>
      </c>
      <c r="H194" s="256">
        <f>'[11]CoS 2017 Load History'!F232</f>
        <v>45238.75390625</v>
      </c>
      <c r="I194" s="259"/>
      <c r="J194" s="256"/>
      <c r="K194" s="256">
        <f t="shared" si="5"/>
        <v>33297388.253187191</v>
      </c>
      <c r="L194" s="232">
        <f t="shared" si="6"/>
        <v>-893648.26381242648</v>
      </c>
      <c r="M194" s="233">
        <f t="shared" si="7"/>
        <v>2.6136916421592219E-2</v>
      </c>
    </row>
    <row r="195" spans="1:13">
      <c r="A195" s="254">
        <v>42005</v>
      </c>
      <c r="B195" s="255">
        <f>'[11]CoS 2017 Load History'!D233</f>
        <v>36508095.939999245</v>
      </c>
      <c r="C195" s="256">
        <f>'Weather Data'!B291</f>
        <v>979.49999999999989</v>
      </c>
      <c r="D195" s="256">
        <f>'Weather Data'!C291</f>
        <v>0</v>
      </c>
      <c r="E195" s="256">
        <v>31</v>
      </c>
      <c r="F195" s="256">
        <v>0</v>
      </c>
      <c r="G195" s="256">
        <f>'CDM Activity'!I127</f>
        <v>655765.02685902989</v>
      </c>
      <c r="H195" s="256">
        <f>'[11]CoS 2017 Load History'!F233</f>
        <v>45257.876953125</v>
      </c>
      <c r="I195" s="259"/>
      <c r="J195" s="256"/>
      <c r="K195" s="256">
        <f t="shared" si="5"/>
        <v>35936142.329772323</v>
      </c>
      <c r="L195" s="232">
        <f t="shared" si="6"/>
        <v>-571953.61022692174</v>
      </c>
      <c r="M195" s="233">
        <f t="shared" si="7"/>
        <v>1.5666486994197745E-2</v>
      </c>
    </row>
    <row r="196" spans="1:13">
      <c r="A196" s="254">
        <v>42036</v>
      </c>
      <c r="B196" s="255">
        <f>'[11]CoS 2017 Load History'!D234</f>
        <v>31660210.639999628</v>
      </c>
      <c r="C196" s="256">
        <f>'Weather Data'!B292</f>
        <v>1053.3</v>
      </c>
      <c r="D196" s="256">
        <f>'Weather Data'!C292</f>
        <v>0</v>
      </c>
      <c r="E196" s="256">
        <v>28</v>
      </c>
      <c r="F196" s="256">
        <v>0</v>
      </c>
      <c r="G196" s="256">
        <f>'CDM Activity'!I128</f>
        <v>669771.61366955761</v>
      </c>
      <c r="H196" s="256">
        <f>'[11]CoS 2017 Load History'!F234</f>
        <v>45271.4384765625</v>
      </c>
      <c r="I196" s="259"/>
      <c r="J196" s="256"/>
      <c r="K196" s="256">
        <f t="shared" si="5"/>
        <v>33950850.772609435</v>
      </c>
      <c r="L196" s="232">
        <f t="shared" si="6"/>
        <v>2290640.132609807</v>
      </c>
      <c r="M196" s="233">
        <f t="shared" si="7"/>
        <v>7.235075466351458E-2</v>
      </c>
    </row>
    <row r="197" spans="1:13">
      <c r="A197" s="254">
        <v>42064</v>
      </c>
      <c r="B197" s="255">
        <f>'[11]CoS 2017 Load History'!D235</f>
        <v>30744805.542999852</v>
      </c>
      <c r="C197" s="256">
        <f>'Weather Data'!B293</f>
        <v>710.39999999999986</v>
      </c>
      <c r="D197" s="256">
        <f>'Weather Data'!C293</f>
        <v>0</v>
      </c>
      <c r="E197" s="256">
        <v>31</v>
      </c>
      <c r="F197" s="256">
        <v>1</v>
      </c>
      <c r="G197" s="256">
        <f>'CDM Activity'!I129</f>
        <v>683778.20048008533</v>
      </c>
      <c r="H197" s="256">
        <f>'[11]CoS 2017 Load History'!F235</f>
        <v>45270.21923828125</v>
      </c>
      <c r="I197" s="259"/>
      <c r="J197" s="256"/>
      <c r="K197" s="256">
        <f t="shared" si="5"/>
        <v>31347524.938145902</v>
      </c>
      <c r="L197" s="232">
        <f t="shared" si="6"/>
        <v>602719.39514604956</v>
      </c>
      <c r="M197" s="233">
        <f t="shared" si="7"/>
        <v>1.9603942340864149E-2</v>
      </c>
    </row>
    <row r="198" spans="1:13">
      <c r="A198" s="254">
        <v>42095</v>
      </c>
      <c r="B198" s="255">
        <f>'[11]CoS 2017 Load History'!D236</f>
        <v>25623800.388999961</v>
      </c>
      <c r="C198" s="256">
        <f>'Weather Data'!B294</f>
        <v>432.09999999999997</v>
      </c>
      <c r="D198" s="256">
        <f>'Weather Data'!C294</f>
        <v>0</v>
      </c>
      <c r="E198" s="256">
        <v>30</v>
      </c>
      <c r="F198" s="256">
        <v>1</v>
      </c>
      <c r="G198" s="256">
        <f>'CDM Activity'!I130</f>
        <v>697784.78729061305</v>
      </c>
      <c r="H198" s="256">
        <f>'[11]CoS 2017 Load History'!F236</f>
        <v>45248.609619140625</v>
      </c>
      <c r="I198" s="259"/>
      <c r="J198" s="256"/>
      <c r="K198" s="256">
        <f t="shared" si="5"/>
        <v>26611092.522692908</v>
      </c>
      <c r="L198" s="232">
        <f t="shared" si="6"/>
        <v>987292.13369294629</v>
      </c>
      <c r="M198" s="233">
        <f t="shared" si="7"/>
        <v>3.8530277269751945E-2</v>
      </c>
    </row>
    <row r="199" spans="1:13">
      <c r="A199" s="254">
        <v>42125</v>
      </c>
      <c r="B199" s="255">
        <f>'[11]CoS 2017 Load History'!D237</f>
        <v>23579601.63399975</v>
      </c>
      <c r="C199" s="256">
        <f>'Weather Data'!B295</f>
        <v>276</v>
      </c>
      <c r="D199" s="256">
        <f>'Weather Data'!C295</f>
        <v>0</v>
      </c>
      <c r="E199" s="256">
        <v>31</v>
      </c>
      <c r="F199" s="256">
        <v>1</v>
      </c>
      <c r="G199" s="256">
        <f>'CDM Activity'!I131</f>
        <v>711791.37410114077</v>
      </c>
      <c r="H199" s="256">
        <f>'[11]CoS 2017 Load History'!F237</f>
        <v>45240.304809570313</v>
      </c>
      <c r="I199" s="259"/>
      <c r="J199" s="256"/>
      <c r="K199" s="256">
        <f t="shared" si="5"/>
        <v>25477111.300564319</v>
      </c>
      <c r="L199" s="232">
        <f t="shared" si="6"/>
        <v>1897509.6665645689</v>
      </c>
      <c r="M199" s="233">
        <f t="shared" si="7"/>
        <v>8.0472507382335232E-2</v>
      </c>
    </row>
    <row r="200" spans="1:13">
      <c r="A200" s="254">
        <v>42156</v>
      </c>
      <c r="B200" s="255">
        <f>'[11]CoS 2017 Load History'!D238</f>
        <v>22175635.396999881</v>
      </c>
      <c r="C200" s="256">
        <f>'Weather Data'!B296</f>
        <v>118.60000000000004</v>
      </c>
      <c r="D200" s="256">
        <f>'Weather Data'!C296</f>
        <v>0</v>
      </c>
      <c r="E200" s="256">
        <v>30</v>
      </c>
      <c r="F200" s="256">
        <v>0</v>
      </c>
      <c r="G200" s="256">
        <f>'CDM Activity'!I132</f>
        <v>725797.96091166849</v>
      </c>
      <c r="H200" s="256">
        <f>'[11]CoS 2017 Load History'!F238</f>
        <v>45233.152404785156</v>
      </c>
      <c r="I200" s="259"/>
      <c r="J200" s="256"/>
      <c r="K200" s="256">
        <f t="shared" si="5"/>
        <v>23292738.943545934</v>
      </c>
      <c r="L200" s="232">
        <f t="shared" si="6"/>
        <v>1117103.5465460531</v>
      </c>
      <c r="M200" s="233">
        <f t="shared" si="7"/>
        <v>5.0375266663032568E-2</v>
      </c>
    </row>
    <row r="201" spans="1:13">
      <c r="A201" s="254">
        <v>42186</v>
      </c>
      <c r="B201" s="255">
        <f>'[11]CoS 2017 Load History'!D239</f>
        <v>23881661.082999926</v>
      </c>
      <c r="C201" s="256">
        <f>'Weather Data'!B297</f>
        <v>31.7</v>
      </c>
      <c r="D201" s="256">
        <f>'Weather Data'!C297</f>
        <v>38.000000000000007</v>
      </c>
      <c r="E201" s="256">
        <v>31</v>
      </c>
      <c r="F201" s="256">
        <v>0</v>
      </c>
      <c r="G201" s="256">
        <f>'CDM Activity'!I133</f>
        <v>739804.54772219621</v>
      </c>
      <c r="H201" s="256">
        <f>'[11]CoS 2017 Load History'!F239</f>
        <v>45228.576202392578</v>
      </c>
      <c r="I201" s="259"/>
      <c r="J201" s="256"/>
      <c r="K201" s="256">
        <f t="shared" si="5"/>
        <v>24743740.067322142</v>
      </c>
      <c r="L201" s="232">
        <f t="shared" si="6"/>
        <v>862078.98432221636</v>
      </c>
      <c r="M201" s="233">
        <f t="shared" si="7"/>
        <v>3.6097949021472557E-2</v>
      </c>
    </row>
    <row r="202" spans="1:13">
      <c r="A202" s="254">
        <v>42217</v>
      </c>
      <c r="B202" s="255">
        <f>'[11]CoS 2017 Load History'!D240</f>
        <v>24372893.72900008</v>
      </c>
      <c r="C202" s="256">
        <f>'Weather Data'!B298</f>
        <v>50.7</v>
      </c>
      <c r="D202" s="256">
        <f>'Weather Data'!C298</f>
        <v>35.4</v>
      </c>
      <c r="E202" s="256">
        <v>31</v>
      </c>
      <c r="F202" s="256">
        <v>0</v>
      </c>
      <c r="G202" s="256">
        <f>'CDM Activity'!I134</f>
        <v>753811.13453272393</v>
      </c>
      <c r="H202" s="256">
        <f>'[11]CoS 2017 Load History'!F240</f>
        <v>45233.288101196289</v>
      </c>
      <c r="I202" s="259"/>
      <c r="J202" s="256"/>
      <c r="K202" s="256">
        <f t="shared" si="5"/>
        <v>24859161.352611311</v>
      </c>
      <c r="L202" s="232">
        <f t="shared" si="6"/>
        <v>486267.6236112304</v>
      </c>
      <c r="M202" s="233">
        <f t="shared" si="7"/>
        <v>1.9951164971135332E-2</v>
      </c>
    </row>
    <row r="203" spans="1:13">
      <c r="A203" s="254">
        <v>42248</v>
      </c>
      <c r="B203" s="255">
        <f>'[11]CoS 2017 Load History'!D241</f>
        <v>23562673.682000015</v>
      </c>
      <c r="C203" s="256">
        <f>'Weather Data'!B299</f>
        <v>106.20000000000002</v>
      </c>
      <c r="D203" s="256">
        <f>'Weather Data'!C299</f>
        <v>15.8</v>
      </c>
      <c r="E203" s="256">
        <v>30</v>
      </c>
      <c r="F203" s="256">
        <v>1</v>
      </c>
      <c r="G203" s="256">
        <f>'CDM Activity'!I135</f>
        <v>767817.72134325164</v>
      </c>
      <c r="H203" s="256">
        <f>'[11]CoS 2017 Load History'!F241</f>
        <v>45265.144050598145</v>
      </c>
      <c r="I203" s="259"/>
      <c r="J203" s="256"/>
      <c r="K203" s="256">
        <f t="shared" si="5"/>
        <v>22806526.703101154</v>
      </c>
      <c r="L203" s="232">
        <f t="shared" si="6"/>
        <v>-756146.97889886051</v>
      </c>
      <c r="M203" s="233">
        <f t="shared" si="7"/>
        <v>3.2090881922135002E-2</v>
      </c>
    </row>
    <row r="204" spans="1:13">
      <c r="A204" s="254">
        <v>42278</v>
      </c>
      <c r="B204" s="255">
        <f>'[11]CoS 2017 Load History'!D242</f>
        <v>24999074.480999615</v>
      </c>
      <c r="C204" s="256">
        <f>'Weather Data'!B300</f>
        <v>345.9</v>
      </c>
      <c r="D204" s="256">
        <f>'Weather Data'!C300</f>
        <v>0</v>
      </c>
      <c r="E204" s="256">
        <v>31</v>
      </c>
      <c r="F204" s="256">
        <v>1</v>
      </c>
      <c r="G204" s="256">
        <f>'CDM Activity'!I136</f>
        <v>781824.30815377936</v>
      </c>
      <c r="H204" s="256">
        <f>'[11]CoS 2017 Load History'!F242</f>
        <v>45305.572025299072</v>
      </c>
      <c r="I204" s="259"/>
      <c r="J204" s="256"/>
      <c r="K204" s="256">
        <f t="shared" si="5"/>
        <v>26285194.964276843</v>
      </c>
      <c r="L204" s="232">
        <f t="shared" si="6"/>
        <v>1286120.4832772277</v>
      </c>
      <c r="M204" s="233">
        <f t="shared" si="7"/>
        <v>5.1446723927909221E-2</v>
      </c>
    </row>
    <row r="205" spans="1:13">
      <c r="A205" s="254">
        <v>42309</v>
      </c>
      <c r="B205" s="255">
        <f>'[11]CoS 2017 Load History'!D243</f>
        <v>26870909.26699993</v>
      </c>
      <c r="C205" s="256">
        <f>'Weather Data'!B301</f>
        <v>469.10000000000008</v>
      </c>
      <c r="D205" s="256">
        <f>'Weather Data'!C301</f>
        <v>0</v>
      </c>
      <c r="E205" s="256">
        <v>30</v>
      </c>
      <c r="F205" s="256">
        <v>1</v>
      </c>
      <c r="G205" s="256">
        <f>'CDM Activity'!I137</f>
        <v>795830.89496430708</v>
      </c>
      <c r="H205" s="256">
        <f>'[11]CoS 2017 Load History'!F243</f>
        <v>45342.286012649536</v>
      </c>
      <c r="I205" s="259"/>
      <c r="J205" s="256"/>
      <c r="K205" s="256">
        <f t="shared" si="5"/>
        <v>26927145.868923426</v>
      </c>
      <c r="L205" s="232">
        <f t="shared" si="6"/>
        <v>56236.601923495531</v>
      </c>
      <c r="M205" s="233">
        <f t="shared" si="7"/>
        <v>2.0928432813607655E-3</v>
      </c>
    </row>
    <row r="206" spans="1:13">
      <c r="A206" s="254">
        <v>42339</v>
      </c>
      <c r="B206" s="255">
        <f>'[11]CoS 2017 Load History'!D244</f>
        <v>30693907.412000064</v>
      </c>
      <c r="C206" s="256">
        <f>'Weather Data'!B302</f>
        <v>564.90000000000009</v>
      </c>
      <c r="D206" s="256">
        <f>'Weather Data'!C302</f>
        <v>0</v>
      </c>
      <c r="E206" s="256">
        <v>31</v>
      </c>
      <c r="F206" s="256">
        <v>0</v>
      </c>
      <c r="G206" s="256">
        <f>'CDM Activity'!I138</f>
        <v>809837.4817748348</v>
      </c>
      <c r="H206" s="256">
        <f>'[11]CoS 2017 Load History'!F244</f>
        <v>45374.643006324768</v>
      </c>
      <c r="I206" s="259"/>
      <c r="J206" s="256"/>
      <c r="K206" s="256">
        <f t="shared" si="5"/>
        <v>30100064.592982981</v>
      </c>
      <c r="L206" s="232">
        <f t="shared" si="6"/>
        <v>-593842.81901708245</v>
      </c>
      <c r="M206" s="233">
        <f t="shared" si="7"/>
        <v>1.9347253871786756E-2</v>
      </c>
    </row>
    <row r="207" spans="1:13">
      <c r="A207" s="254">
        <v>42370</v>
      </c>
      <c r="B207" s="262"/>
      <c r="C207" s="263">
        <f>'Weather Analysis - Thunder Bay'!Z8</f>
        <v>960.98000000000013</v>
      </c>
      <c r="D207" s="263">
        <f>'Weather Analysis - Thunder Bay'!Z28</f>
        <v>0</v>
      </c>
      <c r="E207" s="256">
        <v>31</v>
      </c>
      <c r="F207" s="256">
        <v>0</v>
      </c>
      <c r="G207" s="256">
        <f>'CDM Activity'!I139</f>
        <v>797617.58875044296</v>
      </c>
      <c r="H207" s="256"/>
      <c r="I207" s="259"/>
      <c r="J207" s="256"/>
      <c r="K207" s="256">
        <f>$O$103+C207*$O$104+D207*$O$105+E207*$O$106+F207*$O$107+G207*$O$108</f>
        <v>35428225.941034451</v>
      </c>
      <c r="L207" s="9"/>
      <c r="M207" s="4">
        <f>AVERAGE(M87:M206)</f>
        <v>2.6165402314257472E-2</v>
      </c>
    </row>
    <row r="208" spans="1:13">
      <c r="A208" s="254">
        <v>42401</v>
      </c>
      <c r="B208" s="262"/>
      <c r="C208" s="263">
        <f>'Weather Analysis - Thunder Bay'!Z9</f>
        <v>875.5899999999998</v>
      </c>
      <c r="D208" s="263">
        <f>'Weather Analysis - Thunder Bay'!Z29</f>
        <v>0</v>
      </c>
      <c r="E208" s="256">
        <v>29</v>
      </c>
      <c r="F208" s="256">
        <v>0</v>
      </c>
      <c r="G208" s="256">
        <f>'CDM Activity'!I140</f>
        <v>785397.69572605111</v>
      </c>
      <c r="H208" s="256"/>
      <c r="I208" s="259"/>
      <c r="J208" s="256"/>
      <c r="K208" s="256">
        <f t="shared" ref="K208:K230" si="8">$O$103+C208*$O$104+D208*$O$105+E208*$O$106+F208*$O$107+G208*$O$108</f>
        <v>32341254.214286603</v>
      </c>
      <c r="L208" s="9"/>
    </row>
    <row r="209" spans="1:12">
      <c r="A209" s="254">
        <v>42430</v>
      </c>
      <c r="B209" s="262"/>
      <c r="C209" s="263">
        <f>'Weather Analysis - Thunder Bay'!Z10</f>
        <v>702.91</v>
      </c>
      <c r="D209" s="263">
        <f>'Weather Analysis - Thunder Bay'!Z30</f>
        <v>0</v>
      </c>
      <c r="E209" s="256">
        <v>31</v>
      </c>
      <c r="F209" s="256">
        <v>1</v>
      </c>
      <c r="G209" s="256">
        <f>'CDM Activity'!I141</f>
        <v>773177.80270165927</v>
      </c>
      <c r="H209" s="256"/>
      <c r="I209" s="259"/>
      <c r="J209" s="256"/>
      <c r="K209" s="256">
        <f t="shared" si="8"/>
        <v>31083440.083389845</v>
      </c>
      <c r="L209" s="9"/>
    </row>
    <row r="210" spans="1:12">
      <c r="A210" s="254">
        <v>42461</v>
      </c>
      <c r="B210" s="262"/>
      <c r="C210" s="263">
        <f>'Weather Analysis - Thunder Bay'!Z11</f>
        <v>450.5200000000001</v>
      </c>
      <c r="D210" s="263">
        <f>'Weather Analysis - Thunder Bay'!Z31</f>
        <v>0</v>
      </c>
      <c r="E210" s="256">
        <v>30</v>
      </c>
      <c r="F210" s="256">
        <v>1</v>
      </c>
      <c r="G210" s="256">
        <f>'CDM Activity'!I142</f>
        <v>760957.90967726742</v>
      </c>
      <c r="H210" s="256"/>
      <c r="I210" s="259"/>
      <c r="J210" s="256"/>
      <c r="K210" s="256">
        <f t="shared" si="8"/>
        <v>26742129.232719615</v>
      </c>
      <c r="L210" s="9"/>
    </row>
    <row r="211" spans="1:12">
      <c r="A211" s="254">
        <v>42491</v>
      </c>
      <c r="B211" s="262"/>
      <c r="C211" s="263">
        <f>'Weather Analysis - Thunder Bay'!Z12</f>
        <v>271.46000000000004</v>
      </c>
      <c r="D211" s="263">
        <f>'Weather Analysis - Thunder Bay'!Z32</f>
        <v>0.47000000000000003</v>
      </c>
      <c r="E211" s="256">
        <v>31</v>
      </c>
      <c r="F211" s="256">
        <v>1</v>
      </c>
      <c r="G211" s="256">
        <f>'CDM Activity'!I143</f>
        <v>748738.01665287558</v>
      </c>
      <c r="H211" s="256"/>
      <c r="I211" s="259"/>
      <c r="J211" s="256"/>
      <c r="K211" s="256">
        <f t="shared" si="8"/>
        <v>25369127.347285494</v>
      </c>
      <c r="L211" s="9"/>
    </row>
    <row r="212" spans="1:12">
      <c r="A212" s="254">
        <v>42522</v>
      </c>
      <c r="B212" s="262"/>
      <c r="C212" s="263">
        <f>'Weather Analysis - Thunder Bay'!Z13</f>
        <v>109.59</v>
      </c>
      <c r="D212" s="263">
        <f>'Weather Analysis - Thunder Bay'!Z33</f>
        <v>6.7</v>
      </c>
      <c r="E212" s="256">
        <v>30</v>
      </c>
      <c r="F212" s="256">
        <v>0</v>
      </c>
      <c r="G212" s="256">
        <f>'CDM Activity'!I144</f>
        <v>736518.12362848374</v>
      </c>
      <c r="H212" s="256"/>
      <c r="I212" s="259"/>
      <c r="J212" s="256"/>
      <c r="K212" s="256">
        <f t="shared" si="8"/>
        <v>23444738.895125471</v>
      </c>
      <c r="L212" s="9"/>
    </row>
    <row r="213" spans="1:12">
      <c r="A213" s="254">
        <v>42552</v>
      </c>
      <c r="B213" s="262"/>
      <c r="C213" s="263">
        <f>'Weather Analysis - Thunder Bay'!Z14</f>
        <v>36.33</v>
      </c>
      <c r="D213" s="263">
        <f>'Weather Analysis - Thunder Bay'!Z34</f>
        <v>40.369999999999997</v>
      </c>
      <c r="E213" s="256">
        <v>31</v>
      </c>
      <c r="F213" s="256">
        <v>0</v>
      </c>
      <c r="G213" s="256">
        <f>'CDM Activity'!I145</f>
        <v>724298.23060409189</v>
      </c>
      <c r="H213" s="256"/>
      <c r="I213" s="259"/>
      <c r="J213" s="256"/>
      <c r="K213" s="256">
        <f t="shared" si="8"/>
        <v>24937571.511863507</v>
      </c>
      <c r="L213" s="9"/>
    </row>
    <row r="214" spans="1:12">
      <c r="A214" s="254">
        <v>42583</v>
      </c>
      <c r="B214" s="262"/>
      <c r="C214" s="263">
        <f>'Weather Analysis - Thunder Bay'!Z15</f>
        <v>51.55</v>
      </c>
      <c r="D214" s="263">
        <f>'Weather Analysis - Thunder Bay'!Z35</f>
        <v>29.669999999999998</v>
      </c>
      <c r="E214" s="256">
        <v>31</v>
      </c>
      <c r="F214" s="256">
        <v>0</v>
      </c>
      <c r="G214" s="256">
        <f>'CDM Activity'!I146</f>
        <v>712078.33757970005</v>
      </c>
      <c r="H214" s="256"/>
      <c r="I214" s="259"/>
      <c r="J214" s="256"/>
      <c r="K214" s="256">
        <f t="shared" si="8"/>
        <v>24696979.895981796</v>
      </c>
      <c r="L214" s="9"/>
    </row>
    <row r="215" spans="1:12">
      <c r="A215" s="254">
        <v>42614</v>
      </c>
      <c r="B215" s="262"/>
      <c r="C215" s="263">
        <f>'Weather Analysis - Thunder Bay'!Z16</f>
        <v>176.97</v>
      </c>
      <c r="D215" s="263">
        <f>'Weather Analysis - Thunder Bay'!Z36</f>
        <v>5.05</v>
      </c>
      <c r="E215" s="256">
        <v>30</v>
      </c>
      <c r="F215" s="256">
        <v>1</v>
      </c>
      <c r="G215" s="256">
        <f>'CDM Activity'!I147</f>
        <v>699858.4445553082</v>
      </c>
      <c r="H215" s="256"/>
      <c r="I215" s="259"/>
      <c r="J215" s="256"/>
      <c r="K215" s="256">
        <f t="shared" si="8"/>
        <v>23409982.347761977</v>
      </c>
      <c r="L215" s="9"/>
    </row>
    <row r="216" spans="1:12">
      <c r="A216" s="254">
        <v>42644</v>
      </c>
      <c r="B216" s="262"/>
      <c r="C216" s="263">
        <f>'Weather Analysis - Thunder Bay'!Z17</f>
        <v>372.15</v>
      </c>
      <c r="D216" s="263">
        <f>'Weather Analysis - Thunder Bay'!Z37</f>
        <v>0.54</v>
      </c>
      <c r="E216" s="256">
        <v>31</v>
      </c>
      <c r="F216" s="256">
        <v>1</v>
      </c>
      <c r="G216" s="256">
        <f>'CDM Activity'!I148</f>
        <v>687638.55153091636</v>
      </c>
      <c r="H216" s="256"/>
      <c r="I216" s="259"/>
      <c r="J216" s="256"/>
      <c r="K216" s="256">
        <f t="shared" si="8"/>
        <v>26832911.306937389</v>
      </c>
      <c r="L216" s="9"/>
    </row>
    <row r="217" spans="1:12">
      <c r="A217" s="254">
        <v>42675</v>
      </c>
      <c r="B217" s="262"/>
      <c r="C217" s="263">
        <f>'Weather Analysis - Thunder Bay'!Z18</f>
        <v>567.61000000000013</v>
      </c>
      <c r="D217" s="263">
        <f>'Weather Analysis - Thunder Bay'!Z38</f>
        <v>0</v>
      </c>
      <c r="E217" s="256">
        <v>30</v>
      </c>
      <c r="F217" s="256">
        <v>1</v>
      </c>
      <c r="G217" s="256">
        <f>'CDM Activity'!I149</f>
        <v>675418.65850652452</v>
      </c>
      <c r="H217" s="256"/>
      <c r="I217" s="259"/>
      <c r="J217" s="256"/>
      <c r="K217" s="256">
        <f t="shared" si="8"/>
        <v>28467314.571882322</v>
      </c>
      <c r="L217" s="9"/>
    </row>
    <row r="218" spans="1:12">
      <c r="A218" s="254">
        <v>42705</v>
      </c>
      <c r="B218" s="262"/>
      <c r="C218" s="263">
        <f>'Weather Analysis - Thunder Bay'!Z19</f>
        <v>852.28999999999974</v>
      </c>
      <c r="D218" s="263">
        <f>'Weather Analysis - Thunder Bay'!Z39</f>
        <v>0</v>
      </c>
      <c r="E218" s="256">
        <v>31</v>
      </c>
      <c r="F218" s="256">
        <v>0</v>
      </c>
      <c r="G218" s="256">
        <f>'CDM Activity'!I150</f>
        <v>663198.76548213267</v>
      </c>
      <c r="H218" s="256"/>
      <c r="I218" s="259"/>
      <c r="J218" s="256"/>
      <c r="K218" s="256">
        <f t="shared" si="8"/>
        <v>34218456.055436037</v>
      </c>
      <c r="L218" s="9"/>
    </row>
    <row r="219" spans="1:12">
      <c r="A219" s="254">
        <v>42736</v>
      </c>
      <c r="B219" s="262"/>
      <c r="C219" s="263">
        <f>C207</f>
        <v>960.98000000000013</v>
      </c>
      <c r="D219" s="263">
        <f>D207</f>
        <v>0</v>
      </c>
      <c r="E219" s="256">
        <v>31</v>
      </c>
      <c r="F219" s="256">
        <v>0</v>
      </c>
      <c r="G219" s="256">
        <f>'CDM Activity'!I151</f>
        <v>659124.91232896491</v>
      </c>
      <c r="H219" s="256"/>
      <c r="I219" s="259"/>
      <c r="J219" s="256"/>
      <c r="K219" s="256">
        <f t="shared" si="8"/>
        <v>35681899.302033834</v>
      </c>
      <c r="L219" s="9"/>
    </row>
    <row r="220" spans="1:12">
      <c r="A220" s="254">
        <v>42767</v>
      </c>
      <c r="B220" s="262"/>
      <c r="C220" s="263">
        <f t="shared" ref="C220:D230" si="9">C208</f>
        <v>875.5899999999998</v>
      </c>
      <c r="D220" s="263">
        <f t="shared" si="9"/>
        <v>0</v>
      </c>
      <c r="E220" s="256">
        <v>28</v>
      </c>
      <c r="F220" s="256">
        <v>0</v>
      </c>
      <c r="G220" s="256">
        <f>'CDM Activity'!I152</f>
        <v>655051.05917579716</v>
      </c>
      <c r="H220" s="256"/>
      <c r="I220" s="259"/>
      <c r="J220" s="256"/>
      <c r="K220" s="256">
        <f t="shared" si="8"/>
        <v>31597259.850324519</v>
      </c>
      <c r="L220" s="9"/>
    </row>
    <row r="221" spans="1:12">
      <c r="A221" s="254">
        <v>42795</v>
      </c>
      <c r="B221" s="262"/>
      <c r="C221" s="263">
        <f t="shared" si="9"/>
        <v>702.91</v>
      </c>
      <c r="D221" s="263">
        <f t="shared" si="9"/>
        <v>0</v>
      </c>
      <c r="E221" s="256">
        <v>31</v>
      </c>
      <c r="F221" s="256">
        <v>1</v>
      </c>
      <c r="G221" s="256">
        <f>'CDM Activity'!I153</f>
        <v>650977.2060226294</v>
      </c>
      <c r="H221" s="256"/>
      <c r="I221" s="259"/>
      <c r="J221" s="256"/>
      <c r="K221" s="256">
        <f t="shared" si="8"/>
        <v>31307271.674176343</v>
      </c>
      <c r="L221" s="9"/>
    </row>
    <row r="222" spans="1:12">
      <c r="A222" s="254">
        <v>42826</v>
      </c>
      <c r="B222" s="262"/>
      <c r="C222" s="263">
        <f t="shared" si="9"/>
        <v>450.5200000000001</v>
      </c>
      <c r="D222" s="263">
        <f t="shared" si="9"/>
        <v>0</v>
      </c>
      <c r="E222" s="256">
        <v>30</v>
      </c>
      <c r="F222" s="256">
        <v>1</v>
      </c>
      <c r="G222" s="256">
        <f>'CDM Activity'!I154</f>
        <v>646903.35286946164</v>
      </c>
      <c r="H222" s="256"/>
      <c r="I222" s="259"/>
      <c r="J222" s="256"/>
      <c r="K222" s="256">
        <f t="shared" si="8"/>
        <v>26951039.938399673</v>
      </c>
      <c r="L222" s="9"/>
    </row>
    <row r="223" spans="1:12">
      <c r="A223" s="254">
        <v>42856</v>
      </c>
      <c r="B223" s="262"/>
      <c r="C223" s="263">
        <f t="shared" si="9"/>
        <v>271.46000000000004</v>
      </c>
      <c r="D223" s="263">
        <f t="shared" si="9"/>
        <v>0.47000000000000003</v>
      </c>
      <c r="E223" s="256">
        <v>31</v>
      </c>
      <c r="F223" s="256">
        <v>1</v>
      </c>
      <c r="G223" s="256">
        <f>'CDM Activity'!I155</f>
        <v>642829.49971629388</v>
      </c>
      <c r="H223" s="256"/>
      <c r="I223" s="259"/>
      <c r="J223" s="256"/>
      <c r="K223" s="256">
        <f t="shared" si="8"/>
        <v>25563117.167859107</v>
      </c>
      <c r="L223" s="9"/>
    </row>
    <row r="224" spans="1:12">
      <c r="A224" s="254">
        <v>42887</v>
      </c>
      <c r="B224" s="262"/>
      <c r="C224" s="263">
        <f t="shared" si="9"/>
        <v>109.59</v>
      </c>
      <c r="D224" s="263">
        <f t="shared" si="9"/>
        <v>6.7</v>
      </c>
      <c r="E224" s="256">
        <v>30</v>
      </c>
      <c r="F224" s="256">
        <v>0</v>
      </c>
      <c r="G224" s="256">
        <f>'CDM Activity'!I156</f>
        <v>638755.64656312612</v>
      </c>
      <c r="H224" s="256"/>
      <c r="I224" s="259"/>
      <c r="J224" s="256"/>
      <c r="K224" s="256">
        <f t="shared" si="8"/>
        <v>23623807.830592647</v>
      </c>
      <c r="L224" s="9"/>
    </row>
    <row r="225" spans="1:16">
      <c r="A225" s="254">
        <v>42917</v>
      </c>
      <c r="B225" s="262"/>
      <c r="C225" s="263">
        <f t="shared" si="9"/>
        <v>36.33</v>
      </c>
      <c r="D225" s="263">
        <f t="shared" si="9"/>
        <v>40.369999999999997</v>
      </c>
      <c r="E225" s="256">
        <v>31</v>
      </c>
      <c r="F225" s="256">
        <v>0</v>
      </c>
      <c r="G225" s="256">
        <f>'CDM Activity'!I157</f>
        <v>634681.79340995837</v>
      </c>
      <c r="H225" s="256"/>
      <c r="I225" s="259"/>
      <c r="J225" s="256"/>
      <c r="K225" s="256">
        <f t="shared" si="8"/>
        <v>25101719.562224243</v>
      </c>
      <c r="L225" s="9"/>
    </row>
    <row r="226" spans="1:16">
      <c r="A226" s="254">
        <v>42948</v>
      </c>
      <c r="B226" s="262"/>
      <c r="C226" s="263">
        <f t="shared" si="9"/>
        <v>51.55</v>
      </c>
      <c r="D226" s="263">
        <f t="shared" si="9"/>
        <v>29.669999999999998</v>
      </c>
      <c r="E226" s="256">
        <v>31</v>
      </c>
      <c r="F226" s="256">
        <v>0</v>
      </c>
      <c r="G226" s="256">
        <f>'CDM Activity'!I158</f>
        <v>630607.94025679061</v>
      </c>
      <c r="H226" s="256"/>
      <c r="I226" s="259"/>
      <c r="J226" s="256"/>
      <c r="K226" s="256">
        <f t="shared" si="8"/>
        <v>24846207.061236087</v>
      </c>
      <c r="L226" s="9"/>
    </row>
    <row r="227" spans="1:16">
      <c r="A227" s="254">
        <v>42979</v>
      </c>
      <c r="B227" s="262"/>
      <c r="C227" s="263">
        <f t="shared" si="9"/>
        <v>176.97</v>
      </c>
      <c r="D227" s="263">
        <f t="shared" si="9"/>
        <v>5.05</v>
      </c>
      <c r="E227" s="256">
        <v>30</v>
      </c>
      <c r="F227" s="256">
        <v>1</v>
      </c>
      <c r="G227" s="256">
        <f>'CDM Activity'!I159</f>
        <v>626534.08710362285</v>
      </c>
      <c r="H227" s="256"/>
      <c r="I227" s="259"/>
      <c r="J227" s="256"/>
      <c r="K227" s="256">
        <f t="shared" si="8"/>
        <v>23544288.627909828</v>
      </c>
      <c r="L227" s="9"/>
    </row>
    <row r="228" spans="1:16">
      <c r="A228" s="254">
        <v>43009</v>
      </c>
      <c r="B228" s="262"/>
      <c r="C228" s="263">
        <f t="shared" si="9"/>
        <v>372.15</v>
      </c>
      <c r="D228" s="263">
        <f t="shared" si="9"/>
        <v>0.54</v>
      </c>
      <c r="E228" s="256">
        <v>31</v>
      </c>
      <c r="F228" s="256">
        <v>1</v>
      </c>
      <c r="G228" s="256">
        <f>'CDM Activity'!I160</f>
        <v>622460.23395045509</v>
      </c>
      <c r="H228" s="256"/>
      <c r="I228" s="259"/>
      <c r="J228" s="256"/>
      <c r="K228" s="256">
        <f t="shared" si="8"/>
        <v>26952296.701978803</v>
      </c>
      <c r="L228" s="9"/>
    </row>
    <row r="229" spans="1:16">
      <c r="A229" s="254">
        <v>43040</v>
      </c>
      <c r="B229" s="262"/>
      <c r="C229" s="263">
        <f t="shared" si="9"/>
        <v>567.61000000000013</v>
      </c>
      <c r="D229" s="263">
        <f t="shared" si="9"/>
        <v>0</v>
      </c>
      <c r="E229" s="256">
        <v>30</v>
      </c>
      <c r="F229" s="256">
        <v>1</v>
      </c>
      <c r="G229" s="256">
        <f>'CDM Activity'!I161</f>
        <v>618386.38079728733</v>
      </c>
      <c r="H229" s="256"/>
      <c r="I229" s="259"/>
      <c r="J229" s="256"/>
      <c r="K229" s="256">
        <f t="shared" si="8"/>
        <v>28571779.081817292</v>
      </c>
      <c r="L229" s="9"/>
    </row>
    <row r="230" spans="1:16">
      <c r="A230" s="254">
        <v>43070</v>
      </c>
      <c r="B230" s="262"/>
      <c r="C230" s="263">
        <f t="shared" si="9"/>
        <v>852.28999999999974</v>
      </c>
      <c r="D230" s="263">
        <f t="shared" si="9"/>
        <v>0</v>
      </c>
      <c r="E230" s="256">
        <v>31</v>
      </c>
      <c r="F230" s="256">
        <v>0</v>
      </c>
      <c r="G230" s="256">
        <f>'CDM Activity'!I162</f>
        <v>614312.52764411957</v>
      </c>
      <c r="H230" s="256"/>
      <c r="I230" s="259"/>
      <c r="J230" s="256"/>
      <c r="K230" s="256">
        <f t="shared" si="8"/>
        <v>34307999.68026457</v>
      </c>
      <c r="L230" s="9"/>
    </row>
    <row r="231" spans="1:16">
      <c r="A231" s="34"/>
      <c r="B231" s="28"/>
      <c r="C231" s="62"/>
      <c r="D231" s="62"/>
      <c r="E231" s="18"/>
      <c r="F231" s="18"/>
      <c r="G231" s="18"/>
      <c r="H231" s="18"/>
      <c r="I231" s="37"/>
      <c r="J231" s="18"/>
      <c r="K231" s="18"/>
      <c r="L231" s="9"/>
    </row>
    <row r="232" spans="1:16">
      <c r="A232" s="2"/>
      <c r="C232"/>
      <c r="D232"/>
      <c r="G232" s="49">
        <f>SUM(G87:G230)</f>
        <v>85203849.525561675</v>
      </c>
      <c r="H232" s="49">
        <f>SUM(H87:H230)</f>
        <v>5370553.3569936752</v>
      </c>
      <c r="I232" s="49">
        <f>SUM(I87:I230)</f>
        <v>13339.828156798096</v>
      </c>
      <c r="J232" s="49">
        <f>SUM(J87:J230)</f>
        <v>32128.304000000004</v>
      </c>
      <c r="K232" s="49">
        <f>SUM(K87:K230)</f>
        <v>4071408400.902822</v>
      </c>
    </row>
    <row r="233" spans="1:16">
      <c r="A233" s="2"/>
      <c r="N233" s="228" t="s">
        <v>338</v>
      </c>
      <c r="O233" s="606" t="s">
        <v>339</v>
      </c>
      <c r="P233" s="606"/>
    </row>
    <row r="234" spans="1:16">
      <c r="A234">
        <v>2006</v>
      </c>
      <c r="B234" s="5">
        <f>SUM(B87:B98)</f>
        <v>344985670.16000092</v>
      </c>
      <c r="K234" s="5">
        <f>SUM(K87:K98)</f>
        <v>345245606.60896194</v>
      </c>
      <c r="L234" s="41">
        <f>K234-B234</f>
        <v>259936.44896101952</v>
      </c>
      <c r="M234" s="4">
        <f>L234/B234</f>
        <v>7.534702784624752E-4</v>
      </c>
      <c r="N234" s="5">
        <f>'Residential WN'!K234</f>
        <v>349070725.5750066</v>
      </c>
      <c r="O234" s="25">
        <f>N234/K234</f>
        <v>1.011079413880499</v>
      </c>
    </row>
    <row r="235" spans="1:16">
      <c r="A235" s="17">
        <v>2007</v>
      </c>
      <c r="B235" s="5">
        <f>SUM(B99:B110)</f>
        <v>347356682.25000095</v>
      </c>
      <c r="K235" s="5">
        <f>SUM(K99:K110)</f>
        <v>344159854.90742195</v>
      </c>
      <c r="L235" s="41">
        <f t="shared" ref="L235:L243" si="10">K235-B235</f>
        <v>-3196827.3425790071</v>
      </c>
      <c r="M235" s="4">
        <f t="shared" ref="M235:M243" si="11">L235/B235</f>
        <v>-9.2032988162817995E-3</v>
      </c>
      <c r="N235" s="5">
        <f>'Residential WN'!K235</f>
        <v>343533530.24206108</v>
      </c>
      <c r="O235" s="25">
        <f t="shared" ref="O235:O243" si="12">N235/K235</f>
        <v>0.99818013444499698</v>
      </c>
    </row>
    <row r="236" spans="1:16">
      <c r="A236">
        <v>2008</v>
      </c>
      <c r="B236" s="5">
        <f>SUM(B111:B122)</f>
        <v>349640195.36999899</v>
      </c>
      <c r="K236" s="5">
        <f>SUM(K111:K122)</f>
        <v>344605008.47302711</v>
      </c>
      <c r="L236" s="41">
        <f t="shared" si="10"/>
        <v>-5035186.8969718814</v>
      </c>
      <c r="M236" s="4">
        <f t="shared" si="11"/>
        <v>-1.4401052749794703E-2</v>
      </c>
      <c r="N236" s="5">
        <f>'Residential WN'!K236</f>
        <v>340541638.25969309</v>
      </c>
      <c r="O236" s="25">
        <f t="shared" si="12"/>
        <v>0.98820861533226356</v>
      </c>
    </row>
    <row r="237" spans="1:16">
      <c r="A237" s="17">
        <v>2009</v>
      </c>
      <c r="B237" s="5">
        <f>SUM(B123:B134)</f>
        <v>344727820.68999922</v>
      </c>
      <c r="K237" s="5">
        <f>SUM(K123:K134)</f>
        <v>338542011.15360421</v>
      </c>
      <c r="L237" s="41">
        <f t="shared" si="10"/>
        <v>-6185809.5363950133</v>
      </c>
      <c r="M237" s="4">
        <f t="shared" si="11"/>
        <v>-1.7944039224956198E-2</v>
      </c>
      <c r="N237" s="5">
        <f>'Residential WN'!K237</f>
        <v>336909767.78675658</v>
      </c>
      <c r="O237" s="25">
        <f t="shared" si="12"/>
        <v>0.99517860911475753</v>
      </c>
    </row>
    <row r="238" spans="1:16">
      <c r="A238">
        <v>2010</v>
      </c>
      <c r="B238" s="5">
        <f>SUM(B135:B146)</f>
        <v>335588529.46999955</v>
      </c>
      <c r="K238" s="5">
        <f>SUM(K135:K146)</f>
        <v>334431204.35864669</v>
      </c>
      <c r="L238" s="41">
        <f t="shared" si="10"/>
        <v>-1157325.1113528609</v>
      </c>
      <c r="M238" s="4">
        <f t="shared" si="11"/>
        <v>-3.4486432333686833E-3</v>
      </c>
      <c r="N238" s="5">
        <f>'Residential WN'!K238</f>
        <v>339757294.25584543</v>
      </c>
      <c r="O238" s="25">
        <f t="shared" si="12"/>
        <v>1.0159258162150653</v>
      </c>
    </row>
    <row r="239" spans="1:16">
      <c r="A239">
        <v>2011</v>
      </c>
      <c r="B239" s="5">
        <f>SUM(B147:B158)</f>
        <v>337212306.49999964</v>
      </c>
      <c r="K239" s="5">
        <f>SUM(K147:K158)</f>
        <v>339854194.71704739</v>
      </c>
      <c r="L239" s="41">
        <f t="shared" si="10"/>
        <v>2641888.2170477509</v>
      </c>
      <c r="M239" s="4">
        <f t="shared" si="11"/>
        <v>7.8344952604739934E-3</v>
      </c>
      <c r="N239" s="5">
        <f>'Residential WN'!K239</f>
        <v>338743371.87315863</v>
      </c>
      <c r="O239" s="25">
        <f t="shared" si="12"/>
        <v>0.99673147231619841</v>
      </c>
    </row>
    <row r="240" spans="1:16">
      <c r="A240">
        <v>2012</v>
      </c>
      <c r="B240" s="5">
        <f>SUM(B159:B170)</f>
        <v>331142424.8599996</v>
      </c>
      <c r="K240" s="5">
        <f>SUM(K159:K170)</f>
        <v>332583780.68058574</v>
      </c>
      <c r="L240" s="41">
        <f t="shared" si="10"/>
        <v>1441355.8205861449</v>
      </c>
      <c r="M240" s="4">
        <f t="shared" si="11"/>
        <v>4.3526764086345062E-3</v>
      </c>
      <c r="N240" s="5">
        <f>'Residential WN'!K240</f>
        <v>338705080.37724847</v>
      </c>
      <c r="O240" s="25">
        <f t="shared" si="12"/>
        <v>1.0184052862834632</v>
      </c>
    </row>
    <row r="241" spans="1:15">
      <c r="A241">
        <v>2013</v>
      </c>
      <c r="B241" s="5">
        <f>SUM(B171:B182)</f>
        <v>341035888.63527828</v>
      </c>
      <c r="K241" s="5">
        <f>SUM(K171:K182)</f>
        <v>342797237.95477337</v>
      </c>
      <c r="L241" s="41">
        <f t="shared" si="10"/>
        <v>1761349.3194950819</v>
      </c>
      <c r="M241" s="4">
        <f t="shared" si="11"/>
        <v>5.1647037106372154E-3</v>
      </c>
      <c r="N241" s="5">
        <f>'Residential WN'!K241</f>
        <v>336926942.58283252</v>
      </c>
      <c r="O241" s="25">
        <f t="shared" si="12"/>
        <v>0.9828753130948058</v>
      </c>
    </row>
    <row r="242" spans="1:15">
      <c r="A242">
        <v>2014</v>
      </c>
      <c r="B242" s="5">
        <f>SUM(B183:B194)</f>
        <v>340024795.88802838</v>
      </c>
      <c r="C242" s="99"/>
      <c r="D242" s="99"/>
      <c r="E242" s="99"/>
      <c r="F242" s="99"/>
      <c r="G242" s="99"/>
      <c r="H242" s="99"/>
      <c r="J242" s="99"/>
      <c r="K242" s="5">
        <f>SUM(K183:K194)</f>
        <v>341831389.80968422</v>
      </c>
      <c r="L242" s="41">
        <f t="shared" si="10"/>
        <v>1806593.9216558337</v>
      </c>
      <c r="M242" s="4">
        <f t="shared" si="11"/>
        <v>5.3131240530198062E-3</v>
      </c>
      <c r="N242" s="5">
        <f>'Residential WN'!K242</f>
        <v>336262447.5360505</v>
      </c>
      <c r="O242" s="25">
        <f t="shared" si="12"/>
        <v>0.98370851115594082</v>
      </c>
    </row>
    <row r="243" spans="1:15">
      <c r="A243" s="17">
        <v>2015</v>
      </c>
      <c r="B243" s="5">
        <f>SUM(B195:B206)</f>
        <v>324673269.19699794</v>
      </c>
      <c r="C243" s="99"/>
      <c r="D243" s="99"/>
      <c r="E243" s="99"/>
      <c r="F243" s="99"/>
      <c r="G243" s="99"/>
      <c r="H243" s="99"/>
      <c r="J243" s="99"/>
      <c r="K243" s="5">
        <f>SUM(K195:K206)</f>
        <v>332337294.35654873</v>
      </c>
      <c r="L243" s="41">
        <f t="shared" si="10"/>
        <v>7664025.159550786</v>
      </c>
      <c r="M243" s="4">
        <f t="shared" si="11"/>
        <v>2.3605346933875795E-2</v>
      </c>
      <c r="N243" s="5">
        <f>'Residential WN'!K243</f>
        <v>335936784.53164816</v>
      </c>
      <c r="O243" s="25">
        <f t="shared" si="12"/>
        <v>1.0108308343247139</v>
      </c>
    </row>
    <row r="244" spans="1:15">
      <c r="A244">
        <v>2016</v>
      </c>
      <c r="C244" s="99"/>
      <c r="D244" s="99"/>
      <c r="E244" s="99"/>
      <c r="F244" s="99"/>
      <c r="G244" s="99"/>
      <c r="H244" s="99"/>
      <c r="J244" s="99"/>
      <c r="K244" s="5">
        <f>SUM(K207:K218)</f>
        <v>336972131.40370446</v>
      </c>
      <c r="L244" s="99"/>
      <c r="M244" s="99"/>
      <c r="N244" s="5">
        <f>'Residential WN'!K244</f>
        <v>336972131.40370446</v>
      </c>
      <c r="O244" s="25"/>
    </row>
    <row r="245" spans="1:15">
      <c r="A245" s="17">
        <v>2017</v>
      </c>
      <c r="C245" s="99"/>
      <c r="D245" s="99"/>
      <c r="E245" s="99"/>
      <c r="F245" s="99"/>
      <c r="G245" s="99"/>
      <c r="H245" s="99"/>
      <c r="J245" s="99"/>
      <c r="K245" s="5">
        <f>SUM(K219:K230)</f>
        <v>338048686.47881699</v>
      </c>
      <c r="L245" s="99"/>
      <c r="M245" s="99"/>
      <c r="N245" s="5">
        <f>'Residential WN'!K245</f>
        <v>338048686.47881699</v>
      </c>
      <c r="O245" s="25"/>
    </row>
    <row r="246" spans="1:15">
      <c r="K246" s="5"/>
      <c r="N246" s="5"/>
      <c r="O246" s="25"/>
    </row>
    <row r="247" spans="1:15">
      <c r="A247" s="72" t="s">
        <v>261</v>
      </c>
      <c r="B247" s="5">
        <f>SUM(B234:B243)</f>
        <v>3396387583.0203042</v>
      </c>
      <c r="K247" s="5">
        <f>SUM(K234:K243)</f>
        <v>3396387583.0203013</v>
      </c>
      <c r="L247" s="5">
        <f>K247-B247</f>
        <v>0</v>
      </c>
      <c r="N247" s="5"/>
      <c r="O247" s="25"/>
    </row>
    <row r="248" spans="1:15">
      <c r="N248" s="5"/>
      <c r="O248" s="25"/>
    </row>
    <row r="249" spans="1:15">
      <c r="K249" s="5">
        <f>SUM(K234:K245)</f>
        <v>4071408400.902823</v>
      </c>
      <c r="L249" s="49">
        <f>K232-K249</f>
        <v>0</v>
      </c>
      <c r="N249" s="5"/>
      <c r="O249" s="25"/>
    </row>
    <row r="250" spans="1:15">
      <c r="K250" s="19"/>
      <c r="L250" s="19" t="s">
        <v>47</v>
      </c>
      <c r="M250" s="19"/>
    </row>
    <row r="254" spans="1:15">
      <c r="B254" s="90" t="s">
        <v>143</v>
      </c>
    </row>
    <row r="255" spans="1:15">
      <c r="A255" s="2">
        <v>42736</v>
      </c>
      <c r="C255" s="62">
        <f>'Weather Analysis - Thunder Bay'!AA8</f>
        <v>981.22443609022571</v>
      </c>
      <c r="D255" s="62">
        <f>'Weather Analysis - Thunder Bay'!AA28</f>
        <v>0</v>
      </c>
      <c r="E255" s="9">
        <f>E219</f>
        <v>31</v>
      </c>
      <c r="F255" s="9">
        <f t="shared" ref="F255:G255" si="13">F219</f>
        <v>0</v>
      </c>
      <c r="G255" s="9">
        <f t="shared" si="13"/>
        <v>659124.91232896491</v>
      </c>
      <c r="H255" s="18" t="e">
        <f>#REF!</f>
        <v>#REF!</v>
      </c>
      <c r="I255" s="37">
        <v>143.1291789570798</v>
      </c>
      <c r="J255" s="9">
        <v>352</v>
      </c>
      <c r="K255" s="18">
        <f t="shared" ref="K255:K266" si="14">$O$103+C255*$O$104+D255*$O$105+E255*$O$106+F255*$O$107+G255*$O$108</f>
        <v>35953088.187195703</v>
      </c>
    </row>
    <row r="256" spans="1:15">
      <c r="A256" s="2">
        <v>42767</v>
      </c>
      <c r="C256" s="62">
        <f>'Weather Analysis - Thunder Bay'!AA9</f>
        <v>920.49842105263269</v>
      </c>
      <c r="D256" s="62">
        <f>'Weather Analysis - Thunder Bay'!AA29</f>
        <v>0</v>
      </c>
      <c r="E256" s="9">
        <f t="shared" ref="E256:G256" si="15">E220</f>
        <v>28</v>
      </c>
      <c r="F256" s="9">
        <f t="shared" si="15"/>
        <v>0</v>
      </c>
      <c r="G256" s="9">
        <f t="shared" si="15"/>
        <v>655051.05917579716</v>
      </c>
      <c r="H256" s="18" t="e">
        <f>#REF!</f>
        <v>#REF!</v>
      </c>
      <c r="I256" s="37">
        <v>143.42400163116841</v>
      </c>
      <c r="J256" s="9">
        <v>304</v>
      </c>
      <c r="K256" s="18">
        <f t="shared" si="14"/>
        <v>32198840.679020636</v>
      </c>
    </row>
    <row r="257" spans="1:12">
      <c r="A257" s="2">
        <v>42795</v>
      </c>
      <c r="C257" s="62">
        <f>'Weather Analysis - Thunder Bay'!AA10</f>
        <v>728.65676691729323</v>
      </c>
      <c r="D257" s="62">
        <f>'Weather Analysis - Thunder Bay'!AA30</f>
        <v>0</v>
      </c>
      <c r="E257" s="9">
        <f t="shared" ref="E257:G257" si="16">E221</f>
        <v>31</v>
      </c>
      <c r="F257" s="9">
        <f t="shared" si="16"/>
        <v>1</v>
      </c>
      <c r="G257" s="9">
        <f t="shared" si="16"/>
        <v>650977.2060226294</v>
      </c>
      <c r="H257" s="18" t="e">
        <f>#REF!</f>
        <v>#REF!</v>
      </c>
      <c r="I257" s="37">
        <v>143.71943159169427</v>
      </c>
      <c r="J257" s="9">
        <v>320</v>
      </c>
      <c r="K257" s="18">
        <f t="shared" si="14"/>
        <v>31652168.266292058</v>
      </c>
    </row>
    <row r="258" spans="1:12">
      <c r="A258" s="2">
        <v>42826</v>
      </c>
      <c r="C258" s="62">
        <f>'Weather Analysis - Thunder Bay'!AA11</f>
        <v>457.84511278195487</v>
      </c>
      <c r="D258" s="62">
        <f>'Weather Analysis - Thunder Bay'!AA31</f>
        <v>0</v>
      </c>
      <c r="E258" s="9">
        <f t="shared" ref="E258:G258" si="17">E222</f>
        <v>30</v>
      </c>
      <c r="F258" s="9">
        <f t="shared" si="17"/>
        <v>1</v>
      </c>
      <c r="G258" s="9">
        <f t="shared" si="17"/>
        <v>646903.35286946164</v>
      </c>
      <c r="H258" s="18" t="e">
        <f>#REF!</f>
        <v>#REF!</v>
      </c>
      <c r="I258" s="37">
        <v>144.01547008956803</v>
      </c>
      <c r="J258" s="9">
        <v>352</v>
      </c>
      <c r="K258" s="18">
        <f t="shared" si="14"/>
        <v>27049165.129942171</v>
      </c>
    </row>
    <row r="259" spans="1:12">
      <c r="A259" s="2">
        <v>42856</v>
      </c>
      <c r="C259" s="62">
        <f>'Weather Analysis - Thunder Bay'!AA12</f>
        <v>271.64563909774438</v>
      </c>
      <c r="D259" s="62">
        <f>'Weather Analysis - Thunder Bay'!AA32</f>
        <v>0.20857142857142463</v>
      </c>
      <c r="E259" s="9">
        <f t="shared" ref="E259:G259" si="18">E223</f>
        <v>31</v>
      </c>
      <c r="F259" s="9">
        <f t="shared" si="18"/>
        <v>1</v>
      </c>
      <c r="G259" s="9">
        <f t="shared" si="18"/>
        <v>642829.49971629388</v>
      </c>
      <c r="H259" s="18" t="e">
        <f>#REF!</f>
        <v>#REF!</v>
      </c>
      <c r="I259" s="37">
        <v>144.31211837827698</v>
      </c>
      <c r="J259" s="9">
        <v>352</v>
      </c>
      <c r="K259" s="18">
        <f t="shared" si="14"/>
        <v>25554197.408916876</v>
      </c>
    </row>
    <row r="260" spans="1:12">
      <c r="A260" s="2">
        <v>42887</v>
      </c>
      <c r="C260" s="62">
        <f>'Weather Analysis - Thunder Bay'!AA13</f>
        <v>115.80518796992476</v>
      </c>
      <c r="D260" s="62">
        <f>'Weather Analysis - Thunder Bay'!AA33</f>
        <v>4.1052631578947967</v>
      </c>
      <c r="E260" s="9">
        <f t="shared" ref="E260:G260" si="19">E224</f>
        <v>30</v>
      </c>
      <c r="F260" s="9">
        <f t="shared" si="19"/>
        <v>0</v>
      </c>
      <c r="G260" s="9">
        <f t="shared" si="19"/>
        <v>638755.64656312612</v>
      </c>
      <c r="H260" s="18" t="e">
        <f>#REF!</f>
        <v>#REF!</v>
      </c>
      <c r="I260" s="37">
        <v>144.60937771389038</v>
      </c>
      <c r="J260" s="9">
        <v>320</v>
      </c>
      <c r="K260" s="18">
        <f t="shared" si="14"/>
        <v>23593852.431354675</v>
      </c>
    </row>
    <row r="261" spans="1:12">
      <c r="A261" s="2">
        <v>42917</v>
      </c>
      <c r="C261" s="62">
        <f>'Weather Analysis - Thunder Bay'!AA14</f>
        <v>34.996616541353319</v>
      </c>
      <c r="D261" s="62">
        <f>'Weather Analysis - Thunder Bay'!AA34</f>
        <v>41.516616541353415</v>
      </c>
      <c r="E261" s="9">
        <f t="shared" ref="E261:G261" si="20">E225</f>
        <v>31</v>
      </c>
      <c r="F261" s="9">
        <f t="shared" si="20"/>
        <v>0</v>
      </c>
      <c r="G261" s="9">
        <f t="shared" si="20"/>
        <v>634681.79340995837</v>
      </c>
      <c r="H261" s="18" t="e">
        <f>#REF!</f>
        <v>#REF!</v>
      </c>
      <c r="I261" s="37">
        <v>144.90724935506483</v>
      </c>
      <c r="J261" s="9">
        <v>352</v>
      </c>
      <c r="K261" s="18">
        <f t="shared" si="14"/>
        <v>25133886.561477304</v>
      </c>
    </row>
    <row r="262" spans="1:12">
      <c r="A262" s="2">
        <v>42948</v>
      </c>
      <c r="C262" s="62">
        <f>'Weather Analysis - Thunder Bay'!AA15</f>
        <v>48.162481203007474</v>
      </c>
      <c r="D262" s="62">
        <f>'Weather Analysis - Thunder Bay'!AA35</f>
        <v>33.181729323308446</v>
      </c>
      <c r="E262" s="9">
        <f t="shared" ref="E262:G262" si="21">E226</f>
        <v>31</v>
      </c>
      <c r="F262" s="9">
        <f t="shared" si="21"/>
        <v>0</v>
      </c>
      <c r="G262" s="9">
        <f t="shared" si="21"/>
        <v>630607.94025679061</v>
      </c>
      <c r="H262" s="18" t="e">
        <f>#REF!</f>
        <v>#REF!</v>
      </c>
      <c r="I262" s="37">
        <v>145.20573456304953</v>
      </c>
      <c r="J262" s="9">
        <v>336</v>
      </c>
      <c r="K262" s="18">
        <f t="shared" si="14"/>
        <v>24954050.924154382</v>
      </c>
    </row>
    <row r="263" spans="1:12">
      <c r="A263" s="2">
        <v>42979</v>
      </c>
      <c r="C263" s="62">
        <f>'Weather Analysis - Thunder Bay'!AA16</f>
        <v>175.57706766917295</v>
      </c>
      <c r="D263" s="62">
        <f>'Weather Analysis - Thunder Bay'!AA36</f>
        <v>5.6842857142857071</v>
      </c>
      <c r="E263" s="9">
        <f t="shared" ref="E263:G263" si="22">E227</f>
        <v>30</v>
      </c>
      <c r="F263" s="9">
        <f t="shared" si="22"/>
        <v>1</v>
      </c>
      <c r="G263" s="9">
        <f t="shared" si="22"/>
        <v>626534.08710362285</v>
      </c>
      <c r="H263" s="18" t="e">
        <f>#REF!</f>
        <v>#REF!</v>
      </c>
      <c r="I263" s="37">
        <v>145.50483460169167</v>
      </c>
      <c r="J263" s="9">
        <v>320</v>
      </c>
      <c r="K263" s="18">
        <f t="shared" si="14"/>
        <v>23553304.147930179</v>
      </c>
    </row>
    <row r="264" spans="1:12">
      <c r="A264" s="2">
        <v>43009</v>
      </c>
      <c r="C264" s="62">
        <f>'Weather Analysis - Thunder Bay'!AA17</f>
        <v>357.9927819548875</v>
      </c>
      <c r="D264" s="62">
        <f>'Weather Analysis - Thunder Bay'!AA37</f>
        <v>0.78360902255639076</v>
      </c>
      <c r="E264" s="9">
        <f t="shared" ref="E264:G264" si="23">E228</f>
        <v>31</v>
      </c>
      <c r="F264" s="9">
        <f t="shared" si="23"/>
        <v>1</v>
      </c>
      <c r="G264" s="9">
        <f t="shared" si="23"/>
        <v>622460.23395045509</v>
      </c>
      <c r="H264" s="18" t="e">
        <f>#REF!</f>
        <v>#REF!</v>
      </c>
      <c r="I264" s="37">
        <v>145.8045507374417</v>
      </c>
      <c r="J264" s="9">
        <v>352</v>
      </c>
      <c r="K264" s="18">
        <f t="shared" si="14"/>
        <v>26773279.546611771</v>
      </c>
    </row>
    <row r="265" spans="1:12">
      <c r="A265" s="2">
        <v>43040</v>
      </c>
      <c r="C265" s="62">
        <f>'Weather Analysis - Thunder Bay'!AA18</f>
        <v>558.62721804511284</v>
      </c>
      <c r="D265" s="62">
        <f>'Weather Analysis - Thunder Bay'!AA38</f>
        <v>0</v>
      </c>
      <c r="E265" s="9">
        <f t="shared" ref="E265:G265" si="24">E229</f>
        <v>30</v>
      </c>
      <c r="F265" s="9">
        <f t="shared" si="24"/>
        <v>1</v>
      </c>
      <c r="G265" s="9">
        <f t="shared" si="24"/>
        <v>618386.38079728733</v>
      </c>
      <c r="H265" s="18" t="e">
        <f>#REF!</f>
        <v>#REF!</v>
      </c>
      <c r="I265" s="37">
        <v>146.1048842393588</v>
      </c>
      <c r="J265" s="9">
        <v>336</v>
      </c>
      <c r="K265" s="18">
        <f t="shared" si="14"/>
        <v>28451448.210997224</v>
      </c>
    </row>
    <row r="266" spans="1:12">
      <c r="A266" s="2">
        <v>43070</v>
      </c>
      <c r="C266" s="62">
        <f>'Weather Analysis - Thunder Bay'!AA19</f>
        <v>843.2869924812029</v>
      </c>
      <c r="D266" s="62">
        <f>'Weather Analysis - Thunder Bay'!AA39</f>
        <v>0</v>
      </c>
      <c r="E266" s="9">
        <f t="shared" ref="E266:G266" si="25">E230</f>
        <v>31</v>
      </c>
      <c r="F266" s="9">
        <f t="shared" si="25"/>
        <v>0</v>
      </c>
      <c r="G266" s="9">
        <f t="shared" si="25"/>
        <v>614312.52764411957</v>
      </c>
      <c r="H266" s="18" t="e">
        <f>#REF!</f>
        <v>#REF!</v>
      </c>
      <c r="I266" s="37">
        <v>146.40583637911641</v>
      </c>
      <c r="J266" s="9">
        <v>320</v>
      </c>
      <c r="K266" s="18">
        <f t="shared" si="14"/>
        <v>34187397.873365864</v>
      </c>
      <c r="L266" s="49">
        <f>SUM(K255:K266)</f>
        <v>339054679.36725885</v>
      </c>
    </row>
  </sheetData>
  <mergeCells count="2">
    <mergeCell ref="H1:J1"/>
    <mergeCell ref="O233:P233"/>
  </mergeCells>
  <phoneticPr fontId="0" type="noConversion"/>
  <pageMargins left="0.38" right="0.75" top="0.73" bottom="0.74" header="0.5" footer="0.5"/>
  <pageSetup paperSize="5"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66"/>
  <sheetViews>
    <sheetView topLeftCell="A229" workbookViewId="0">
      <selection activeCell="N87" sqref="N87:T108"/>
    </sheetView>
  </sheetViews>
  <sheetFormatPr defaultRowHeight="12.75"/>
  <cols>
    <col min="1" max="1" width="11.85546875" customWidth="1"/>
    <col min="2" max="2" width="18" style="5" customWidth="1"/>
    <col min="3" max="3" width="11.7109375" style="228" customWidth="1"/>
    <col min="4" max="4" width="13.42578125" style="228" customWidth="1"/>
    <col min="5" max="5" width="10.140625" style="228" customWidth="1"/>
    <col min="6" max="7" width="12.42578125" style="228" customWidth="1"/>
    <col min="8" max="8" width="12.42578125" style="228" hidden="1" customWidth="1"/>
    <col min="9" max="9" width="14.42578125" style="38" hidden="1" customWidth="1"/>
    <col min="10" max="10" width="12.42578125" style="228" hidden="1" customWidth="1"/>
    <col min="11" max="11" width="15.42578125" style="228" bestFit="1" customWidth="1"/>
    <col min="12" max="12" width="17" style="228" customWidth="1"/>
    <col min="13" max="13" width="12.42578125" style="228" customWidth="1"/>
    <col min="14" max="14" width="25.85546875" bestFit="1" customWidth="1"/>
    <col min="15" max="17" width="18" customWidth="1"/>
    <col min="18" max="18" width="17.140625" customWidth="1"/>
    <col min="19" max="20" width="15.7109375" customWidth="1"/>
    <col min="21" max="21" width="14.140625" bestFit="1" customWidth="1"/>
    <col min="22" max="22" width="25.85546875" bestFit="1" customWidth="1"/>
    <col min="23" max="23" width="19.28515625" bestFit="1" customWidth="1"/>
    <col min="24" max="24" width="19.140625" bestFit="1" customWidth="1"/>
    <col min="25" max="25" width="26.140625" bestFit="1" customWidth="1"/>
    <col min="26" max="26" width="23" bestFit="1" customWidth="1"/>
    <col min="27" max="27" width="14.7109375" bestFit="1" customWidth="1"/>
    <col min="28" max="28" width="20.140625" bestFit="1" customWidth="1"/>
    <col min="29" max="29" width="12.140625" bestFit="1" customWidth="1"/>
    <col min="30" max="30" width="21" bestFit="1" customWidth="1"/>
    <col min="31" max="31" width="13.140625" bestFit="1" customWidth="1"/>
  </cols>
  <sheetData>
    <row r="1" spans="1:13">
      <c r="G1"/>
      <c r="H1" s="605" t="s">
        <v>76</v>
      </c>
      <c r="I1" s="605"/>
      <c r="J1" s="605"/>
    </row>
    <row r="2" spans="1:13" ht="42" customHeight="1">
      <c r="A2" s="35"/>
      <c r="B2" s="91" t="s">
        <v>77</v>
      </c>
      <c r="C2" s="92" t="s">
        <v>1</v>
      </c>
      <c r="D2" s="92" t="s">
        <v>2</v>
      </c>
      <c r="E2" s="92" t="s">
        <v>3</v>
      </c>
      <c r="F2" s="92" t="s">
        <v>14</v>
      </c>
      <c r="G2" s="92" t="s">
        <v>56</v>
      </c>
      <c r="H2" s="92" t="s">
        <v>49</v>
      </c>
      <c r="I2" s="93" t="s">
        <v>4</v>
      </c>
      <c r="J2" s="92" t="s">
        <v>58</v>
      </c>
      <c r="K2" s="92" t="s">
        <v>78</v>
      </c>
      <c r="L2" s="11" t="s">
        <v>7</v>
      </c>
      <c r="M2" s="11" t="s">
        <v>8</v>
      </c>
    </row>
    <row r="3" spans="1:13" hidden="1">
      <c r="A3" s="34">
        <v>36161</v>
      </c>
      <c r="B3" s="94">
        <f>'[11]CoS 2017 Load History'!D41</f>
        <v>22843354.319999941</v>
      </c>
      <c r="C3" s="18">
        <f>'Weather Data'!B99</f>
        <v>994.7</v>
      </c>
      <c r="D3" s="18">
        <f>'Weather Data'!C99</f>
        <v>0</v>
      </c>
      <c r="E3" s="18">
        <v>31</v>
      </c>
      <c r="F3" s="18">
        <v>0</v>
      </c>
      <c r="G3" s="18">
        <v>0</v>
      </c>
      <c r="H3" s="18">
        <f>'[11]CoS 2017 Load History'!F41</f>
        <v>36735</v>
      </c>
      <c r="I3" s="39">
        <v>106.08666118100913</v>
      </c>
      <c r="J3" s="18">
        <v>319.87200000000001</v>
      </c>
      <c r="K3"/>
      <c r="L3" s="11"/>
      <c r="M3" s="11"/>
    </row>
    <row r="4" spans="1:13" hidden="1">
      <c r="A4" s="34">
        <v>36192</v>
      </c>
      <c r="B4" s="94">
        <f>'[11]CoS 2017 Load History'!D42</f>
        <v>30944887.000000566</v>
      </c>
      <c r="C4" s="18">
        <f>'Weather Data'!B100</f>
        <v>718.7</v>
      </c>
      <c r="D4" s="18">
        <f>'Weather Data'!C100</f>
        <v>0</v>
      </c>
      <c r="E4" s="18">
        <v>28</v>
      </c>
      <c r="F4" s="18">
        <v>0</v>
      </c>
      <c r="G4" s="18">
        <v>0</v>
      </c>
      <c r="H4" s="18">
        <f>'[11]CoS 2017 Load History'!F42</f>
        <v>43389</v>
      </c>
      <c r="I4" s="39">
        <v>106.08666118100913</v>
      </c>
      <c r="J4" s="18">
        <v>319.87200000000001</v>
      </c>
      <c r="K4"/>
      <c r="L4" s="9"/>
      <c r="M4" s="14"/>
    </row>
    <row r="5" spans="1:13" hidden="1">
      <c r="A5" s="34">
        <v>36220</v>
      </c>
      <c r="B5" s="94">
        <f>'[11]CoS 2017 Load History'!D43</f>
        <v>31192272.98</v>
      </c>
      <c r="C5" s="18">
        <f>'Weather Data'!B101</f>
        <v>710.1</v>
      </c>
      <c r="D5" s="18">
        <f>'Weather Data'!C101</f>
        <v>0</v>
      </c>
      <c r="E5" s="18">
        <v>31</v>
      </c>
      <c r="F5" s="18">
        <v>1</v>
      </c>
      <c r="G5" s="18">
        <v>0</v>
      </c>
      <c r="H5" s="18">
        <f>'[11]CoS 2017 Load History'!F43</f>
        <v>43566</v>
      </c>
      <c r="I5" s="39">
        <v>106.72898964661303</v>
      </c>
      <c r="J5" s="18">
        <v>368.28</v>
      </c>
      <c r="K5"/>
      <c r="L5" s="9"/>
      <c r="M5" s="14"/>
    </row>
    <row r="6" spans="1:13" hidden="1">
      <c r="A6" s="34">
        <v>36251</v>
      </c>
      <c r="B6" s="94">
        <f>'[11]CoS 2017 Load History'!D44</f>
        <v>27103570.060000088</v>
      </c>
      <c r="C6" s="18">
        <f>'Weather Data'!B102</f>
        <v>407.7</v>
      </c>
      <c r="D6" s="18">
        <f>'Weather Data'!C102</f>
        <v>0</v>
      </c>
      <c r="E6" s="18">
        <v>30</v>
      </c>
      <c r="F6" s="18">
        <v>1</v>
      </c>
      <c r="G6" s="18">
        <v>0</v>
      </c>
      <c r="H6" s="18">
        <f>'[11]CoS 2017 Load History'!F44</f>
        <v>43534</v>
      </c>
      <c r="I6" s="39">
        <v>107.37520725203085</v>
      </c>
      <c r="J6" s="18">
        <v>336.24</v>
      </c>
      <c r="K6"/>
      <c r="L6" s="9"/>
      <c r="M6" s="14"/>
    </row>
    <row r="7" spans="1:13" hidden="1">
      <c r="A7" s="34">
        <v>36281</v>
      </c>
      <c r="B7" s="94">
        <f>'[11]CoS 2017 Load History'!D45</f>
        <v>25155490.760000035</v>
      </c>
      <c r="C7" s="18">
        <f>'Weather Data'!B103</f>
        <v>224.7</v>
      </c>
      <c r="D7" s="18">
        <f>'Weather Data'!C103</f>
        <v>2.6</v>
      </c>
      <c r="E7" s="18">
        <v>31</v>
      </c>
      <c r="F7" s="18">
        <v>1</v>
      </c>
      <c r="G7" s="18">
        <v>0</v>
      </c>
      <c r="H7" s="18">
        <f>'[11]CoS 2017 Load History'!F45</f>
        <v>43500</v>
      </c>
      <c r="I7" s="39">
        <v>108.02533754504118</v>
      </c>
      <c r="J7" s="18">
        <v>319.92</v>
      </c>
      <c r="K7"/>
      <c r="L7" s="9"/>
      <c r="M7" s="14"/>
    </row>
    <row r="8" spans="1:13" hidden="1">
      <c r="A8" s="34">
        <v>36312</v>
      </c>
      <c r="B8" s="94">
        <f>'[11]CoS 2017 Load History'!D46</f>
        <v>23427104.32999998</v>
      </c>
      <c r="C8" s="18">
        <f>'Weather Data'!B104</f>
        <v>91.9</v>
      </c>
      <c r="D8" s="18">
        <f>'Weather Data'!C104</f>
        <v>11.4</v>
      </c>
      <c r="E8" s="18">
        <v>30</v>
      </c>
      <c r="F8" s="18">
        <v>0</v>
      </c>
      <c r="G8" s="18">
        <v>0</v>
      </c>
      <c r="H8" s="18">
        <f>'[11]CoS 2017 Load History'!F46</f>
        <v>43465</v>
      </c>
      <c r="I8" s="39">
        <v>108.6794042159986</v>
      </c>
      <c r="J8" s="18">
        <v>352.08</v>
      </c>
      <c r="K8"/>
      <c r="L8" s="9"/>
      <c r="M8" s="14"/>
    </row>
    <row r="9" spans="1:13" hidden="1">
      <c r="A9" s="34">
        <v>36342</v>
      </c>
      <c r="B9" s="94">
        <f>'[11]CoS 2017 Load History'!D47</f>
        <v>24261259.010000143</v>
      </c>
      <c r="C9" s="18">
        <f>'Weather Data'!B105</f>
        <v>24.2</v>
      </c>
      <c r="D9" s="18">
        <f>'Weather Data'!C105</f>
        <v>59.3</v>
      </c>
      <c r="E9" s="18">
        <v>31</v>
      </c>
      <c r="F9" s="18">
        <v>0</v>
      </c>
      <c r="G9" s="18">
        <v>0</v>
      </c>
      <c r="H9" s="18">
        <f>'[11]CoS 2017 Load History'!F47</f>
        <v>43633</v>
      </c>
      <c r="I9" s="39">
        <v>109.33743109869688</v>
      </c>
      <c r="J9" s="18">
        <v>336.28800000000001</v>
      </c>
      <c r="K9"/>
      <c r="L9" s="9"/>
      <c r="M9" s="14"/>
    </row>
    <row r="10" spans="1:13" hidden="1">
      <c r="A10" s="34">
        <v>36373</v>
      </c>
      <c r="B10" s="94">
        <f>'[11]CoS 2017 Load History'!D48</f>
        <v>24804295.33000008</v>
      </c>
      <c r="C10" s="18">
        <f>'Weather Data'!B106</f>
        <v>74</v>
      </c>
      <c r="D10" s="18">
        <f>'Weather Data'!C106</f>
        <v>12.2</v>
      </c>
      <c r="E10" s="18">
        <v>31</v>
      </c>
      <c r="F10" s="18">
        <v>0</v>
      </c>
      <c r="G10" s="18">
        <v>0</v>
      </c>
      <c r="H10" s="18">
        <f>'[11]CoS 2017 Load History'!F48</f>
        <v>43625</v>
      </c>
      <c r="I10" s="39">
        <v>109.99944217123755</v>
      </c>
      <c r="J10" s="18">
        <v>336.28800000000001</v>
      </c>
      <c r="K10"/>
      <c r="L10" s="9"/>
      <c r="M10" s="14"/>
    </row>
    <row r="11" spans="1:13" hidden="1">
      <c r="A11" s="34">
        <v>36404</v>
      </c>
      <c r="B11" s="94">
        <f>'[11]CoS 2017 Load History'!D49</f>
        <v>24983512.450000003</v>
      </c>
      <c r="C11" s="18">
        <f>'Weather Data'!B107</f>
        <v>194</v>
      </c>
      <c r="D11" s="18">
        <f>'Weather Data'!C107</f>
        <v>5.7</v>
      </c>
      <c r="E11" s="18">
        <v>30</v>
      </c>
      <c r="F11" s="18">
        <v>1</v>
      </c>
      <c r="G11" s="18">
        <v>0</v>
      </c>
      <c r="H11" s="18">
        <f>'[11]CoS 2017 Load History'!F49</f>
        <v>43713</v>
      </c>
      <c r="I11" s="39">
        <v>110.66546155690358</v>
      </c>
      <c r="J11" s="18">
        <v>336.24</v>
      </c>
      <c r="K11"/>
      <c r="L11" s="9"/>
      <c r="M11" s="14"/>
    </row>
    <row r="12" spans="1:13" hidden="1">
      <c r="A12" s="34">
        <v>36434</v>
      </c>
      <c r="B12" s="94">
        <f>'[11]CoS 2017 Load History'!D50</f>
        <v>27927641.870000076</v>
      </c>
      <c r="C12" s="18">
        <f>'Weather Data'!B108</f>
        <v>423.1</v>
      </c>
      <c r="D12" s="18">
        <f>'Weather Data'!C108</f>
        <v>0</v>
      </c>
      <c r="E12" s="18">
        <v>31</v>
      </c>
      <c r="F12" s="18">
        <v>1</v>
      </c>
      <c r="G12" s="18">
        <v>0</v>
      </c>
      <c r="H12" s="18">
        <f>'[11]CoS 2017 Load History'!F50</f>
        <v>43713</v>
      </c>
      <c r="I12" s="39">
        <v>111.33551352503846</v>
      </c>
      <c r="J12" s="18">
        <v>319.92</v>
      </c>
      <c r="K12"/>
      <c r="L12" s="9"/>
      <c r="M12" s="14"/>
    </row>
    <row r="13" spans="1:13" hidden="1">
      <c r="A13" s="34">
        <v>36465</v>
      </c>
      <c r="B13" s="94">
        <f>'[11]CoS 2017 Load History'!D51</f>
        <v>30807187.569999743</v>
      </c>
      <c r="C13" s="18">
        <f>'Weather Data'!B109</f>
        <v>500.7</v>
      </c>
      <c r="D13" s="18">
        <f>'Weather Data'!C109</f>
        <v>0</v>
      </c>
      <c r="E13" s="18">
        <v>30</v>
      </c>
      <c r="F13" s="18">
        <v>1</v>
      </c>
      <c r="G13" s="18">
        <v>0</v>
      </c>
      <c r="H13" s="18">
        <f>'[11]CoS 2017 Load History'!F51</f>
        <v>43708</v>
      </c>
      <c r="I13" s="39">
        <v>112.00962249193054</v>
      </c>
      <c r="J13" s="18">
        <v>352.08</v>
      </c>
      <c r="K13"/>
      <c r="L13" s="9"/>
      <c r="M13" s="14"/>
    </row>
    <row r="14" spans="1:13" hidden="1">
      <c r="A14" s="34">
        <v>36495</v>
      </c>
      <c r="B14" s="94">
        <f>'[11]CoS 2017 Load History'!D52</f>
        <v>36673911.080000579</v>
      </c>
      <c r="C14" s="18">
        <f>'Weather Data'!B110</f>
        <v>817.1</v>
      </c>
      <c r="D14" s="18">
        <f>'Weather Data'!C110</f>
        <v>0</v>
      </c>
      <c r="E14" s="18">
        <v>31</v>
      </c>
      <c r="F14" s="18">
        <v>0</v>
      </c>
      <c r="G14" s="18">
        <v>0</v>
      </c>
      <c r="H14" s="18">
        <f>'[11]CoS 2017 Load History'!F52</f>
        <v>43631</v>
      </c>
      <c r="I14" s="39">
        <v>112.68781302170287</v>
      </c>
      <c r="J14" s="18">
        <v>336.28800000000001</v>
      </c>
      <c r="K14"/>
      <c r="L14" s="9"/>
      <c r="M14" s="14"/>
    </row>
    <row r="15" spans="1:13" hidden="1">
      <c r="A15" s="34">
        <v>36526</v>
      </c>
      <c r="B15" s="94">
        <f>'[11]CoS 2017 Load History'!D53</f>
        <v>38014660.490000144</v>
      </c>
      <c r="C15" s="18">
        <f>'Weather Data'!B111</f>
        <v>963.5</v>
      </c>
      <c r="D15" s="18">
        <f>'Weather Data'!C111</f>
        <v>0</v>
      </c>
      <c r="E15" s="18">
        <v>31</v>
      </c>
      <c r="F15" s="18">
        <v>0</v>
      </c>
      <c r="G15" s="18">
        <v>0</v>
      </c>
      <c r="H15" s="18">
        <f>'[11]CoS 2017 Load History'!F53</f>
        <v>43530</v>
      </c>
      <c r="I15" s="39">
        <v>113.20550742744629</v>
      </c>
      <c r="J15" s="18">
        <v>319.92</v>
      </c>
      <c r="K15"/>
      <c r="L15" s="9"/>
      <c r="M15" s="14"/>
    </row>
    <row r="16" spans="1:13" hidden="1">
      <c r="A16" s="34">
        <v>36557</v>
      </c>
      <c r="B16" s="94">
        <f>'[11]CoS 2017 Load History'!D54</f>
        <v>32921590.989999924</v>
      </c>
      <c r="C16" s="18">
        <f>'Weather Data'!B112</f>
        <v>711.5</v>
      </c>
      <c r="D16" s="18">
        <f>'Weather Data'!C112</f>
        <v>0</v>
      </c>
      <c r="E16" s="18">
        <v>29</v>
      </c>
      <c r="F16" s="18">
        <v>0</v>
      </c>
      <c r="G16" s="18">
        <v>0</v>
      </c>
      <c r="H16" s="18">
        <f>'[11]CoS 2017 Load History'!F54</f>
        <v>43558</v>
      </c>
      <c r="I16" s="39">
        <v>113.72558015157706</v>
      </c>
      <c r="J16" s="18">
        <v>336.16799999999995</v>
      </c>
      <c r="K16"/>
      <c r="L16" s="9"/>
      <c r="M16" s="14"/>
    </row>
    <row r="17" spans="1:13" hidden="1">
      <c r="A17" s="34">
        <v>36586</v>
      </c>
      <c r="B17" s="94">
        <f>'[11]CoS 2017 Load History'!D55</f>
        <v>31183992.070000343</v>
      </c>
      <c r="C17" s="18">
        <f>'Weather Data'!B113</f>
        <v>574.6</v>
      </c>
      <c r="D17" s="18">
        <f>'Weather Data'!C113</f>
        <v>0</v>
      </c>
      <c r="E17" s="18">
        <v>31</v>
      </c>
      <c r="F17" s="18">
        <v>1</v>
      </c>
      <c r="G17" s="18">
        <v>0</v>
      </c>
      <c r="H17" s="18">
        <f>'[11]CoS 2017 Load History'!F55</f>
        <v>43618</v>
      </c>
      <c r="I17" s="39">
        <v>114.24804212022897</v>
      </c>
      <c r="J17" s="18">
        <v>368.28</v>
      </c>
      <c r="K17"/>
      <c r="L17" s="9"/>
      <c r="M17" s="14"/>
    </row>
    <row r="18" spans="1:13" ht="15" hidden="1" customHeight="1">
      <c r="A18" s="34">
        <v>36617</v>
      </c>
      <c r="B18" s="94">
        <f>'[11]CoS 2017 Load History'!D56</f>
        <v>27040375.419999946</v>
      </c>
      <c r="C18" s="18">
        <f>'Weather Data'!B114</f>
        <v>485.6</v>
      </c>
      <c r="D18" s="18">
        <f>'Weather Data'!C114</f>
        <v>0</v>
      </c>
      <c r="E18" s="18">
        <v>30</v>
      </c>
      <c r="F18" s="18">
        <v>1</v>
      </c>
      <c r="G18" s="18">
        <v>0</v>
      </c>
      <c r="H18" s="18">
        <f>'[11]CoS 2017 Load History'!F56</f>
        <v>43673</v>
      </c>
      <c r="I18" s="39">
        <v>114.77290430973115</v>
      </c>
      <c r="J18" s="18">
        <v>303.83999999999997</v>
      </c>
      <c r="K18"/>
      <c r="L18" s="9"/>
      <c r="M18" s="14"/>
    </row>
    <row r="19" spans="1:13" hidden="1">
      <c r="A19" s="34">
        <v>36647</v>
      </c>
      <c r="B19" s="94">
        <f>'[11]CoS 2017 Load History'!D57</f>
        <v>25265965.369999997</v>
      </c>
      <c r="C19" s="18">
        <f>'Weather Data'!B115</f>
        <v>260.5</v>
      </c>
      <c r="D19" s="18">
        <f>'Weather Data'!C115</f>
        <v>0</v>
      </c>
      <c r="E19" s="18">
        <v>31</v>
      </c>
      <c r="F19" s="18">
        <v>1</v>
      </c>
      <c r="G19" s="18">
        <v>0</v>
      </c>
      <c r="H19" s="18">
        <f>'[11]CoS 2017 Load History'!F57</f>
        <v>43755</v>
      </c>
      <c r="I19" s="39">
        <v>115.30017774683859</v>
      </c>
      <c r="J19" s="18">
        <v>351.91199999999998</v>
      </c>
      <c r="K19"/>
      <c r="L19" s="9"/>
      <c r="M19" s="14"/>
    </row>
    <row r="20" spans="1:13" hidden="1">
      <c r="A20" s="34">
        <v>36678</v>
      </c>
      <c r="B20" s="94">
        <f>'[11]CoS 2017 Load History'!D58</f>
        <v>23296606.519999966</v>
      </c>
      <c r="C20" s="18">
        <f>'Weather Data'!B116</f>
        <v>155.69999999999999</v>
      </c>
      <c r="D20" s="18">
        <f>'Weather Data'!C116</f>
        <v>2.2999999999999998</v>
      </c>
      <c r="E20" s="18">
        <v>30</v>
      </c>
      <c r="F20" s="18">
        <v>0</v>
      </c>
      <c r="G20" s="18">
        <v>0</v>
      </c>
      <c r="H20" s="18">
        <f>'[11]CoS 2017 Load History'!F58</f>
        <v>43676</v>
      </c>
      <c r="I20" s="39">
        <v>115.82987350896386</v>
      </c>
      <c r="J20" s="18">
        <v>352.08</v>
      </c>
      <c r="K20"/>
      <c r="L20" s="9"/>
      <c r="M20" s="14"/>
    </row>
    <row r="21" spans="1:13" hidden="1">
      <c r="A21" s="34">
        <v>36708</v>
      </c>
      <c r="B21" s="94">
        <f>'[11]CoS 2017 Load History'!D59</f>
        <v>23900944.639999881</v>
      </c>
      <c r="C21" s="18">
        <f>'Weather Data'!B117</f>
        <v>55.7</v>
      </c>
      <c r="D21" s="18">
        <f>'Weather Data'!C117</f>
        <v>20.8</v>
      </c>
      <c r="E21" s="18">
        <v>31</v>
      </c>
      <c r="F21" s="18">
        <v>0</v>
      </c>
      <c r="G21" s="18">
        <v>0</v>
      </c>
      <c r="H21" s="18">
        <f>'[11]CoS 2017 Load History'!F59</f>
        <v>43539</v>
      </c>
      <c r="I21" s="39">
        <v>116.36200272440982</v>
      </c>
      <c r="J21" s="18">
        <v>319.92</v>
      </c>
      <c r="K21"/>
      <c r="L21" s="9"/>
      <c r="M21" s="14"/>
    </row>
    <row r="22" spans="1:13" hidden="1">
      <c r="A22" s="34">
        <v>36739</v>
      </c>
      <c r="B22" s="94">
        <f>'[11]CoS 2017 Load History'!D60</f>
        <v>24355354.600000039</v>
      </c>
      <c r="C22" s="18">
        <f>'Weather Data'!B118</f>
        <v>63.4</v>
      </c>
      <c r="D22" s="18">
        <f>'Weather Data'!C118</f>
        <v>9.8000000000000007</v>
      </c>
      <c r="E22" s="18">
        <v>31</v>
      </c>
      <c r="F22" s="18">
        <v>0</v>
      </c>
      <c r="G22" s="18">
        <v>0</v>
      </c>
      <c r="H22" s="18">
        <f>'[11]CoS 2017 Load History'!F60</f>
        <v>43738</v>
      </c>
      <c r="I22" s="39">
        <v>116.89657657260338</v>
      </c>
      <c r="J22" s="18">
        <v>351.91199999999998</v>
      </c>
      <c r="K22"/>
      <c r="L22" s="9"/>
      <c r="M22" s="14"/>
    </row>
    <row r="23" spans="1:13" hidden="1">
      <c r="A23" s="34">
        <v>36770</v>
      </c>
      <c r="B23" s="94">
        <f>'[11]CoS 2017 Load History'!D61</f>
        <v>24440428.159999877</v>
      </c>
      <c r="C23" s="18">
        <f>'Weather Data'!B119</f>
        <v>223.3</v>
      </c>
      <c r="D23" s="18">
        <f>'Weather Data'!C119</f>
        <v>0</v>
      </c>
      <c r="E23" s="18">
        <v>30</v>
      </c>
      <c r="F23" s="18">
        <v>1</v>
      </c>
      <c r="G23" s="18">
        <v>0</v>
      </c>
      <c r="H23" s="18">
        <f>'[11]CoS 2017 Load History'!F61</f>
        <v>44000</v>
      </c>
      <c r="I23" s="39">
        <v>117.43360628433041</v>
      </c>
      <c r="J23" s="18">
        <v>319.68</v>
      </c>
      <c r="K23"/>
      <c r="L23" s="9"/>
      <c r="M23" s="14"/>
    </row>
    <row r="24" spans="1:13" hidden="1">
      <c r="A24" s="34">
        <v>36800</v>
      </c>
      <c r="B24" s="94">
        <f>'[11]CoS 2017 Load History'!D62</f>
        <v>27797989.669999942</v>
      </c>
      <c r="C24" s="18">
        <f>'Weather Data'!B120</f>
        <v>372.2</v>
      </c>
      <c r="D24" s="18">
        <f>'Weather Data'!C120</f>
        <v>0</v>
      </c>
      <c r="E24" s="18">
        <v>31</v>
      </c>
      <c r="F24" s="18">
        <v>1</v>
      </c>
      <c r="G24" s="18">
        <v>0</v>
      </c>
      <c r="H24" s="18">
        <f>'[11]CoS 2017 Load History'!F62</f>
        <v>43746</v>
      </c>
      <c r="I24" s="39">
        <v>117.97310314197166</v>
      </c>
      <c r="J24" s="18">
        <v>336.28800000000001</v>
      </c>
      <c r="K24"/>
      <c r="L24" s="9"/>
      <c r="M24" s="14"/>
    </row>
    <row r="25" spans="1:13" hidden="1">
      <c r="A25" s="34">
        <v>36831</v>
      </c>
      <c r="B25" s="94">
        <f>'[11]CoS 2017 Load History'!D63</f>
        <v>31881933.449999981</v>
      </c>
      <c r="C25" s="18">
        <f>'Weather Data'!B121</f>
        <v>561.6</v>
      </c>
      <c r="D25" s="18">
        <f>'Weather Data'!C121</f>
        <v>0</v>
      </c>
      <c r="E25" s="18">
        <v>30</v>
      </c>
      <c r="F25" s="18">
        <v>1</v>
      </c>
      <c r="G25" s="18">
        <v>0</v>
      </c>
      <c r="H25" s="18">
        <f>'[11]CoS 2017 Load History'!F63</f>
        <v>43748</v>
      </c>
      <c r="I25" s="39">
        <v>118.51507847973981</v>
      </c>
      <c r="J25" s="18">
        <v>352.08</v>
      </c>
      <c r="K25"/>
      <c r="L25" s="9"/>
      <c r="M25" s="14"/>
    </row>
    <row r="26" spans="1:13" hidden="1">
      <c r="A26" s="34">
        <v>36861</v>
      </c>
      <c r="B26" s="94">
        <f>'[11]CoS 2017 Load History'!D64</f>
        <v>37787462.930000082</v>
      </c>
      <c r="C26" s="18">
        <f>'Weather Data'!B122</f>
        <v>1041.3</v>
      </c>
      <c r="D26" s="18">
        <f>'Weather Data'!C122</f>
        <v>0</v>
      </c>
      <c r="E26" s="18">
        <v>31</v>
      </c>
      <c r="F26" s="18">
        <v>0</v>
      </c>
      <c r="G26" s="18">
        <v>0</v>
      </c>
      <c r="H26" s="18">
        <f>'[11]CoS 2017 Load History'!F64</f>
        <v>43752</v>
      </c>
      <c r="I26" s="39">
        <v>119.05954368391765</v>
      </c>
      <c r="J26" s="18">
        <v>304.29599999999999</v>
      </c>
      <c r="K26"/>
      <c r="L26" s="9"/>
      <c r="M26" s="14"/>
    </row>
    <row r="27" spans="1:13" hidden="1">
      <c r="A27" s="34">
        <v>36892</v>
      </c>
      <c r="B27" s="94">
        <f>'[11]CoS 2017 Load History'!D65</f>
        <v>38555412.55000025</v>
      </c>
      <c r="C27" s="18">
        <f>'Weather Data'!B123</f>
        <v>898.8</v>
      </c>
      <c r="D27" s="18">
        <f>'Weather Data'!C123</f>
        <v>0</v>
      </c>
      <c r="E27" s="18">
        <v>31</v>
      </c>
      <c r="F27" s="18">
        <v>0</v>
      </c>
      <c r="G27" s="18">
        <v>0</v>
      </c>
      <c r="H27" s="18">
        <f>'[11]CoS 2017 Load History'!F65</f>
        <v>43644</v>
      </c>
      <c r="I27" s="39">
        <v>119.23206305749976</v>
      </c>
      <c r="J27" s="18">
        <v>351.91199999999998</v>
      </c>
      <c r="K27"/>
      <c r="L27" s="9"/>
      <c r="M27" s="14"/>
    </row>
    <row r="28" spans="1:13" hidden="1">
      <c r="A28" s="34">
        <v>36925</v>
      </c>
      <c r="B28" s="94">
        <f>'[11]CoS 2017 Load History'!D66</f>
        <v>32616109.059999909</v>
      </c>
      <c r="C28" s="18">
        <f>'Weather Data'!B124</f>
        <v>918.9</v>
      </c>
      <c r="D28" s="18">
        <f>'Weather Data'!C124</f>
        <v>0</v>
      </c>
      <c r="E28" s="18">
        <v>28</v>
      </c>
      <c r="F28" s="18">
        <v>0</v>
      </c>
      <c r="G28" s="18">
        <v>0</v>
      </c>
      <c r="H28" s="18">
        <f>'[11]CoS 2017 Load History'!F66</f>
        <v>43682</v>
      </c>
      <c r="I28" s="39">
        <v>119.40483241468957</v>
      </c>
      <c r="J28" s="18">
        <v>319.87200000000001</v>
      </c>
      <c r="K28"/>
      <c r="L28" s="9"/>
      <c r="M28" s="14"/>
    </row>
    <row r="29" spans="1:13" hidden="1">
      <c r="A29" s="34">
        <v>36958</v>
      </c>
      <c r="B29" s="94">
        <f>'[11]CoS 2017 Load History'!D67</f>
        <v>32556214.300000075</v>
      </c>
      <c r="C29" s="18">
        <f>'Weather Data'!B125</f>
        <v>702.7</v>
      </c>
      <c r="D29" s="18">
        <f>'Weather Data'!C125</f>
        <v>0</v>
      </c>
      <c r="E29" s="18">
        <v>31</v>
      </c>
      <c r="F29" s="18">
        <v>1</v>
      </c>
      <c r="G29" s="18">
        <v>0</v>
      </c>
      <c r="H29" s="18">
        <f>'[11]CoS 2017 Load History'!F67</f>
        <v>43727</v>
      </c>
      <c r="I29" s="39">
        <v>119.57785211771773</v>
      </c>
      <c r="J29" s="18">
        <v>351.91199999999998</v>
      </c>
      <c r="K29"/>
      <c r="L29" s="9"/>
      <c r="M29" s="14"/>
    </row>
    <row r="30" spans="1:13" hidden="1">
      <c r="A30" s="34">
        <v>36991</v>
      </c>
      <c r="B30" s="94">
        <f>'[11]CoS 2017 Load History'!D68</f>
        <v>28157361.650000103</v>
      </c>
      <c r="C30" s="18">
        <f>'Weather Data'!B126</f>
        <v>430.7</v>
      </c>
      <c r="D30" s="18">
        <f>'Weather Data'!C126</f>
        <v>0</v>
      </c>
      <c r="E30" s="18">
        <v>30</v>
      </c>
      <c r="F30" s="18">
        <v>1</v>
      </c>
      <c r="G30" s="18">
        <v>0</v>
      </c>
      <c r="H30" s="18">
        <f>'[11]CoS 2017 Load History'!F68</f>
        <v>43680</v>
      </c>
      <c r="I30" s="39">
        <v>119.75112252933975</v>
      </c>
      <c r="J30" s="18">
        <v>319.68</v>
      </c>
      <c r="K30"/>
      <c r="L30" s="9"/>
      <c r="M30" s="14"/>
    </row>
    <row r="31" spans="1:13" hidden="1">
      <c r="A31" s="34">
        <v>37024</v>
      </c>
      <c r="B31" s="94">
        <f>'[11]CoS 2017 Load History'!D69</f>
        <v>25958482.530000001</v>
      </c>
      <c r="C31" s="18">
        <f>'Weather Data'!B127</f>
        <v>239.9</v>
      </c>
      <c r="D31" s="18">
        <f>'Weather Data'!C127</f>
        <v>0</v>
      </c>
      <c r="E31" s="18">
        <v>31</v>
      </c>
      <c r="F31" s="18">
        <v>1</v>
      </c>
      <c r="G31" s="18">
        <v>0</v>
      </c>
      <c r="H31" s="18">
        <f>'[11]CoS 2017 Load History'!F69</f>
        <v>43789</v>
      </c>
      <c r="I31" s="39">
        <v>119.92464401283681</v>
      </c>
      <c r="J31" s="18">
        <v>351.91199999999998</v>
      </c>
      <c r="K31"/>
      <c r="L31" s="9"/>
      <c r="M31" s="14"/>
    </row>
    <row r="32" spans="1:13" hidden="1">
      <c r="A32" s="34">
        <v>37057</v>
      </c>
      <c r="B32" s="94">
        <f>'[11]CoS 2017 Load History'!D70</f>
        <v>23827610.500000045</v>
      </c>
      <c r="C32" s="18">
        <f>'Weather Data'!B128</f>
        <v>114</v>
      </c>
      <c r="D32" s="18">
        <f>'Weather Data'!C128</f>
        <v>15.2</v>
      </c>
      <c r="E32" s="18">
        <v>30</v>
      </c>
      <c r="F32" s="18">
        <v>0</v>
      </c>
      <c r="G32" s="18">
        <v>0</v>
      </c>
      <c r="H32" s="18">
        <f>'[11]CoS 2017 Load History'!F70</f>
        <v>43875</v>
      </c>
      <c r="I32" s="39">
        <v>120.09841693201646</v>
      </c>
      <c r="J32" s="18">
        <v>336.24</v>
      </c>
      <c r="K32"/>
      <c r="L32" s="9"/>
      <c r="M32" s="14"/>
    </row>
    <row r="33" spans="1:13" hidden="1">
      <c r="A33" s="34">
        <v>37090</v>
      </c>
      <c r="B33" s="94">
        <f>'[11]CoS 2017 Load History'!D71</f>
        <v>24764452.77000007</v>
      </c>
      <c r="C33" s="18">
        <f>'Weather Data'!B129</f>
        <v>67.2</v>
      </c>
      <c r="D33" s="18">
        <f>'Weather Data'!C129</f>
        <v>29.7</v>
      </c>
      <c r="E33" s="18">
        <v>31</v>
      </c>
      <c r="F33" s="18">
        <v>0</v>
      </c>
      <c r="G33" s="18">
        <v>0</v>
      </c>
      <c r="H33" s="18">
        <f>'[11]CoS 2017 Load History'!F71</f>
        <v>43688</v>
      </c>
      <c r="I33" s="39">
        <v>120.27244165121344</v>
      </c>
      <c r="J33" s="18">
        <v>336.28800000000001</v>
      </c>
      <c r="K33"/>
      <c r="L33" s="9"/>
      <c r="M33" s="14"/>
    </row>
    <row r="34" spans="1:13" hidden="1">
      <c r="A34" s="34">
        <v>37123</v>
      </c>
      <c r="B34" s="94">
        <f>'[11]CoS 2017 Load History'!D72</f>
        <v>25255805.320000075</v>
      </c>
      <c r="C34" s="18">
        <f>'Weather Data'!B130</f>
        <v>40.200000000000003</v>
      </c>
      <c r="D34" s="18">
        <f>'Weather Data'!C130</f>
        <v>56.1</v>
      </c>
      <c r="E34" s="18">
        <v>31</v>
      </c>
      <c r="F34" s="18">
        <v>0</v>
      </c>
      <c r="G34" s="18">
        <v>0</v>
      </c>
      <c r="H34" s="18">
        <f>'[11]CoS 2017 Load History'!F72</f>
        <v>43795</v>
      </c>
      <c r="I34" s="39">
        <v>120.4467185352904</v>
      </c>
      <c r="J34" s="18">
        <v>351.91199999999998</v>
      </c>
      <c r="K34"/>
      <c r="L34" s="9"/>
      <c r="M34" s="14"/>
    </row>
    <row r="35" spans="1:13" hidden="1">
      <c r="A35" s="34">
        <v>37156</v>
      </c>
      <c r="B35" s="94">
        <f>'[11]CoS 2017 Load History'!D73</f>
        <v>24913988.220000021</v>
      </c>
      <c r="C35" s="18">
        <f>'Weather Data'!B131</f>
        <v>187.7</v>
      </c>
      <c r="D35" s="18">
        <f>'Weather Data'!C131</f>
        <v>6.8</v>
      </c>
      <c r="E35" s="18">
        <v>30</v>
      </c>
      <c r="F35" s="18">
        <v>1</v>
      </c>
      <c r="G35" s="18">
        <v>0</v>
      </c>
      <c r="H35" s="18">
        <f>'[11]CoS 2017 Load History'!F73</f>
        <v>43882</v>
      </c>
      <c r="I35" s="39">
        <v>120.62124794963869</v>
      </c>
      <c r="J35" s="18">
        <v>303.83999999999997</v>
      </c>
      <c r="K35"/>
      <c r="L35" s="9"/>
      <c r="M35" s="14"/>
    </row>
    <row r="36" spans="1:13" hidden="1">
      <c r="A36" s="34">
        <v>37189</v>
      </c>
      <c r="B36" s="94">
        <f>'[11]CoS 2017 Load History'!D74</f>
        <v>27835723.390000269</v>
      </c>
      <c r="C36" s="18">
        <f>'Weather Data'!B132</f>
        <v>408.6</v>
      </c>
      <c r="D36" s="18">
        <f>'Weather Data'!C132</f>
        <v>0</v>
      </c>
      <c r="E36" s="18">
        <v>31</v>
      </c>
      <c r="F36" s="18">
        <v>1</v>
      </c>
      <c r="G36" s="18">
        <v>0</v>
      </c>
      <c r="H36" s="18">
        <f>'[11]CoS 2017 Load History'!F74</f>
        <v>43898</v>
      </c>
      <c r="I36" s="39">
        <v>120.79603026017911</v>
      </c>
      <c r="J36" s="18">
        <v>351.91199999999998</v>
      </c>
      <c r="K36"/>
      <c r="L36" s="9"/>
      <c r="M36" s="14"/>
    </row>
    <row r="37" spans="1:13" hidden="1">
      <c r="A37" s="34">
        <v>37222</v>
      </c>
      <c r="B37" s="94">
        <f>'[11]CoS 2017 Load History'!D75</f>
        <v>30318950.679999791</v>
      </c>
      <c r="C37" s="18">
        <f>'Weather Data'!B133</f>
        <v>458.8</v>
      </c>
      <c r="D37" s="18">
        <f>'Weather Data'!C133</f>
        <v>0</v>
      </c>
      <c r="E37" s="18">
        <v>30</v>
      </c>
      <c r="F37" s="18">
        <v>1</v>
      </c>
      <c r="G37" s="18">
        <v>0</v>
      </c>
      <c r="H37" s="18">
        <f>'[11]CoS 2017 Load History'!F75</f>
        <v>43908</v>
      </c>
      <c r="I37" s="39">
        <v>120.9710658333627</v>
      </c>
      <c r="J37" s="18">
        <v>352.08</v>
      </c>
      <c r="K37"/>
      <c r="L37" s="9"/>
      <c r="M37" s="14"/>
    </row>
    <row r="38" spans="1:13" hidden="1">
      <c r="A38" s="34">
        <v>37255</v>
      </c>
      <c r="B38" s="94">
        <f>'[11]CoS 2017 Load History'!D76</f>
        <v>35374340.480000086</v>
      </c>
      <c r="C38" s="18">
        <f>'Weather Data'!B134</f>
        <v>716.4</v>
      </c>
      <c r="D38" s="18">
        <f>'Weather Data'!C134</f>
        <v>0</v>
      </c>
      <c r="E38" s="18">
        <v>31</v>
      </c>
      <c r="F38" s="18">
        <v>0</v>
      </c>
      <c r="G38" s="18">
        <v>0</v>
      </c>
      <c r="H38" s="18">
        <f>'[11]CoS 2017 Load History'!F76</f>
        <v>43793</v>
      </c>
      <c r="I38" s="39">
        <v>121.1463550361714</v>
      </c>
      <c r="J38" s="18">
        <v>304.29599999999999</v>
      </c>
      <c r="K38"/>
      <c r="L38" s="9"/>
      <c r="M38" s="14"/>
    </row>
    <row r="39" spans="1:13" hidden="1">
      <c r="A39" s="95">
        <v>37275</v>
      </c>
      <c r="B39" s="94">
        <f>'[11]CoS 2017 Load History'!D77</f>
        <v>36712335.590000197</v>
      </c>
      <c r="C39" s="18">
        <f>'Weather Data'!B135</f>
        <v>873.9</v>
      </c>
      <c r="D39" s="18">
        <f>'Weather Data'!C135</f>
        <v>0</v>
      </c>
      <c r="E39" s="18">
        <v>31</v>
      </c>
      <c r="F39" s="18">
        <v>0</v>
      </c>
      <c r="G39" s="18">
        <v>0</v>
      </c>
      <c r="H39" s="18">
        <f>'[11]CoS 2017 Load History'!F77</f>
        <v>43791</v>
      </c>
      <c r="I39" s="39">
        <v>121.50450639216388</v>
      </c>
      <c r="J39" s="18">
        <v>351.91199999999998</v>
      </c>
      <c r="K39"/>
      <c r="L39" s="9"/>
      <c r="M39" s="14"/>
    </row>
    <row r="40" spans="1:13" hidden="1">
      <c r="A40" s="34">
        <v>37308</v>
      </c>
      <c r="B40" s="94">
        <f>'[11]CoS 2017 Load History'!D78</f>
        <v>32266195.500000108</v>
      </c>
      <c r="C40" s="18">
        <f>'Weather Data'!B136</f>
        <v>733</v>
      </c>
      <c r="D40" s="18">
        <f>'Weather Data'!C136</f>
        <v>0</v>
      </c>
      <c r="E40" s="18">
        <v>28</v>
      </c>
      <c r="F40" s="18">
        <v>0</v>
      </c>
      <c r="G40" s="18">
        <v>0</v>
      </c>
      <c r="H40" s="18">
        <f>'[11]CoS 2017 Load History'!F78</f>
        <v>43785</v>
      </c>
      <c r="I40" s="39">
        <v>121.86371656989111</v>
      </c>
      <c r="J40" s="18">
        <v>319.87200000000001</v>
      </c>
      <c r="K40"/>
      <c r="L40" s="9"/>
      <c r="M40" s="14"/>
    </row>
    <row r="41" spans="1:13" hidden="1">
      <c r="A41" s="34">
        <v>37341</v>
      </c>
      <c r="B41" s="94">
        <f>'[11]CoS 2017 Load History'!D79</f>
        <v>33150979.240000058</v>
      </c>
      <c r="C41" s="18">
        <f>'Weather Data'!B137</f>
        <v>804.7</v>
      </c>
      <c r="D41" s="18">
        <f>'Weather Data'!C137</f>
        <v>0</v>
      </c>
      <c r="E41" s="18">
        <v>31</v>
      </c>
      <c r="F41" s="18">
        <v>1</v>
      </c>
      <c r="G41" s="18">
        <v>0</v>
      </c>
      <c r="H41" s="18">
        <f>'[11]CoS 2017 Load History'!F79</f>
        <v>43856</v>
      </c>
      <c r="I41" s="39">
        <v>122.22398869960362</v>
      </c>
      <c r="J41" s="18">
        <v>319.92</v>
      </c>
      <c r="K41"/>
      <c r="L41" s="9"/>
      <c r="M41" s="14"/>
    </row>
    <row r="42" spans="1:13" hidden="1">
      <c r="A42" s="34">
        <v>37374</v>
      </c>
      <c r="B42" s="94">
        <f>'[11]CoS 2017 Load History'!D80</f>
        <v>28627065.020000082</v>
      </c>
      <c r="C42" s="18">
        <f>'Weather Data'!B138</f>
        <v>462.3</v>
      </c>
      <c r="D42" s="18">
        <f>'Weather Data'!C138</f>
        <v>0</v>
      </c>
      <c r="E42" s="18">
        <v>30</v>
      </c>
      <c r="F42" s="18">
        <v>1</v>
      </c>
      <c r="G42" s="18">
        <v>0</v>
      </c>
      <c r="H42" s="18">
        <f>'[11]CoS 2017 Load History'!F80</f>
        <v>43869</v>
      </c>
      <c r="I42" s="39">
        <v>122.58532592080604</v>
      </c>
      <c r="J42" s="18">
        <v>352.08</v>
      </c>
      <c r="K42"/>
      <c r="L42" s="9"/>
      <c r="M42" s="14"/>
    </row>
    <row r="43" spans="1:13" hidden="1">
      <c r="A43" s="34">
        <v>37407</v>
      </c>
      <c r="B43" s="94">
        <f>'[11]CoS 2017 Load History'!D81</f>
        <v>26571396.520000149</v>
      </c>
      <c r="C43" s="18">
        <f>'Weather Data'!B139</f>
        <v>335</v>
      </c>
      <c r="D43" s="18">
        <f>'Weather Data'!C139</f>
        <v>0.5</v>
      </c>
      <c r="E43" s="18">
        <v>31</v>
      </c>
      <c r="F43" s="18">
        <v>1</v>
      </c>
      <c r="G43" s="18">
        <v>0</v>
      </c>
      <c r="H43" s="18">
        <f>'[11]CoS 2017 Load History'!F81</f>
        <v>43842</v>
      </c>
      <c r="I43" s="39">
        <v>122.9477313822845</v>
      </c>
      <c r="J43" s="18">
        <v>351.91199999999998</v>
      </c>
      <c r="K43"/>
      <c r="L43" s="9"/>
      <c r="M43" s="14"/>
    </row>
    <row r="44" spans="1:13" hidden="1">
      <c r="A44" s="34">
        <v>37408</v>
      </c>
      <c r="B44" s="94">
        <f>'[11]CoS 2017 Load History'!D82</f>
        <v>24748365.239999816</v>
      </c>
      <c r="C44" s="18">
        <f>'Weather Data'!B140</f>
        <v>114.4</v>
      </c>
      <c r="D44" s="18">
        <f>'Weather Data'!C140</f>
        <v>14.2</v>
      </c>
      <c r="E44" s="18">
        <v>30</v>
      </c>
      <c r="F44" s="18">
        <v>0</v>
      </c>
      <c r="G44" s="18">
        <v>0</v>
      </c>
      <c r="H44" s="18">
        <f>'[11]CoS 2017 Load History'!F82</f>
        <v>43856</v>
      </c>
      <c r="I44" s="39">
        <v>123.31120824213403</v>
      </c>
      <c r="J44" s="18">
        <v>319.68</v>
      </c>
      <c r="K44"/>
      <c r="L44" s="9"/>
      <c r="M44" s="14"/>
    </row>
    <row r="45" spans="1:13" hidden="1">
      <c r="A45" s="34">
        <v>37440</v>
      </c>
      <c r="B45" s="94">
        <f>'[11]CoS 2017 Load History'!D83</f>
        <v>25888517.460000087</v>
      </c>
      <c r="C45" s="18">
        <f>'Weather Data'!B141</f>
        <v>17.899999999999999</v>
      </c>
      <c r="D45" s="18">
        <f>'Weather Data'!C141</f>
        <v>79.3</v>
      </c>
      <c r="E45" s="18">
        <v>31</v>
      </c>
      <c r="F45" s="18">
        <v>0</v>
      </c>
      <c r="G45" s="18">
        <v>0</v>
      </c>
      <c r="H45" s="18">
        <f>'[11]CoS 2017 Load History'!F83</f>
        <v>43816</v>
      </c>
      <c r="I45" s="39">
        <v>123.67575966778612</v>
      </c>
      <c r="J45" s="18">
        <v>351.91199999999998</v>
      </c>
      <c r="K45"/>
      <c r="L45" s="9"/>
      <c r="M45" s="14"/>
    </row>
    <row r="46" spans="1:13" hidden="1">
      <c r="A46" s="34">
        <v>37473</v>
      </c>
      <c r="B46" s="94">
        <f>'[11]CoS 2017 Load History'!D84</f>
        <v>26199143.039999906</v>
      </c>
      <c r="C46" s="18">
        <f>'Weather Data'!B142</f>
        <v>49.7</v>
      </c>
      <c r="D46" s="18">
        <f>'Weather Data'!C142</f>
        <v>15.5</v>
      </c>
      <c r="E46" s="18">
        <v>31</v>
      </c>
      <c r="F46" s="18">
        <v>0</v>
      </c>
      <c r="G46" s="18">
        <v>0</v>
      </c>
      <c r="H46" s="18">
        <f>'[11]CoS 2017 Load History'!F84</f>
        <v>44159</v>
      </c>
      <c r="I46" s="39">
        <v>124.04138883603632</v>
      </c>
      <c r="J46" s="18">
        <v>336.28800000000001</v>
      </c>
      <c r="K46"/>
      <c r="L46" s="9"/>
      <c r="M46" s="14"/>
    </row>
    <row r="47" spans="1:13" hidden="1">
      <c r="A47" s="34">
        <v>37506</v>
      </c>
      <c r="B47" s="94">
        <f>'[11]CoS 2017 Load History'!D85</f>
        <v>25956181.139999911</v>
      </c>
      <c r="C47" s="18">
        <f>'Weather Data'!B143</f>
        <v>143.5</v>
      </c>
      <c r="D47" s="18">
        <f>'Weather Data'!C143</f>
        <v>20.9</v>
      </c>
      <c r="E47" s="18">
        <v>30</v>
      </c>
      <c r="F47" s="18">
        <v>1</v>
      </c>
      <c r="G47" s="18">
        <v>0</v>
      </c>
      <c r="H47" s="18">
        <f>'[11]CoS 2017 Load History'!F85</f>
        <v>44035</v>
      </c>
      <c r="I47" s="39">
        <v>124.40809893307186</v>
      </c>
      <c r="J47" s="18">
        <v>319.68</v>
      </c>
      <c r="K47"/>
      <c r="L47" s="9"/>
      <c r="M47" s="14"/>
    </row>
    <row r="48" spans="1:13" hidden="1">
      <c r="A48" s="34">
        <v>37539</v>
      </c>
      <c r="B48" s="94">
        <f>'[11]CoS 2017 Load History'!D86</f>
        <v>29475965.61000016</v>
      </c>
      <c r="C48" s="18">
        <f>'Weather Data'!B144</f>
        <v>510.1</v>
      </c>
      <c r="D48" s="18">
        <f>'Weather Data'!C144</f>
        <v>0</v>
      </c>
      <c r="E48" s="18">
        <v>31</v>
      </c>
      <c r="F48" s="18">
        <v>1</v>
      </c>
      <c r="G48" s="18">
        <v>0</v>
      </c>
      <c r="H48" s="18">
        <f>'[11]CoS 2017 Load History'!F86</f>
        <v>43993</v>
      </c>
      <c r="I48" s="39">
        <v>124.7758931544995</v>
      </c>
      <c r="J48" s="18">
        <v>351.91199999999998</v>
      </c>
      <c r="K48"/>
      <c r="L48" s="9"/>
      <c r="M48" s="14"/>
    </row>
    <row r="49" spans="1:13" hidden="1">
      <c r="A49" s="34">
        <v>37572</v>
      </c>
      <c r="B49" s="94">
        <f>'[11]CoS 2017 Load History'!D87</f>
        <v>31967182.769999605</v>
      </c>
      <c r="C49" s="18">
        <f>'Weather Data'!B145</f>
        <v>668</v>
      </c>
      <c r="D49" s="18">
        <f>'Weather Data'!C145</f>
        <v>0</v>
      </c>
      <c r="E49" s="18">
        <v>30</v>
      </c>
      <c r="F49" s="18">
        <v>1</v>
      </c>
      <c r="G49" s="18">
        <v>0</v>
      </c>
      <c r="H49" s="18">
        <f>'[11]CoS 2017 Load History'!F87</f>
        <v>44123</v>
      </c>
      <c r="I49" s="39">
        <v>125.14477470537335</v>
      </c>
      <c r="J49" s="18">
        <v>336.24</v>
      </c>
      <c r="K49"/>
      <c r="L49" s="9"/>
      <c r="M49" s="14"/>
    </row>
    <row r="50" spans="1:13" hidden="1">
      <c r="A50" s="34">
        <v>37605</v>
      </c>
      <c r="B50" s="94">
        <f>'[11]CoS 2017 Load History'!D88</f>
        <v>36868027.479999997</v>
      </c>
      <c r="C50" s="18">
        <f>'Weather Data'!B146</f>
        <v>785.6</v>
      </c>
      <c r="D50" s="18">
        <f>'Weather Data'!C146</f>
        <v>0</v>
      </c>
      <c r="E50" s="18">
        <v>31</v>
      </c>
      <c r="F50" s="18">
        <v>0</v>
      </c>
      <c r="G50" s="18">
        <v>0</v>
      </c>
      <c r="H50" s="18">
        <f>'[11]CoS 2017 Load History'!F88</f>
        <v>43950</v>
      </c>
      <c r="I50" s="39">
        <v>125.51474680022261</v>
      </c>
      <c r="J50" s="18">
        <v>319.92</v>
      </c>
      <c r="K50"/>
      <c r="L50" s="9"/>
      <c r="M50" s="33"/>
    </row>
    <row r="51" spans="1:13" hidden="1">
      <c r="A51" s="34">
        <v>37622</v>
      </c>
      <c r="B51" s="94">
        <f>'[11]CoS 2017 Load History'!D89</f>
        <v>38700757.240000278</v>
      </c>
      <c r="C51" s="18">
        <f>'Weather Data'!B147</f>
        <v>907.4</v>
      </c>
      <c r="D51" s="18">
        <f>'Weather Data'!C147</f>
        <v>0</v>
      </c>
      <c r="E51" s="18">
        <v>31</v>
      </c>
      <c r="F51" s="18">
        <v>0</v>
      </c>
      <c r="G51" s="18">
        <v>0</v>
      </c>
      <c r="H51" s="18">
        <f>'[11]CoS 2017 Load History'!F89</f>
        <v>43905</v>
      </c>
      <c r="I51" s="39">
        <v>125.66024937363977</v>
      </c>
      <c r="J51" s="18">
        <v>351.91199999999998</v>
      </c>
      <c r="K51"/>
      <c r="L51" s="9"/>
      <c r="M51" s="14"/>
    </row>
    <row r="52" spans="1:13" hidden="1">
      <c r="A52" s="34">
        <v>37653</v>
      </c>
      <c r="B52" s="94">
        <f>'[11]CoS 2017 Load History'!D90</f>
        <v>34507023.20000001</v>
      </c>
      <c r="C52" s="18">
        <f>'Weather Data'!B148</f>
        <v>969.6</v>
      </c>
      <c r="D52" s="18">
        <f>'Weather Data'!C148</f>
        <v>0</v>
      </c>
      <c r="E52" s="18">
        <v>28</v>
      </c>
      <c r="F52" s="18">
        <v>0</v>
      </c>
      <c r="G52" s="18">
        <v>0</v>
      </c>
      <c r="H52" s="18">
        <f>'[11]CoS 2017 Load History'!F90</f>
        <v>43803</v>
      </c>
      <c r="I52" s="39">
        <v>125.80592062045517</v>
      </c>
      <c r="J52" s="18">
        <v>319.87200000000001</v>
      </c>
      <c r="K52"/>
      <c r="L52" s="9"/>
      <c r="M52" s="14"/>
    </row>
    <row r="53" spans="1:13" hidden="1">
      <c r="A53" s="34">
        <v>37681</v>
      </c>
      <c r="B53" s="94">
        <f>'[11]CoS 2017 Load History'!D91</f>
        <v>34325569.499999963</v>
      </c>
      <c r="C53" s="18">
        <f>'Weather Data'!B149</f>
        <v>765.1</v>
      </c>
      <c r="D53" s="18">
        <f>'Weather Data'!C149</f>
        <v>0</v>
      </c>
      <c r="E53" s="18">
        <v>31</v>
      </c>
      <c r="F53" s="18">
        <v>1</v>
      </c>
      <c r="G53" s="18">
        <v>0</v>
      </c>
      <c r="H53" s="18">
        <f>'[11]CoS 2017 Load History'!F91</f>
        <v>43839</v>
      </c>
      <c r="I53" s="39">
        <v>125.9517607362029</v>
      </c>
      <c r="J53" s="18">
        <v>336.28800000000001</v>
      </c>
      <c r="K53"/>
      <c r="L53" s="9"/>
      <c r="M53" s="14"/>
    </row>
    <row r="54" spans="1:13" hidden="1">
      <c r="A54" s="34">
        <v>37712</v>
      </c>
      <c r="B54" s="94">
        <f>'[11]CoS 2017 Load History'!D92</f>
        <v>28484611.509999972</v>
      </c>
      <c r="C54" s="18">
        <f>'Weather Data'!B150</f>
        <v>499.3</v>
      </c>
      <c r="D54" s="18">
        <f>'Weather Data'!C150</f>
        <v>0</v>
      </c>
      <c r="E54" s="18">
        <v>30</v>
      </c>
      <c r="F54" s="18">
        <v>1</v>
      </c>
      <c r="G54" s="18">
        <v>0</v>
      </c>
      <c r="H54" s="18">
        <f>'[11]CoS 2017 Load History'!F92</f>
        <v>43964</v>
      </c>
      <c r="I54" s="39">
        <v>126.09776991664374</v>
      </c>
      <c r="J54" s="18">
        <v>336.24</v>
      </c>
      <c r="K54"/>
      <c r="L54" s="9"/>
      <c r="M54" s="14"/>
    </row>
    <row r="55" spans="1:13" hidden="1">
      <c r="A55" s="34">
        <v>37742</v>
      </c>
      <c r="B55" s="94">
        <f>'[11]CoS 2017 Load History'!D93</f>
        <v>26044982.910000205</v>
      </c>
      <c r="C55" s="18">
        <f>'Weather Data'!B151</f>
        <v>276.39999999999998</v>
      </c>
      <c r="D55" s="18">
        <f>'Weather Data'!C151</f>
        <v>0</v>
      </c>
      <c r="E55" s="18">
        <v>31</v>
      </c>
      <c r="F55" s="18">
        <v>1</v>
      </c>
      <c r="G55" s="18">
        <v>0</v>
      </c>
      <c r="H55" s="18">
        <f>'[11]CoS 2017 Load History'!F93</f>
        <v>44218</v>
      </c>
      <c r="I55" s="39">
        <v>126.2439483577654</v>
      </c>
      <c r="J55" s="18">
        <v>336.28800000000001</v>
      </c>
      <c r="K55"/>
      <c r="L55" s="9"/>
      <c r="M55" s="14"/>
    </row>
    <row r="56" spans="1:13" hidden="1">
      <c r="A56" s="34">
        <v>37773</v>
      </c>
      <c r="B56" s="94">
        <f>'[11]CoS 2017 Load History'!D94</f>
        <v>24018303.7999999</v>
      </c>
      <c r="C56" s="18">
        <f>'Weather Data'!B152</f>
        <v>129.30000000000001</v>
      </c>
      <c r="D56" s="18">
        <f>'Weather Data'!C152</f>
        <v>0</v>
      </c>
      <c r="E56" s="18">
        <v>30</v>
      </c>
      <c r="F56" s="18">
        <v>0</v>
      </c>
      <c r="G56" s="18">
        <v>0</v>
      </c>
      <c r="H56" s="18">
        <f>'[11]CoS 2017 Load History'!F94</f>
        <v>43978</v>
      </c>
      <c r="I56" s="39">
        <v>126.3902962557828</v>
      </c>
      <c r="J56" s="18">
        <v>336.24</v>
      </c>
      <c r="K56"/>
      <c r="L56" s="9"/>
      <c r="M56" s="14"/>
    </row>
    <row r="57" spans="1:13" hidden="1">
      <c r="A57" s="34">
        <v>37803</v>
      </c>
      <c r="B57" s="94">
        <f>'[11]CoS 2017 Load History'!D95</f>
        <v>25420951.430000067</v>
      </c>
      <c r="C57" s="18">
        <f>'Weather Data'!B153</f>
        <v>29.9</v>
      </c>
      <c r="D57" s="18">
        <f>'Weather Data'!C153</f>
        <v>18.2</v>
      </c>
      <c r="E57" s="18">
        <v>31</v>
      </c>
      <c r="F57" s="18">
        <v>0</v>
      </c>
      <c r="G57" s="18">
        <v>0</v>
      </c>
      <c r="H57" s="18">
        <f>'[11]CoS 2017 Load History'!F95</f>
        <v>43908</v>
      </c>
      <c r="I57" s="39">
        <v>126.5368138071383</v>
      </c>
      <c r="J57" s="18">
        <v>351.91199999999998</v>
      </c>
      <c r="K57"/>
      <c r="L57" s="9"/>
      <c r="M57" s="14"/>
    </row>
    <row r="58" spans="1:13" hidden="1">
      <c r="A58" s="34">
        <v>37834</v>
      </c>
      <c r="B58" s="94">
        <f>'[11]CoS 2017 Load History'!D96</f>
        <v>26294357.740000248</v>
      </c>
      <c r="C58" s="18">
        <f>'Weather Data'!B154</f>
        <v>35.6</v>
      </c>
      <c r="D58" s="18">
        <f>'Weather Data'!C154</f>
        <v>50.9</v>
      </c>
      <c r="E58" s="18">
        <v>31</v>
      </c>
      <c r="F58" s="18">
        <v>0</v>
      </c>
      <c r="G58" s="18">
        <v>0</v>
      </c>
      <c r="H58" s="18">
        <f>'[11]CoS 2017 Load History'!F96</f>
        <v>44235</v>
      </c>
      <c r="I58" s="39">
        <v>126.68350120850199</v>
      </c>
      <c r="J58" s="18">
        <v>319.92</v>
      </c>
      <c r="K58"/>
      <c r="L58" s="9"/>
      <c r="M58" s="14"/>
    </row>
    <row r="59" spans="1:13" hidden="1">
      <c r="A59" s="34">
        <v>37865</v>
      </c>
      <c r="B59" s="94">
        <f>'[11]CoS 2017 Load History'!D97</f>
        <v>26006212.489999998</v>
      </c>
      <c r="C59" s="18">
        <f>'Weather Data'!B155</f>
        <v>164</v>
      </c>
      <c r="D59" s="18">
        <f>'Weather Data'!C155</f>
        <v>6.7</v>
      </c>
      <c r="E59" s="18">
        <v>30</v>
      </c>
      <c r="F59" s="18">
        <v>1</v>
      </c>
      <c r="G59" s="18">
        <v>0</v>
      </c>
      <c r="H59" s="18">
        <f>'[11]CoS 2017 Load History'!F97</f>
        <v>44236</v>
      </c>
      <c r="I59" s="39">
        <v>126.83035865677196</v>
      </c>
      <c r="J59" s="18">
        <v>336.24</v>
      </c>
      <c r="K59"/>
      <c r="L59" s="9"/>
      <c r="M59" s="14"/>
    </row>
    <row r="60" spans="1:13" hidden="1">
      <c r="A60" s="34">
        <v>37895</v>
      </c>
      <c r="B60" s="94">
        <f>'[11]CoS 2017 Load History'!D98</f>
        <v>29293413.960000347</v>
      </c>
      <c r="C60" s="18">
        <f>'Weather Data'!B156</f>
        <v>414.2</v>
      </c>
      <c r="D60" s="18">
        <f>'Weather Data'!C156</f>
        <v>0</v>
      </c>
      <c r="E60" s="18">
        <v>31</v>
      </c>
      <c r="F60" s="18">
        <v>1</v>
      </c>
      <c r="G60" s="18">
        <v>0</v>
      </c>
      <c r="H60" s="18">
        <f>'[11]CoS 2017 Load History'!F98</f>
        <v>44111</v>
      </c>
      <c r="I60" s="39">
        <v>126.97738634907456</v>
      </c>
      <c r="J60" s="18">
        <v>351.91199999999998</v>
      </c>
      <c r="K60"/>
      <c r="L60" s="9"/>
      <c r="M60" s="14"/>
    </row>
    <row r="61" spans="1:13" hidden="1">
      <c r="A61" s="34">
        <v>37926</v>
      </c>
      <c r="B61" s="94">
        <f>'[11]CoS 2017 Load History'!D99</f>
        <v>32018999.120000001</v>
      </c>
      <c r="C61" s="18">
        <f>'Weather Data'!B157</f>
        <v>632.9</v>
      </c>
      <c r="D61" s="18">
        <f>'Weather Data'!C157</f>
        <v>0</v>
      </c>
      <c r="E61" s="18">
        <v>30</v>
      </c>
      <c r="F61" s="18">
        <v>1</v>
      </c>
      <c r="G61" s="18">
        <v>0</v>
      </c>
      <c r="H61" s="18">
        <f>'[11]CoS 2017 Load History'!F99</f>
        <v>44114</v>
      </c>
      <c r="I61" s="39">
        <v>127.12458448276465</v>
      </c>
      <c r="J61" s="18">
        <v>319.68</v>
      </c>
      <c r="K61"/>
      <c r="L61" s="9"/>
      <c r="M61" s="14"/>
    </row>
    <row r="62" spans="1:13" hidden="1">
      <c r="A62" s="34">
        <v>37956</v>
      </c>
      <c r="B62" s="94">
        <f>'[11]CoS 2017 Load History'!D100</f>
        <v>36958308.960000031</v>
      </c>
      <c r="C62" s="18">
        <f>'Weather Data'!B158</f>
        <v>785.9</v>
      </c>
      <c r="D62" s="18">
        <f>'Weather Data'!C158</f>
        <v>0</v>
      </c>
      <c r="E62" s="18">
        <v>31</v>
      </c>
      <c r="F62" s="18">
        <v>0</v>
      </c>
      <c r="G62" s="18">
        <v>0</v>
      </c>
      <c r="H62" s="18">
        <f>'[11]CoS 2017 Load History'!F100</f>
        <v>44063</v>
      </c>
      <c r="I62" s="39">
        <v>127.27195325542573</v>
      </c>
      <c r="J62" s="18">
        <v>336.28800000000001</v>
      </c>
      <c r="K62"/>
      <c r="L62" s="9"/>
      <c r="M62" s="14"/>
    </row>
    <row r="63" spans="1:13" hidden="1">
      <c r="A63" s="34">
        <v>37987</v>
      </c>
      <c r="B63" s="94">
        <f>'[11]CoS 2017 Load History'!D101</f>
        <v>38668458.560000561</v>
      </c>
      <c r="C63" s="18">
        <f>'Weather Data'!B159</f>
        <v>1140.5999999999999</v>
      </c>
      <c r="D63" s="18">
        <f>'Weather Data'!C159</f>
        <v>0</v>
      </c>
      <c r="E63" s="18">
        <v>31</v>
      </c>
      <c r="F63" s="18">
        <v>0</v>
      </c>
      <c r="G63" s="18">
        <v>0</v>
      </c>
      <c r="H63" s="18">
        <f>'[11]CoS 2017 Load History'!F101</f>
        <v>44081</v>
      </c>
      <c r="I63" s="39">
        <v>127.53411264087498</v>
      </c>
      <c r="J63" s="18">
        <v>336.28800000000001</v>
      </c>
      <c r="K63"/>
      <c r="L63" s="9"/>
      <c r="M63" s="14"/>
    </row>
    <row r="64" spans="1:13" hidden="1">
      <c r="A64" s="34">
        <v>38018</v>
      </c>
      <c r="B64" s="94">
        <f>'[11]CoS 2017 Load History'!D102</f>
        <v>34331411.410000011</v>
      </c>
      <c r="C64" s="18">
        <f>'Weather Data'!B160</f>
        <v>778.3</v>
      </c>
      <c r="D64" s="18">
        <f>'Weather Data'!C160</f>
        <v>0</v>
      </c>
      <c r="E64" s="18">
        <v>29</v>
      </c>
      <c r="F64" s="18">
        <v>0</v>
      </c>
      <c r="G64" s="18">
        <v>0</v>
      </c>
      <c r="H64" s="18">
        <f>'[11]CoS 2017 Load History'!F102</f>
        <v>43971</v>
      </c>
      <c r="I64" s="39">
        <v>127.79681203173486</v>
      </c>
      <c r="J64" s="18">
        <v>320.16000000000003</v>
      </c>
      <c r="K64"/>
      <c r="L64" s="9"/>
      <c r="M64" s="14"/>
    </row>
    <row r="65" spans="1:47" hidden="1">
      <c r="A65" s="34">
        <v>38047</v>
      </c>
      <c r="B65" s="94">
        <f>'[11]CoS 2017 Load History'!D103</f>
        <v>32611182.190000217</v>
      </c>
      <c r="C65" s="18">
        <f>'Weather Data'!B161</f>
        <v>684.3</v>
      </c>
      <c r="D65" s="18">
        <f>'Weather Data'!C161</f>
        <v>0</v>
      </c>
      <c r="E65" s="18">
        <v>31</v>
      </c>
      <c r="F65" s="18">
        <v>1</v>
      </c>
      <c r="G65" s="18">
        <v>0</v>
      </c>
      <c r="H65" s="18">
        <f>'[11]CoS 2017 Load History'!F103</f>
        <v>44103</v>
      </c>
      <c r="I65" s="39">
        <v>128.06005254032812</v>
      </c>
      <c r="J65" s="18">
        <v>368.28</v>
      </c>
      <c r="K65"/>
      <c r="L65" s="9"/>
      <c r="M65" s="14"/>
    </row>
    <row r="66" spans="1:47" hidden="1">
      <c r="A66" s="34">
        <v>38078</v>
      </c>
      <c r="B66" s="94">
        <f>'[11]CoS 2017 Load History'!D104</f>
        <v>28276428.909999788</v>
      </c>
      <c r="C66" s="18">
        <f>'Weather Data'!B162</f>
        <v>472.4</v>
      </c>
      <c r="D66" s="18">
        <f>'Weather Data'!C162</f>
        <v>0</v>
      </c>
      <c r="E66" s="18">
        <v>30</v>
      </c>
      <c r="F66" s="18">
        <v>1</v>
      </c>
      <c r="G66" s="18">
        <v>0</v>
      </c>
      <c r="H66" s="18">
        <f>'[11]CoS 2017 Load History'!F104</f>
        <v>44019</v>
      </c>
      <c r="I66" s="39">
        <v>128.32383528126866</v>
      </c>
      <c r="J66" s="18">
        <v>336.24</v>
      </c>
      <c r="K66"/>
      <c r="L66" s="9"/>
      <c r="M66" s="14"/>
    </row>
    <row r="67" spans="1:47" hidden="1">
      <c r="A67" s="34">
        <v>38108</v>
      </c>
      <c r="B67" s="94">
        <f>'[11]CoS 2017 Load History'!D105</f>
        <v>26338968.129999977</v>
      </c>
      <c r="C67" s="18">
        <f>'Weather Data'!B163</f>
        <v>333.2</v>
      </c>
      <c r="D67" s="18">
        <f>'Weather Data'!C163</f>
        <v>0</v>
      </c>
      <c r="E67" s="18">
        <v>31</v>
      </c>
      <c r="F67" s="18">
        <v>1</v>
      </c>
      <c r="G67" s="18">
        <v>0</v>
      </c>
      <c r="H67" s="18">
        <f>'[11]CoS 2017 Load History'!F105</f>
        <v>44025</v>
      </c>
      <c r="I67" s="39">
        <v>128.58816137146633</v>
      </c>
      <c r="J67" s="18">
        <v>319.92</v>
      </c>
      <c r="K67"/>
      <c r="L67" s="9"/>
      <c r="M67" s="14"/>
    </row>
    <row r="68" spans="1:47" hidden="1">
      <c r="A68" s="34">
        <v>38139</v>
      </c>
      <c r="B68" s="94">
        <f>'[11]CoS 2017 Load History'!D106</f>
        <v>23894672.880000148</v>
      </c>
      <c r="C68" s="18">
        <f>'Weather Data'!B164</f>
        <v>145.80000000000001</v>
      </c>
      <c r="D68" s="18">
        <f>'Weather Data'!C164</f>
        <v>3.1</v>
      </c>
      <c r="E68" s="18">
        <v>30</v>
      </c>
      <c r="F68" s="18">
        <v>0</v>
      </c>
      <c r="G68" s="18">
        <v>0</v>
      </c>
      <c r="H68" s="18">
        <f>'[11]CoS 2017 Load History'!F106</f>
        <v>44110</v>
      </c>
      <c r="I68" s="39">
        <v>128.85303193013166</v>
      </c>
      <c r="J68" s="18">
        <v>352.08</v>
      </c>
      <c r="K68"/>
      <c r="L68" s="9"/>
      <c r="M68" s="14"/>
    </row>
    <row r="69" spans="1:47" hidden="1">
      <c r="A69" s="34">
        <v>38169</v>
      </c>
      <c r="B69" s="94">
        <f>'[11]CoS 2017 Load History'!D107</f>
        <v>24543277.730000049</v>
      </c>
      <c r="C69" s="18">
        <f>'Weather Data'!B165</f>
        <v>67.400000000000006</v>
      </c>
      <c r="D69" s="18">
        <f>'Weather Data'!C165</f>
        <v>22</v>
      </c>
      <c r="E69" s="18">
        <v>31</v>
      </c>
      <c r="F69" s="18">
        <v>0</v>
      </c>
      <c r="G69" s="18">
        <v>0</v>
      </c>
      <c r="H69" s="18">
        <f>'[11]CoS 2017 Load History'!F107</f>
        <v>44256</v>
      </c>
      <c r="I69" s="39">
        <v>129.11844807878055</v>
      </c>
      <c r="J69" s="18">
        <v>336.28800000000001</v>
      </c>
      <c r="K69"/>
      <c r="L69" s="9"/>
      <c r="M69" s="14"/>
    </row>
    <row r="70" spans="1:47" hidden="1">
      <c r="A70" s="34">
        <v>38200</v>
      </c>
      <c r="B70" s="94">
        <f>'[11]CoS 2017 Load History'!D108</f>
        <v>25024173.030000053</v>
      </c>
      <c r="C70" s="18">
        <f>'Weather Data'!B166</f>
        <v>123</v>
      </c>
      <c r="D70" s="18">
        <f>'Weather Data'!C166</f>
        <v>1.8</v>
      </c>
      <c r="E70" s="18">
        <v>31</v>
      </c>
      <c r="F70" s="18">
        <v>0</v>
      </c>
      <c r="G70" s="18">
        <v>0</v>
      </c>
      <c r="H70" s="18">
        <f>'[11]CoS 2017 Load History'!F108</f>
        <v>44126</v>
      </c>
      <c r="I70" s="39">
        <v>129.38441094123903</v>
      </c>
      <c r="J70" s="18">
        <v>336.28800000000001</v>
      </c>
      <c r="K70"/>
      <c r="L70" s="9"/>
      <c r="M70" s="14"/>
    </row>
    <row r="71" spans="1:47" hidden="1">
      <c r="A71" s="34">
        <v>38231</v>
      </c>
      <c r="B71" s="94">
        <f>'[11]CoS 2017 Load History'!D109</f>
        <v>25064194.599999979</v>
      </c>
      <c r="C71" s="18">
        <f>'Weather Data'!B167</f>
        <v>132.9</v>
      </c>
      <c r="D71" s="18">
        <f>'Weather Data'!C167</f>
        <v>4.7</v>
      </c>
      <c r="E71" s="18">
        <v>30</v>
      </c>
      <c r="F71" s="18">
        <v>1</v>
      </c>
      <c r="G71" s="18">
        <v>0</v>
      </c>
      <c r="H71" s="18">
        <f>'[11]CoS 2017 Load History'!F109</f>
        <v>44294</v>
      </c>
      <c r="I71" s="39">
        <v>129.65092164364802</v>
      </c>
      <c r="J71" s="18">
        <v>336.24</v>
      </c>
      <c r="K71"/>
      <c r="L71" s="9"/>
      <c r="M71" s="14"/>
    </row>
    <row r="72" spans="1:47" hidden="1">
      <c r="A72" s="34">
        <v>38261</v>
      </c>
      <c r="B72" s="94">
        <f>'[11]CoS 2017 Load History'!D110</f>
        <v>28414629.599999845</v>
      </c>
      <c r="C72" s="18">
        <f>'Weather Data'!B168</f>
        <v>372.7</v>
      </c>
      <c r="D72" s="18">
        <f>'Weather Data'!C168</f>
        <v>0</v>
      </c>
      <c r="E72" s="18">
        <v>31</v>
      </c>
      <c r="F72" s="18">
        <v>1</v>
      </c>
      <c r="G72" s="18">
        <v>0</v>
      </c>
      <c r="H72" s="18">
        <f>'[11]CoS 2017 Load History'!F110</f>
        <v>44311</v>
      </c>
      <c r="I72" s="39">
        <v>129.91798131446814</v>
      </c>
      <c r="J72" s="18">
        <v>319.92</v>
      </c>
      <c r="K72"/>
      <c r="L72" s="9"/>
      <c r="M72" s="14"/>
    </row>
    <row r="73" spans="1:47" hidden="1">
      <c r="A73" s="34">
        <v>38292</v>
      </c>
      <c r="B73" s="94">
        <f>'[11]CoS 2017 Load History'!D111</f>
        <v>31681875.579999883</v>
      </c>
      <c r="C73" s="18">
        <f>'Weather Data'!B169</f>
        <v>554.9</v>
      </c>
      <c r="D73" s="18">
        <f>'Weather Data'!C169</f>
        <v>0</v>
      </c>
      <c r="E73" s="18">
        <v>30</v>
      </c>
      <c r="F73" s="18">
        <v>1</v>
      </c>
      <c r="G73" s="18">
        <v>0</v>
      </c>
      <c r="H73" s="18">
        <f>'[11]CoS 2017 Load History'!F111</f>
        <v>44365</v>
      </c>
      <c r="I73" s="39">
        <v>130.18559108448443</v>
      </c>
      <c r="J73" s="18">
        <v>352.08</v>
      </c>
      <c r="K73"/>
      <c r="L73" s="9"/>
      <c r="M73" s="14"/>
    </row>
    <row r="74" spans="1:47" hidden="1">
      <c r="A74" s="34">
        <v>38322</v>
      </c>
      <c r="B74" s="94">
        <f>'[11]CoS 2017 Load History'!D112</f>
        <v>37366129.619999848</v>
      </c>
      <c r="C74" s="18">
        <f>'Weather Data'!B170</f>
        <v>926.6</v>
      </c>
      <c r="D74" s="18">
        <f>'Weather Data'!C170</f>
        <v>0</v>
      </c>
      <c r="E74" s="18">
        <v>31</v>
      </c>
      <c r="F74" s="18">
        <v>0</v>
      </c>
      <c r="G74" s="18">
        <v>0</v>
      </c>
      <c r="H74" s="18">
        <f>'[11]CoS 2017 Load History'!F112</f>
        <v>44185</v>
      </c>
      <c r="I74" s="39">
        <v>130.45375208681136</v>
      </c>
      <c r="J74" s="18">
        <v>336.28800000000001</v>
      </c>
      <c r="K74"/>
      <c r="L74" s="9"/>
      <c r="M74" s="14"/>
    </row>
    <row r="75" spans="1:47" hidden="1">
      <c r="A75" s="34">
        <v>38353</v>
      </c>
      <c r="B75" s="94">
        <f>'[11]CoS 2017 Load History'!D113</f>
        <v>38920097.020000175</v>
      </c>
      <c r="C75" s="18">
        <f>'Weather Data'!B171</f>
        <v>1084.3</v>
      </c>
      <c r="D75" s="18">
        <f>'Weather Data'!C171</f>
        <v>0</v>
      </c>
      <c r="E75" s="18">
        <v>31</v>
      </c>
      <c r="F75" s="18">
        <v>0</v>
      </c>
      <c r="G75" s="18">
        <v>0</v>
      </c>
      <c r="H75" s="18">
        <f>'[11]CoS 2017 Load History'!F113</f>
        <v>44157</v>
      </c>
      <c r="I75" s="39">
        <v>130.74370215685079</v>
      </c>
      <c r="J75" s="18">
        <v>319.92</v>
      </c>
      <c r="K75"/>
      <c r="L75" s="9"/>
      <c r="M75" s="14"/>
    </row>
    <row r="76" spans="1:47" s="15" customFormat="1" hidden="1">
      <c r="A76" s="34">
        <v>38384</v>
      </c>
      <c r="B76" s="94">
        <f>'[11]CoS 2017 Load History'!D114</f>
        <v>33256365.220000371</v>
      </c>
      <c r="C76" s="18">
        <f>'Weather Data'!B172</f>
        <v>755.9</v>
      </c>
      <c r="D76" s="18">
        <f>'Weather Data'!C172</f>
        <v>0</v>
      </c>
      <c r="E76" s="18">
        <v>28</v>
      </c>
      <c r="F76" s="18">
        <v>0</v>
      </c>
      <c r="G76" s="18">
        <v>0</v>
      </c>
      <c r="H76" s="18">
        <f>'[11]CoS 2017 Load History'!F114</f>
        <v>44040</v>
      </c>
      <c r="I76" s="39">
        <v>131.0342966778299</v>
      </c>
      <c r="J76" s="18">
        <v>319.87200000000001</v>
      </c>
      <c r="K76"/>
      <c r="L76" s="9"/>
      <c r="M76" s="14"/>
      <c r="N76"/>
      <c r="O76"/>
      <c r="P76"/>
      <c r="Q76"/>
      <c r="R76"/>
      <c r="S76"/>
      <c r="T76"/>
      <c r="U76"/>
      <c r="V76"/>
      <c r="W76"/>
      <c r="X76"/>
      <c r="Y76"/>
      <c r="Z76"/>
      <c r="AA76"/>
      <c r="AB76"/>
      <c r="AC76"/>
      <c r="AD76"/>
      <c r="AE76"/>
      <c r="AF76"/>
      <c r="AG76"/>
      <c r="AH76"/>
      <c r="AI76"/>
      <c r="AJ76"/>
      <c r="AK76"/>
      <c r="AL76"/>
      <c r="AM76"/>
      <c r="AN76"/>
      <c r="AO76"/>
      <c r="AP76"/>
      <c r="AQ76"/>
      <c r="AR76"/>
      <c r="AS76"/>
      <c r="AT76"/>
      <c r="AU76"/>
    </row>
    <row r="77" spans="1:47" hidden="1">
      <c r="A77" s="34">
        <v>38412</v>
      </c>
      <c r="B77" s="94">
        <f>'[11]CoS 2017 Load History'!D115</f>
        <v>32485847.760000072</v>
      </c>
      <c r="C77" s="18">
        <f>'Weather Data'!B173</f>
        <v>814.1</v>
      </c>
      <c r="D77" s="18">
        <f>'Weather Data'!C173</f>
        <v>0</v>
      </c>
      <c r="E77" s="18">
        <v>31</v>
      </c>
      <c r="F77" s="18">
        <v>1</v>
      </c>
      <c r="G77" s="18">
        <v>0</v>
      </c>
      <c r="H77" s="18">
        <f>'[11]CoS 2017 Load History'!F115</f>
        <v>44100</v>
      </c>
      <c r="I77" s="39">
        <v>131.32553708212293</v>
      </c>
      <c r="J77" s="18">
        <v>351.91199999999998</v>
      </c>
      <c r="K77"/>
      <c r="L77" s="9"/>
      <c r="M77" s="14"/>
    </row>
    <row r="78" spans="1:47" hidden="1">
      <c r="A78" s="34">
        <v>38443</v>
      </c>
      <c r="B78" s="94">
        <f>'[11]CoS 2017 Load History'!D116</f>
        <v>27843394.499999896</v>
      </c>
      <c r="C78" s="18">
        <f>'Weather Data'!B174</f>
        <v>408.1</v>
      </c>
      <c r="D78" s="18">
        <f>'Weather Data'!C174</f>
        <v>0</v>
      </c>
      <c r="E78" s="18">
        <v>30</v>
      </c>
      <c r="F78" s="18">
        <v>1</v>
      </c>
      <c r="G78" s="18">
        <v>0</v>
      </c>
      <c r="H78" s="18">
        <f>'[11]CoS 2017 Load History'!F116</f>
        <v>44350</v>
      </c>
      <c r="I78" s="39">
        <v>131.61742480528775</v>
      </c>
      <c r="J78" s="18">
        <v>336.24</v>
      </c>
      <c r="K78"/>
      <c r="L78" s="9"/>
      <c r="M78" s="14"/>
    </row>
    <row r="79" spans="1:47" hidden="1">
      <c r="A79" s="34">
        <v>38473</v>
      </c>
      <c r="B79" s="94">
        <f>'[11]CoS 2017 Load History'!D117</f>
        <v>26410477.640000038</v>
      </c>
      <c r="C79" s="18">
        <f>'Weather Data'!B175</f>
        <v>306.2</v>
      </c>
      <c r="D79" s="18">
        <f>'Weather Data'!C175</f>
        <v>0</v>
      </c>
      <c r="E79" s="18">
        <v>31</v>
      </c>
      <c r="F79" s="18">
        <v>1</v>
      </c>
      <c r="G79" s="18">
        <v>0</v>
      </c>
      <c r="H79" s="18">
        <f>'[11]CoS 2017 Load History'!F117</f>
        <v>44250</v>
      </c>
      <c r="I79" s="39">
        <v>131.90996128607298</v>
      </c>
      <c r="J79" s="18">
        <v>336.28800000000001</v>
      </c>
      <c r="K79"/>
      <c r="L79" s="9"/>
      <c r="M79" s="14"/>
    </row>
    <row r="80" spans="1:47" hidden="1">
      <c r="A80" s="34">
        <v>38504</v>
      </c>
      <c r="B80" s="94">
        <f>'[11]CoS 2017 Load History'!D118</f>
        <v>24942453.350000061</v>
      </c>
      <c r="C80" s="18">
        <f>'Weather Data'!B176</f>
        <v>72.599999999999994</v>
      </c>
      <c r="D80" s="18">
        <f>'Weather Data'!C176</f>
        <v>16.8</v>
      </c>
      <c r="E80" s="18">
        <v>30</v>
      </c>
      <c r="F80" s="18">
        <v>0</v>
      </c>
      <c r="G80" s="18">
        <v>0</v>
      </c>
      <c r="H80" s="18">
        <f>'[11]CoS 2017 Load History'!F118</f>
        <v>44190</v>
      </c>
      <c r="I80" s="39">
        <v>132.20314796642501</v>
      </c>
      <c r="J80" s="18">
        <v>352.08</v>
      </c>
      <c r="K80"/>
      <c r="L80" s="9"/>
      <c r="M80" s="14"/>
    </row>
    <row r="81" spans="1:47" hidden="1">
      <c r="A81" s="34">
        <v>38534</v>
      </c>
      <c r="B81" s="94">
        <f>'[11]CoS 2017 Load History'!D119</f>
        <v>26102158.649999917</v>
      </c>
      <c r="C81" s="18">
        <f>'Weather Data'!B177</f>
        <v>45.3</v>
      </c>
      <c r="D81" s="18">
        <f>'Weather Data'!C177</f>
        <v>53</v>
      </c>
      <c r="E81" s="18">
        <v>31</v>
      </c>
      <c r="F81" s="18">
        <v>0</v>
      </c>
      <c r="G81" s="18">
        <v>0</v>
      </c>
      <c r="H81" s="18">
        <f>'[11]CoS 2017 Load History'!F119</f>
        <v>44315</v>
      </c>
      <c r="I81" s="39">
        <v>132.49698629149512</v>
      </c>
      <c r="J81" s="18">
        <v>319.92</v>
      </c>
      <c r="K81"/>
      <c r="L81" s="9"/>
      <c r="M81" s="14"/>
    </row>
    <row r="82" spans="1:47" hidden="1">
      <c r="A82" s="34">
        <v>38565</v>
      </c>
      <c r="B82" s="94">
        <f>'[11]CoS 2017 Load History'!D120</f>
        <v>26089422.109999936</v>
      </c>
      <c r="C82" s="18">
        <f>'Weather Data'!B178</f>
        <v>46.3</v>
      </c>
      <c r="D82" s="18">
        <f>'Weather Data'!C178</f>
        <v>29.6</v>
      </c>
      <c r="E82" s="18">
        <v>31</v>
      </c>
      <c r="F82" s="18">
        <v>0</v>
      </c>
      <c r="G82" s="18">
        <v>0</v>
      </c>
      <c r="H82" s="18">
        <f>'[11]CoS 2017 Load History'!F120</f>
        <v>44305</v>
      </c>
      <c r="I82" s="39">
        <v>132.79147770964664</v>
      </c>
      <c r="J82" s="18">
        <v>351.91199999999998</v>
      </c>
      <c r="K82"/>
      <c r="L82" s="9"/>
      <c r="M82" s="14"/>
    </row>
    <row r="83" spans="1:47" hidden="1">
      <c r="A83" s="34">
        <v>38596</v>
      </c>
      <c r="B83" s="94">
        <f>'[11]CoS 2017 Load History'!D121</f>
        <v>25222662.819999851</v>
      </c>
      <c r="C83" s="18">
        <f>'Weather Data'!B179</f>
        <v>148.80000000000001</v>
      </c>
      <c r="D83" s="18">
        <f>'Weather Data'!C179</f>
        <v>15.2</v>
      </c>
      <c r="E83" s="18">
        <v>30</v>
      </c>
      <c r="F83" s="18">
        <v>1</v>
      </c>
      <c r="G83" s="18">
        <v>0</v>
      </c>
      <c r="H83" s="18">
        <f>'[11]CoS 2017 Load History'!F121</f>
        <v>44424</v>
      </c>
      <c r="I83" s="39">
        <v>133.08662367246211</v>
      </c>
      <c r="J83" s="18">
        <v>336.24</v>
      </c>
      <c r="K83"/>
      <c r="L83" s="9"/>
      <c r="M83" s="14"/>
    </row>
    <row r="84" spans="1:47" hidden="1">
      <c r="A84" s="34">
        <v>38626</v>
      </c>
      <c r="B84" s="94">
        <f>'[11]CoS 2017 Load History'!D122</f>
        <v>28188329.079999827</v>
      </c>
      <c r="C84" s="18">
        <f>'Weather Data'!B180</f>
        <v>347.3</v>
      </c>
      <c r="D84" s="18">
        <f>'Weather Data'!C180</f>
        <v>0</v>
      </c>
      <c r="E84" s="18">
        <v>31</v>
      </c>
      <c r="F84" s="18">
        <v>1</v>
      </c>
      <c r="G84" s="18">
        <v>0</v>
      </c>
      <c r="H84" s="18">
        <f>'[11]CoS 2017 Load History'!F122</f>
        <v>44257</v>
      </c>
      <c r="I84" s="39">
        <v>133.38242563475035</v>
      </c>
      <c r="J84" s="18">
        <v>319.92</v>
      </c>
      <c r="K84"/>
      <c r="L84" s="9"/>
      <c r="M84" s="14"/>
    </row>
    <row r="85" spans="1:47" hidden="1">
      <c r="A85" s="34">
        <v>38657</v>
      </c>
      <c r="B85" s="94">
        <f>'[11]CoS 2017 Load History'!D123</f>
        <v>31328731.729999922</v>
      </c>
      <c r="C85" s="18">
        <f>'Weather Data'!B181</f>
        <v>606.9</v>
      </c>
      <c r="D85" s="18">
        <f>'Weather Data'!C181</f>
        <v>0</v>
      </c>
      <c r="E85" s="18">
        <v>30</v>
      </c>
      <c r="F85" s="18">
        <v>1</v>
      </c>
      <c r="G85" s="18">
        <v>0</v>
      </c>
      <c r="H85" s="18">
        <f>'[11]CoS 2017 Load History'!F123</f>
        <v>44315</v>
      </c>
      <c r="I85" s="39">
        <v>133.67888505455369</v>
      </c>
      <c r="J85" s="18">
        <v>352.08</v>
      </c>
      <c r="K85"/>
      <c r="L85" s="9"/>
      <c r="M85" s="14"/>
    </row>
    <row r="86" spans="1:47" hidden="1">
      <c r="A86" s="34">
        <v>38687</v>
      </c>
      <c r="B86" s="94">
        <f>'[11]CoS 2017 Load History'!D124</f>
        <v>35177920.479999423</v>
      </c>
      <c r="C86" s="18">
        <f>'Weather Data'!B182</f>
        <v>833.4</v>
      </c>
      <c r="D86" s="18">
        <f>'Weather Data'!C182</f>
        <v>0</v>
      </c>
      <c r="E86" s="18">
        <v>31</v>
      </c>
      <c r="F86" s="18">
        <v>0</v>
      </c>
      <c r="G86" s="18">
        <v>0</v>
      </c>
      <c r="H86" s="18">
        <f>'[11]CoS 2017 Load History'!F124</f>
        <v>44282</v>
      </c>
      <c r="I86" s="39">
        <v>133.97600339315525</v>
      </c>
      <c r="J86" s="18">
        <v>319.92</v>
      </c>
      <c r="K86"/>
      <c r="L86" s="9"/>
      <c r="M86" s="14"/>
    </row>
    <row r="87" spans="1:47" s="35" customFormat="1">
      <c r="A87" s="34">
        <v>38718</v>
      </c>
      <c r="B87" s="94">
        <f>'[11]CoS 2017 Load History'!D125</f>
        <v>35639480.850000851</v>
      </c>
      <c r="C87" s="18">
        <f>'Weather Analysis - Thunder Bay'!Z8</f>
        <v>960.98000000000013</v>
      </c>
      <c r="D87" s="18">
        <f>'Weather Analysis - Thunder Bay'!Z28</f>
        <v>0</v>
      </c>
      <c r="E87" s="18">
        <v>31</v>
      </c>
      <c r="F87" s="18">
        <v>0</v>
      </c>
      <c r="G87" s="18">
        <f>'CDM Activity'!I19</f>
        <v>20809.682226219731</v>
      </c>
      <c r="H87" s="18">
        <f>'[11]CoS 2017 Load History'!F125</f>
        <v>44181</v>
      </c>
      <c r="I87" s="39">
        <v>134.25197202423305</v>
      </c>
      <c r="J87" s="18">
        <v>336.28800000000001</v>
      </c>
      <c r="K87" s="18">
        <f>$O$103+C87*$O$104+D87*$O$105+E87*$O$106+F87*$O$107+G87*$O$108</f>
        <v>36851084.373629019</v>
      </c>
      <c r="L87" s="9"/>
      <c r="M87" s="14"/>
      <c r="N87" t="s">
        <v>15</v>
      </c>
      <c r="O87"/>
      <c r="P87"/>
      <c r="Q87"/>
      <c r="R87"/>
      <c r="S87"/>
      <c r="T87"/>
      <c r="U87"/>
      <c r="V87"/>
      <c r="W87"/>
      <c r="X87"/>
      <c r="Y87"/>
      <c r="Z87"/>
      <c r="AA87"/>
      <c r="AB87"/>
      <c r="AC87"/>
      <c r="AD87"/>
      <c r="AE87"/>
      <c r="AF87"/>
      <c r="AG87"/>
      <c r="AH87"/>
      <c r="AI87"/>
      <c r="AJ87"/>
      <c r="AK87"/>
      <c r="AL87"/>
      <c r="AM87"/>
      <c r="AN87"/>
      <c r="AO87"/>
      <c r="AP87"/>
      <c r="AQ87"/>
      <c r="AR87"/>
      <c r="AS87"/>
      <c r="AT87"/>
      <c r="AU87"/>
    </row>
    <row r="88" spans="1:47" ht="13.5" thickBot="1">
      <c r="A88" s="34">
        <v>38749</v>
      </c>
      <c r="B88" s="94">
        <f>'[11]CoS 2017 Load History'!D126</f>
        <v>31006600.609999921</v>
      </c>
      <c r="C88" s="18">
        <f>'Weather Analysis - Thunder Bay'!Z9</f>
        <v>875.5899999999998</v>
      </c>
      <c r="D88" s="18">
        <f>'Weather Analysis - Thunder Bay'!Z29</f>
        <v>0</v>
      </c>
      <c r="E88" s="18">
        <v>28</v>
      </c>
      <c r="F88" s="18">
        <v>0</v>
      </c>
      <c r="G88" s="18">
        <f>'CDM Activity'!I20</f>
        <v>41619.364452439462</v>
      </c>
      <c r="H88" s="18">
        <f>'[11]CoS 2017 Load History'!F126</f>
        <v>44198</v>
      </c>
      <c r="I88" s="39">
        <v>134.52850910550649</v>
      </c>
      <c r="J88" s="18">
        <v>319.87200000000001</v>
      </c>
      <c r="K88" s="18">
        <f t="shared" ref="K88:K151" si="0">$O$103+C88*$O$104+D88*$O$105+E88*$O$106+F88*$O$107+G88*$O$108</f>
        <v>32720866.410359822</v>
      </c>
      <c r="L88" s="9"/>
      <c r="M88" s="14"/>
    </row>
    <row r="89" spans="1:47">
      <c r="A89" s="34">
        <v>38777</v>
      </c>
      <c r="B89" s="94">
        <f>'[11]CoS 2017 Load History'!D127</f>
        <v>31468779.68000007</v>
      </c>
      <c r="C89" s="18">
        <f>'Weather Analysis - Thunder Bay'!Z10</f>
        <v>702.91</v>
      </c>
      <c r="D89" s="18">
        <f>'Weather Analysis - Thunder Bay'!Z30</f>
        <v>0</v>
      </c>
      <c r="E89" s="18">
        <v>31</v>
      </c>
      <c r="F89" s="18">
        <v>1</v>
      </c>
      <c r="G89" s="18">
        <f>'CDM Activity'!I21</f>
        <v>62429.046678659193</v>
      </c>
      <c r="H89" s="18">
        <f>'[11]CoS 2017 Load History'!F127</f>
        <v>44236</v>
      </c>
      <c r="I89" s="39">
        <v>134.80561580788986</v>
      </c>
      <c r="J89" s="18">
        <v>368.28</v>
      </c>
      <c r="K89" s="18">
        <f t="shared" si="0"/>
        <v>32385299.722651754</v>
      </c>
      <c r="L89" s="9"/>
      <c r="M89" s="14"/>
      <c r="N89" s="53" t="s">
        <v>16</v>
      </c>
      <c r="O89" s="53"/>
    </row>
    <row r="90" spans="1:47">
      <c r="A90" s="34">
        <v>38808</v>
      </c>
      <c r="B90" s="94">
        <f>'[11]CoS 2017 Load History'!D128</f>
        <v>26780261.130000174</v>
      </c>
      <c r="C90" s="18">
        <f>'Weather Analysis - Thunder Bay'!Z11</f>
        <v>450.5200000000001</v>
      </c>
      <c r="D90" s="18">
        <f>'Weather Analysis - Thunder Bay'!Z31</f>
        <v>0</v>
      </c>
      <c r="E90" s="18">
        <v>30</v>
      </c>
      <c r="F90" s="18">
        <v>1</v>
      </c>
      <c r="G90" s="18">
        <f>'CDM Activity'!I22</f>
        <v>83238.728904878924</v>
      </c>
      <c r="H90" s="18">
        <f>'[11]CoS 2017 Load History'!F128</f>
        <v>44282</v>
      </c>
      <c r="I90" s="39">
        <v>135.08329330470943</v>
      </c>
      <c r="J90" s="18">
        <v>303.83999999999997</v>
      </c>
      <c r="K90" s="18">
        <f t="shared" si="0"/>
        <v>27983489.475315198</v>
      </c>
      <c r="L90" s="9"/>
      <c r="M90" s="14"/>
      <c r="N90" s="40" t="s">
        <v>17</v>
      </c>
      <c r="O90" s="56">
        <v>0.97608373532663517</v>
      </c>
    </row>
    <row r="91" spans="1:47">
      <c r="A91" s="34">
        <v>38838</v>
      </c>
      <c r="B91" s="94">
        <f>'[11]CoS 2017 Load History'!D129</f>
        <v>25597983.169999883</v>
      </c>
      <c r="C91" s="18">
        <f>'Weather Analysis - Thunder Bay'!Z12</f>
        <v>271.46000000000004</v>
      </c>
      <c r="D91" s="18">
        <f>'Weather Analysis - Thunder Bay'!Z32</f>
        <v>0.47000000000000003</v>
      </c>
      <c r="E91" s="18">
        <v>31</v>
      </c>
      <c r="F91" s="18">
        <v>1</v>
      </c>
      <c r="G91" s="18">
        <f>'CDM Activity'!I23</f>
        <v>104048.41113109866</v>
      </c>
      <c r="H91" s="18">
        <f>'[11]CoS 2017 Load History'!F129</f>
        <v>44417</v>
      </c>
      <c r="I91" s="39">
        <v>135.36154277170829</v>
      </c>
      <c r="J91" s="18">
        <v>351.91199999999998</v>
      </c>
      <c r="K91" s="18">
        <f t="shared" si="0"/>
        <v>26549988.193214744</v>
      </c>
      <c r="L91" s="9"/>
      <c r="M91" s="14"/>
      <c r="N91" s="40" t="s">
        <v>18</v>
      </c>
      <c r="O91" s="56">
        <v>0.95273945836919682</v>
      </c>
    </row>
    <row r="92" spans="1:47">
      <c r="A92" s="34">
        <v>38869</v>
      </c>
      <c r="B92" s="94">
        <f>'[11]CoS 2017 Load History'!D130</f>
        <v>24345684.17000021</v>
      </c>
      <c r="C92" s="18">
        <f>'Weather Analysis - Thunder Bay'!Z13</f>
        <v>109.59</v>
      </c>
      <c r="D92" s="18">
        <f>'Weather Analysis - Thunder Bay'!Z33</f>
        <v>6.7</v>
      </c>
      <c r="E92" s="18">
        <v>30</v>
      </c>
      <c r="F92" s="18">
        <v>0</v>
      </c>
      <c r="G92" s="18">
        <f>'CDM Activity'!I24</f>
        <v>124858.0933573184</v>
      </c>
      <c r="H92" s="18">
        <f>'[11]CoS 2017 Load History'!F130</f>
        <v>44241</v>
      </c>
      <c r="I92" s="39">
        <v>135.64036538705133</v>
      </c>
      <c r="J92" s="18">
        <v>352.08</v>
      </c>
      <c r="K92" s="18">
        <f t="shared" si="0"/>
        <v>24565100.344388396</v>
      </c>
      <c r="L92" s="9"/>
      <c r="M92" s="14"/>
      <c r="N92" s="40" t="s">
        <v>19</v>
      </c>
      <c r="O92" s="56">
        <v>0.95066662759591591</v>
      </c>
    </row>
    <row r="93" spans="1:47">
      <c r="A93" s="34">
        <v>38899</v>
      </c>
      <c r="B93" s="94">
        <f>'[11]CoS 2017 Load History'!D131</f>
        <v>26114962.539999943</v>
      </c>
      <c r="C93" s="18">
        <f>'Weather Analysis - Thunder Bay'!Z14</f>
        <v>36.33</v>
      </c>
      <c r="D93" s="18">
        <f>'Weather Analysis - Thunder Bay'!Z34</f>
        <v>40.369999999999997</v>
      </c>
      <c r="E93" s="18">
        <v>31</v>
      </c>
      <c r="F93" s="18">
        <v>0</v>
      </c>
      <c r="G93" s="18">
        <f>'CDM Activity'!I25</f>
        <v>145667.77558353814</v>
      </c>
      <c r="H93" s="18">
        <f>'[11]CoS 2017 Load History'!F131</f>
        <v>44219</v>
      </c>
      <c r="I93" s="39">
        <v>135.9197623313303</v>
      </c>
      <c r="J93" s="18">
        <v>319.92</v>
      </c>
      <c r="K93" s="18">
        <f t="shared" si="0"/>
        <v>25997433.564460102</v>
      </c>
      <c r="L93" s="9"/>
      <c r="M93" s="14"/>
      <c r="N93" s="40" t="s">
        <v>20</v>
      </c>
      <c r="O93" s="63">
        <v>943538.30900298967</v>
      </c>
    </row>
    <row r="94" spans="1:47" ht="13.5" thickBot="1">
      <c r="A94" s="34">
        <v>38930</v>
      </c>
      <c r="B94" s="94">
        <f>'[11]CoS 2017 Load History'!D132</f>
        <v>26097674.579999994</v>
      </c>
      <c r="C94" s="18">
        <f>'Weather Analysis - Thunder Bay'!Z15</f>
        <v>51.55</v>
      </c>
      <c r="D94" s="18">
        <f>'Weather Analysis - Thunder Bay'!Z35</f>
        <v>29.669999999999998</v>
      </c>
      <c r="E94" s="18">
        <v>31</v>
      </c>
      <c r="F94" s="18">
        <v>0</v>
      </c>
      <c r="G94" s="18">
        <f>'CDM Activity'!I26</f>
        <v>166477.45780975788</v>
      </c>
      <c r="H94" s="18">
        <f>'[11]CoS 2017 Load History'!F132</f>
        <v>44380</v>
      </c>
      <c r="I94" s="39">
        <v>136.19973478756879</v>
      </c>
      <c r="J94" s="18">
        <v>351.91199999999998</v>
      </c>
      <c r="K94" s="18">
        <f t="shared" si="0"/>
        <v>25696342.551912062</v>
      </c>
      <c r="L94" s="9"/>
      <c r="M94" s="14"/>
      <c r="N94" s="51" t="s">
        <v>21</v>
      </c>
      <c r="O94" s="51">
        <v>120</v>
      </c>
    </row>
    <row r="95" spans="1:47">
      <c r="A95" s="34">
        <v>38961</v>
      </c>
      <c r="B95" s="94">
        <f>'[11]CoS 2017 Load History'!D133</f>
        <v>25191336.769999918</v>
      </c>
      <c r="C95" s="18">
        <f>'Weather Analysis - Thunder Bay'!Z16</f>
        <v>176.97</v>
      </c>
      <c r="D95" s="18">
        <f>'Weather Analysis - Thunder Bay'!Z36</f>
        <v>5.05</v>
      </c>
      <c r="E95" s="18">
        <v>30</v>
      </c>
      <c r="F95" s="18">
        <v>1</v>
      </c>
      <c r="G95" s="18">
        <f>'CDM Activity'!I27</f>
        <v>187287.14003597762</v>
      </c>
      <c r="H95" s="18">
        <f>'[11]CoS 2017 Load History'!F133</f>
        <v>44567</v>
      </c>
      <c r="I95" s="39">
        <v>136.48028394122719</v>
      </c>
      <c r="J95" s="18">
        <v>319.68</v>
      </c>
      <c r="K95" s="18">
        <f t="shared" si="0"/>
        <v>24348845.607025914</v>
      </c>
      <c r="L95" s="9"/>
      <c r="M95" s="14"/>
    </row>
    <row r="96" spans="1:47" ht="13.5" thickBot="1">
      <c r="A96" s="34">
        <v>38991</v>
      </c>
      <c r="B96" s="94">
        <f>'[11]CoS 2017 Load History'!D134</f>
        <v>28029266.82999998</v>
      </c>
      <c r="C96" s="18">
        <f>'Weather Analysis - Thunder Bay'!Z17</f>
        <v>372.15</v>
      </c>
      <c r="D96" s="18">
        <f>'Weather Analysis - Thunder Bay'!Z37</f>
        <v>0.54</v>
      </c>
      <c r="E96" s="18">
        <v>31</v>
      </c>
      <c r="F96" s="18">
        <v>1</v>
      </c>
      <c r="G96" s="18">
        <f>'CDM Activity'!I28</f>
        <v>208096.82226219735</v>
      </c>
      <c r="H96" s="18">
        <f>'[11]CoS 2017 Load History'!F134</f>
        <v>44364</v>
      </c>
      <c r="I96" s="39">
        <v>136.76141098020776</v>
      </c>
      <c r="J96" s="18">
        <v>336.28800000000001</v>
      </c>
      <c r="K96" s="18">
        <f t="shared" si="0"/>
        <v>27711275.169534996</v>
      </c>
      <c r="L96" s="9"/>
      <c r="M96" s="14"/>
      <c r="N96" t="s">
        <v>22</v>
      </c>
    </row>
    <row r="97" spans="1:20">
      <c r="A97" s="34">
        <v>39022</v>
      </c>
      <c r="B97" s="94">
        <f>'[11]CoS 2017 Load History'!D135</f>
        <v>30314179.629999813</v>
      </c>
      <c r="C97" s="18">
        <f>'Weather Analysis - Thunder Bay'!Z18</f>
        <v>567.61000000000013</v>
      </c>
      <c r="D97" s="18">
        <f>'Weather Analysis - Thunder Bay'!Z38</f>
        <v>0</v>
      </c>
      <c r="E97" s="18">
        <v>30</v>
      </c>
      <c r="F97" s="18">
        <v>1</v>
      </c>
      <c r="G97" s="18">
        <f>'CDM Activity'!I29</f>
        <v>228906.50448841709</v>
      </c>
      <c r="H97" s="18">
        <f>'[11]CoS 2017 Load History'!F135</f>
        <v>44313</v>
      </c>
      <c r="I97" s="39">
        <v>137.04311709485967</v>
      </c>
      <c r="J97" s="18">
        <v>352.08</v>
      </c>
      <c r="K97" s="18">
        <f t="shared" si="0"/>
        <v>29285179.0378136</v>
      </c>
      <c r="L97" s="9"/>
      <c r="M97" s="14"/>
      <c r="N97" s="52"/>
      <c r="O97" s="52" t="s">
        <v>26</v>
      </c>
      <c r="P97" s="52" t="s">
        <v>27</v>
      </c>
      <c r="Q97" s="52" t="s">
        <v>28</v>
      </c>
      <c r="R97" s="52" t="s">
        <v>29</v>
      </c>
      <c r="S97" s="52" t="s">
        <v>30</v>
      </c>
    </row>
    <row r="98" spans="1:20">
      <c r="A98" s="34">
        <v>39052</v>
      </c>
      <c r="B98" s="94">
        <f>'[11]CoS 2017 Load History'!D136</f>
        <v>34399460.200000234</v>
      </c>
      <c r="C98" s="18">
        <f>'Weather Analysis - Thunder Bay'!Z19</f>
        <v>852.28999999999974</v>
      </c>
      <c r="D98" s="18">
        <f>'Weather Analysis - Thunder Bay'!Z39</f>
        <v>0</v>
      </c>
      <c r="E98" s="18">
        <v>31</v>
      </c>
      <c r="F98" s="18">
        <v>0</v>
      </c>
      <c r="G98" s="18">
        <f>'CDM Activity'!I30</f>
        <v>249716.18671463683</v>
      </c>
      <c r="H98" s="18">
        <f>'[11]CoS 2017 Load History'!F136</f>
        <v>44347</v>
      </c>
      <c r="I98" s="39">
        <v>137.32540347798411</v>
      </c>
      <c r="J98" s="18">
        <v>304.29599999999999</v>
      </c>
      <c r="K98" s="18">
        <f t="shared" si="0"/>
        <v>34975821.124700993</v>
      </c>
      <c r="L98" s="9"/>
      <c r="M98" s="14"/>
      <c r="N98" s="40" t="s">
        <v>23</v>
      </c>
      <c r="O98" s="40">
        <v>5</v>
      </c>
      <c r="P98" s="40">
        <v>2045970580686466</v>
      </c>
      <c r="Q98" s="40">
        <v>409194116137293.19</v>
      </c>
      <c r="R98" s="40">
        <v>459.63205035846539</v>
      </c>
      <c r="S98" s="40">
        <v>8.7044541237157318E-74</v>
      </c>
    </row>
    <row r="99" spans="1:20">
      <c r="A99" s="34">
        <v>39083</v>
      </c>
      <c r="B99" s="94">
        <f>'[11]CoS 2017 Load History'!D137</f>
        <v>36651750.410000287</v>
      </c>
      <c r="C99" s="18">
        <f>C87</f>
        <v>960.98000000000013</v>
      </c>
      <c r="D99" s="18">
        <f>D87</f>
        <v>0</v>
      </c>
      <c r="E99" s="18">
        <v>31</v>
      </c>
      <c r="F99" s="18">
        <v>0</v>
      </c>
      <c r="G99" s="18">
        <f>'CDM Activity'!I31</f>
        <v>270864.72934878524</v>
      </c>
      <c r="H99" s="18">
        <f>'[11]CoS 2017 Load History'!F137</f>
        <v>44296</v>
      </c>
      <c r="I99" s="39">
        <v>137.552207546647</v>
      </c>
      <c r="J99" s="18">
        <v>351.91199999999998</v>
      </c>
      <c r="K99" s="18">
        <f t="shared" si="0"/>
        <v>36393065.178120121</v>
      </c>
      <c r="L99" s="9"/>
      <c r="M99" s="14"/>
      <c r="N99" s="40" t="s">
        <v>24</v>
      </c>
      <c r="O99" s="40">
        <v>114</v>
      </c>
      <c r="P99" s="40">
        <v>101490157623409.23</v>
      </c>
      <c r="Q99" s="40">
        <v>890264540556.22131</v>
      </c>
      <c r="R99" s="40"/>
      <c r="S99" s="40"/>
    </row>
    <row r="100" spans="1:20" ht="13.5" thickBot="1">
      <c r="A100" s="34">
        <v>39114</v>
      </c>
      <c r="B100" s="94">
        <f>'[11]CoS 2017 Load History'!D138</f>
        <v>32943660.569999944</v>
      </c>
      <c r="C100" s="18">
        <f t="shared" ref="C100:D100" si="1">C88</f>
        <v>875.5899999999998</v>
      </c>
      <c r="D100" s="18">
        <f t="shared" si="1"/>
        <v>0</v>
      </c>
      <c r="E100" s="18">
        <v>28</v>
      </c>
      <c r="F100" s="18">
        <v>0</v>
      </c>
      <c r="G100" s="18">
        <f>'CDM Activity'!I32</f>
        <v>292013.27198293363</v>
      </c>
      <c r="H100" s="18">
        <f>'[11]CoS 2017 Load History'!F138</f>
        <v>44278</v>
      </c>
      <c r="I100" s="39">
        <v>137.77938620066888</v>
      </c>
      <c r="J100" s="18">
        <v>319.87200000000001</v>
      </c>
      <c r="K100" s="18">
        <f t="shared" si="0"/>
        <v>32262226.533232156</v>
      </c>
      <c r="L100" s="9"/>
      <c r="M100" s="14"/>
      <c r="N100" s="51" t="s">
        <v>5</v>
      </c>
      <c r="O100" s="51">
        <v>119</v>
      </c>
      <c r="P100" s="51">
        <v>2147460738309875.2</v>
      </c>
      <c r="Q100" s="51"/>
      <c r="R100" s="51"/>
      <c r="S100" s="51"/>
    </row>
    <row r="101" spans="1:20" ht="13.5" thickBot="1">
      <c r="A101" s="34">
        <v>39142</v>
      </c>
      <c r="B101" s="94">
        <f>'[11]CoS 2017 Load History'!D139</f>
        <v>32857535.92000011</v>
      </c>
      <c r="C101" s="18">
        <f t="shared" ref="C101:D101" si="2">C89</f>
        <v>702.91</v>
      </c>
      <c r="D101" s="18">
        <f t="shared" si="2"/>
        <v>0</v>
      </c>
      <c r="E101" s="18">
        <v>31</v>
      </c>
      <c r="F101" s="18">
        <v>1</v>
      </c>
      <c r="G101" s="18">
        <f>'CDM Activity'!I33</f>
        <v>313161.81461708201</v>
      </c>
      <c r="H101" s="18">
        <f>'[11]CoS 2017 Load History'!F139</f>
        <v>44348</v>
      </c>
      <c r="I101" s="39">
        <v>138.00694005870795</v>
      </c>
      <c r="J101" s="18">
        <v>351.91199999999998</v>
      </c>
      <c r="K101" s="18">
        <f t="shared" si="0"/>
        <v>31926039.163905323</v>
      </c>
      <c r="L101" s="9"/>
      <c r="M101" s="14"/>
    </row>
    <row r="102" spans="1:20">
      <c r="A102" s="34">
        <v>39173</v>
      </c>
      <c r="B102" s="94">
        <f>'[11]CoS 2017 Load History'!D140</f>
        <v>27092407.240000095</v>
      </c>
      <c r="C102" s="18">
        <f t="shared" ref="C102:D102" si="3">C90</f>
        <v>450.5200000000001</v>
      </c>
      <c r="D102" s="18">
        <f t="shared" si="3"/>
        <v>0</v>
      </c>
      <c r="E102" s="18">
        <v>30</v>
      </c>
      <c r="F102" s="18">
        <v>1</v>
      </c>
      <c r="G102" s="18">
        <f>'CDM Activity'!I34</f>
        <v>334310.35725123039</v>
      </c>
      <c r="H102" s="18">
        <f>'[11]CoS 2017 Load History'!F140</f>
        <v>44296</v>
      </c>
      <c r="I102" s="39">
        <v>138.23486974044414</v>
      </c>
      <c r="J102" s="18">
        <v>319.68</v>
      </c>
      <c r="K102" s="18">
        <f t="shared" si="0"/>
        <v>27523608.234949995</v>
      </c>
      <c r="L102" s="9"/>
      <c r="M102" s="14"/>
      <c r="N102" s="52"/>
      <c r="O102" s="52" t="s">
        <v>31</v>
      </c>
      <c r="P102" s="52" t="s">
        <v>20</v>
      </c>
      <c r="Q102" s="52" t="s">
        <v>32</v>
      </c>
      <c r="R102" s="52" t="s">
        <v>33</v>
      </c>
      <c r="S102" s="52" t="s">
        <v>34</v>
      </c>
      <c r="T102" s="52" t="s">
        <v>35</v>
      </c>
    </row>
    <row r="103" spans="1:20">
      <c r="A103" s="34">
        <v>39203</v>
      </c>
      <c r="B103" s="94">
        <f>'[11]CoS 2017 Load History'!D141</f>
        <v>25115209.089999869</v>
      </c>
      <c r="C103" s="18">
        <f t="shared" ref="C103:D103" si="4">C91</f>
        <v>271.46000000000004</v>
      </c>
      <c r="D103" s="18">
        <f t="shared" si="4"/>
        <v>0.47000000000000003</v>
      </c>
      <c r="E103" s="18">
        <v>31</v>
      </c>
      <c r="F103" s="18">
        <v>1</v>
      </c>
      <c r="G103" s="18">
        <f>'CDM Activity'!I35</f>
        <v>355458.89988537878</v>
      </c>
      <c r="H103" s="18">
        <f>'[11]CoS 2017 Load History'!F141</f>
        <v>44412</v>
      </c>
      <c r="I103" s="39">
        <v>138.46317586658083</v>
      </c>
      <c r="J103" s="18">
        <v>351.91199999999998</v>
      </c>
      <c r="K103" s="18">
        <f t="shared" si="0"/>
        <v>26089486.271230776</v>
      </c>
      <c r="L103" s="9"/>
      <c r="M103" s="14"/>
      <c r="N103" s="40" t="s">
        <v>25</v>
      </c>
      <c r="O103" s="63">
        <v>-6448974.2895362955</v>
      </c>
      <c r="P103" s="63">
        <v>3324444.7104360289</v>
      </c>
      <c r="Q103" s="54">
        <v>-1.9398651056796965</v>
      </c>
      <c r="R103" s="40">
        <v>5.4866339121335365E-2</v>
      </c>
      <c r="S103" s="63">
        <v>-13034673.655956656</v>
      </c>
      <c r="T103" s="63">
        <v>136725.07688406482</v>
      </c>
    </row>
    <row r="104" spans="1:20">
      <c r="A104" s="34">
        <v>39234</v>
      </c>
      <c r="B104" s="94">
        <f>'[11]CoS 2017 Load History'!D142</f>
        <v>23534586.620000288</v>
      </c>
      <c r="C104" s="18">
        <f t="shared" ref="C104:D104" si="5">C92</f>
        <v>109.59</v>
      </c>
      <c r="D104" s="18">
        <f t="shared" si="5"/>
        <v>6.7</v>
      </c>
      <c r="E104" s="18">
        <v>30</v>
      </c>
      <c r="F104" s="18">
        <v>0</v>
      </c>
      <c r="G104" s="18">
        <f>'CDM Activity'!I36</f>
        <v>376607.44251952716</v>
      </c>
      <c r="H104" s="18">
        <f>'[11]CoS 2017 Load History'!F142</f>
        <v>44550</v>
      </c>
      <c r="I104" s="39">
        <v>138.69185905884657</v>
      </c>
      <c r="J104" s="18">
        <v>336.24</v>
      </c>
      <c r="K104" s="18">
        <f t="shared" si="0"/>
        <v>24103977.740785655</v>
      </c>
      <c r="L104" s="9"/>
      <c r="M104" s="14"/>
      <c r="N104" s="40" t="s">
        <v>1</v>
      </c>
      <c r="O104" s="63">
        <v>13395.724333996457</v>
      </c>
      <c r="P104" s="63">
        <v>341.52399433290111</v>
      </c>
      <c r="Q104" s="54">
        <v>39.223376852810382</v>
      </c>
      <c r="R104" s="40">
        <v>4.9853246099152811E-68</v>
      </c>
      <c r="S104" s="63">
        <v>12719.167931649028</v>
      </c>
      <c r="T104" s="63">
        <v>14072.280736343886</v>
      </c>
    </row>
    <row r="105" spans="1:20">
      <c r="A105" s="34">
        <v>39264</v>
      </c>
      <c r="B105" s="94">
        <f>'[11]CoS 2017 Load History'!D143</f>
        <v>25046931.960000161</v>
      </c>
      <c r="C105" s="18">
        <f t="shared" ref="C105:D105" si="6">C93</f>
        <v>36.33</v>
      </c>
      <c r="D105" s="18">
        <f t="shared" si="6"/>
        <v>40.369999999999997</v>
      </c>
      <c r="E105" s="18">
        <v>31</v>
      </c>
      <c r="F105" s="18">
        <v>0</v>
      </c>
      <c r="G105" s="18">
        <f>'CDM Activity'!I37</f>
        <v>397755.98515367555</v>
      </c>
      <c r="H105" s="18">
        <f>'[11]CoS 2017 Load History'!F143</f>
        <v>44365</v>
      </c>
      <c r="I105" s="39">
        <v>138.92091993999671</v>
      </c>
      <c r="J105" s="18">
        <v>336.28800000000001</v>
      </c>
      <c r="K105" s="18">
        <f t="shared" si="0"/>
        <v>25535690.279238597</v>
      </c>
      <c r="L105" s="9"/>
      <c r="M105" s="14"/>
      <c r="N105" s="40" t="s">
        <v>2</v>
      </c>
      <c r="O105" s="63">
        <v>43631.532157690701</v>
      </c>
      <c r="P105" s="63">
        <v>8222.9868642243855</v>
      </c>
      <c r="Q105" s="54">
        <v>5.3060442486558861</v>
      </c>
      <c r="R105" s="40">
        <v>5.5769314631085092E-7</v>
      </c>
      <c r="S105" s="63">
        <v>27341.858513305528</v>
      </c>
      <c r="T105" s="63">
        <v>59921.20580207587</v>
      </c>
    </row>
    <row r="106" spans="1:20">
      <c r="A106" s="34">
        <v>39295</v>
      </c>
      <c r="B106" s="94">
        <f>'[11]CoS 2017 Load History'!D144</f>
        <v>25330023.870000076</v>
      </c>
      <c r="C106" s="18">
        <f t="shared" ref="C106:D106" si="7">C94</f>
        <v>51.55</v>
      </c>
      <c r="D106" s="18">
        <f t="shared" si="7"/>
        <v>29.669999999999998</v>
      </c>
      <c r="E106" s="18">
        <v>31</v>
      </c>
      <c r="F106" s="18">
        <v>0</v>
      </c>
      <c r="G106" s="18">
        <f>'CDM Activity'!I38</f>
        <v>418904.52778782393</v>
      </c>
      <c r="H106" s="18">
        <f>'[11]CoS 2017 Load History'!F144</f>
        <v>44440</v>
      </c>
      <c r="I106" s="39">
        <v>139.15035913381516</v>
      </c>
      <c r="J106" s="18">
        <v>351.91199999999998</v>
      </c>
      <c r="K106" s="18">
        <f t="shared" si="0"/>
        <v>25233978.585071784</v>
      </c>
      <c r="L106" s="9"/>
      <c r="M106" s="14"/>
      <c r="N106" s="40" t="s">
        <v>3</v>
      </c>
      <c r="O106" s="63">
        <v>982746.83985501854</v>
      </c>
      <c r="P106" s="63">
        <v>109789.14480644565</v>
      </c>
      <c r="Q106" s="54">
        <v>8.9512204652615353</v>
      </c>
      <c r="R106" s="40">
        <v>7.6301585607521043E-15</v>
      </c>
      <c r="S106" s="63">
        <v>765255.38959209342</v>
      </c>
      <c r="T106" s="63">
        <v>1200238.2901179437</v>
      </c>
    </row>
    <row r="107" spans="1:20">
      <c r="A107" s="34">
        <v>39326</v>
      </c>
      <c r="B107" s="94">
        <f>'[11]CoS 2017 Load History'!D145</f>
        <v>24758256.469999984</v>
      </c>
      <c r="C107" s="18">
        <f t="shared" ref="C107:D107" si="8">C95</f>
        <v>176.97</v>
      </c>
      <c r="D107" s="18">
        <f t="shared" si="8"/>
        <v>5.05</v>
      </c>
      <c r="E107" s="18">
        <v>30</v>
      </c>
      <c r="F107" s="18">
        <v>1</v>
      </c>
      <c r="G107" s="18">
        <f>'CDM Activity'!I39</f>
        <v>440053.07042197231</v>
      </c>
      <c r="H107" s="18">
        <f>'[11]CoS 2017 Load History'!F145</f>
        <v>44418</v>
      </c>
      <c r="I107" s="39">
        <v>139.38017726511606</v>
      </c>
      <c r="J107" s="18">
        <v>303.83999999999997</v>
      </c>
      <c r="K107" s="18">
        <f t="shared" si="0"/>
        <v>23885860.958566871</v>
      </c>
      <c r="L107" s="9"/>
      <c r="M107" s="14"/>
      <c r="N107" s="40" t="s">
        <v>14</v>
      </c>
      <c r="O107" s="63">
        <v>-932516.98645444028</v>
      </c>
      <c r="P107" s="63">
        <v>206265.09153429646</v>
      </c>
      <c r="Q107" s="54">
        <v>-4.5209636760051914</v>
      </c>
      <c r="R107" s="40">
        <v>1.514709165667637E-5</v>
      </c>
      <c r="S107" s="63">
        <v>-1341126.5441251672</v>
      </c>
      <c r="T107" s="63">
        <v>-523907.42878371332</v>
      </c>
    </row>
    <row r="108" spans="1:20" ht="13.5" thickBot="1">
      <c r="A108" s="34">
        <v>39356</v>
      </c>
      <c r="B108" s="94">
        <f>'[11]CoS 2017 Load History'!D146</f>
        <v>27656765.080000009</v>
      </c>
      <c r="C108" s="18">
        <f t="shared" ref="C108:D108" si="9">C96</f>
        <v>372.15</v>
      </c>
      <c r="D108" s="18">
        <f t="shared" si="9"/>
        <v>0.54</v>
      </c>
      <c r="E108" s="18">
        <v>31</v>
      </c>
      <c r="F108" s="18">
        <v>1</v>
      </c>
      <c r="G108" s="18">
        <f>'CDM Activity'!I40</f>
        <v>461201.6130561207</v>
      </c>
      <c r="H108" s="18">
        <f>'[11]CoS 2017 Load History'!F146</f>
        <v>44489</v>
      </c>
      <c r="I108" s="39">
        <v>139.61037495974546</v>
      </c>
      <c r="J108" s="18">
        <v>351.91199999999998</v>
      </c>
      <c r="K108" s="18">
        <f t="shared" si="0"/>
        <v>27247669.839457184</v>
      </c>
      <c r="L108" s="9"/>
      <c r="M108" s="14"/>
      <c r="N108" s="51" t="s">
        <v>56</v>
      </c>
      <c r="O108" s="55">
        <v>-1.8316734686198752</v>
      </c>
      <c r="P108" s="55">
        <v>0.45910427243805313</v>
      </c>
      <c r="Q108" s="55">
        <v>-3.9896676606663961</v>
      </c>
      <c r="R108" s="51">
        <v>1.1731300042504073E-4</v>
      </c>
      <c r="S108" s="55">
        <v>-2.7411554962874694</v>
      </c>
      <c r="T108" s="55">
        <v>-0.92219144095228123</v>
      </c>
    </row>
    <row r="109" spans="1:20">
      <c r="A109" s="34">
        <v>39387</v>
      </c>
      <c r="B109" s="94">
        <f>'[11]CoS 2017 Load History'!D147</f>
        <v>30856187.839999899</v>
      </c>
      <c r="C109" s="18">
        <f t="shared" ref="C109:D109" si="10">C97</f>
        <v>567.61000000000013</v>
      </c>
      <c r="D109" s="18">
        <f t="shared" si="10"/>
        <v>0</v>
      </c>
      <c r="E109" s="18">
        <v>30</v>
      </c>
      <c r="F109" s="18">
        <v>1</v>
      </c>
      <c r="G109" s="18">
        <f>'CDM Activity'!I41</f>
        <v>482350.15569026908</v>
      </c>
      <c r="H109" s="18">
        <f>'[11]CoS 2017 Load History'!F147</f>
        <v>44459</v>
      </c>
      <c r="I109" s="39">
        <v>139.84095284458306</v>
      </c>
      <c r="J109" s="18">
        <v>352.08</v>
      </c>
      <c r="K109" s="18">
        <f t="shared" si="0"/>
        <v>28820953.026117019</v>
      </c>
      <c r="L109" s="9"/>
      <c r="M109" s="14"/>
    </row>
    <row r="110" spans="1:20">
      <c r="A110" s="34">
        <v>39417</v>
      </c>
      <c r="B110" s="94">
        <f>'[11]CoS 2017 Load History'!D148</f>
        <v>35513367.18000026</v>
      </c>
      <c r="C110" s="18">
        <f t="shared" ref="C110:D110" si="11">C98</f>
        <v>852.28999999999974</v>
      </c>
      <c r="D110" s="18">
        <f t="shared" si="11"/>
        <v>0</v>
      </c>
      <c r="E110" s="18">
        <v>31</v>
      </c>
      <c r="F110" s="18">
        <v>0</v>
      </c>
      <c r="G110" s="18">
        <f>'CDM Activity'!I42</f>
        <v>503498.69832441746</v>
      </c>
      <c r="H110" s="18">
        <f>'[11]CoS 2017 Load History'!F148</f>
        <v>44312</v>
      </c>
      <c r="I110" s="39">
        <v>140.07191154754381</v>
      </c>
      <c r="J110" s="18">
        <v>304.29599999999999</v>
      </c>
      <c r="K110" s="18">
        <f t="shared" si="0"/>
        <v>34510974.431385644</v>
      </c>
      <c r="L110" s="9"/>
      <c r="M110" s="14"/>
    </row>
    <row r="111" spans="1:20">
      <c r="A111" s="34">
        <v>39448</v>
      </c>
      <c r="B111" s="94">
        <f>'[11]CoS 2017 Load History'!D149</f>
        <v>36959741.449999802</v>
      </c>
      <c r="C111" s="18">
        <f t="shared" ref="C111:D111" si="12">C99</f>
        <v>960.98000000000013</v>
      </c>
      <c r="D111" s="18">
        <f t="shared" si="12"/>
        <v>0</v>
      </c>
      <c r="E111" s="18">
        <v>31</v>
      </c>
      <c r="F111" s="18">
        <v>0</v>
      </c>
      <c r="G111" s="18">
        <f>'CDM Activity'!I43</f>
        <v>513423.64228246541</v>
      </c>
      <c r="H111" s="18">
        <f>'[11]CoS 2017 Load History'!F149</f>
        <v>44333</v>
      </c>
      <c r="I111" s="37">
        <v>139.96642175819056</v>
      </c>
      <c r="J111" s="24">
        <v>352</v>
      </c>
      <c r="K111" s="18">
        <f t="shared" si="0"/>
        <v>35948776.452722222</v>
      </c>
      <c r="L111" s="9"/>
    </row>
    <row r="112" spans="1:20">
      <c r="A112" s="34">
        <v>39479</v>
      </c>
      <c r="B112" s="94">
        <f>'[11]CoS 2017 Load History'!D150</f>
        <v>33315884.939999737</v>
      </c>
      <c r="C112" s="18">
        <f t="shared" ref="C112:D112" si="13">C100</f>
        <v>875.5899999999998</v>
      </c>
      <c r="D112" s="18">
        <f t="shared" si="13"/>
        <v>0</v>
      </c>
      <c r="E112" s="18">
        <v>29</v>
      </c>
      <c r="F112" s="18">
        <v>0</v>
      </c>
      <c r="G112" s="18">
        <f>'CDM Activity'!I44</f>
        <v>523348.58624051337</v>
      </c>
      <c r="H112" s="18">
        <f>'[11]CoS 2017 Load History'!F150</f>
        <v>44401</v>
      </c>
      <c r="I112" s="37">
        <v>139.86101141442734</v>
      </c>
      <c r="J112" s="24">
        <v>320</v>
      </c>
      <c r="K112" s="18">
        <f t="shared" si="0"/>
        <v>32821242.615606725</v>
      </c>
      <c r="L112" s="9"/>
    </row>
    <row r="113" spans="1:13">
      <c r="A113" s="34">
        <v>39508</v>
      </c>
      <c r="B113" s="94">
        <f>'[11]CoS 2017 Load History'!D151</f>
        <v>32204211.009999871</v>
      </c>
      <c r="C113" s="18">
        <f t="shared" ref="C113:D113" si="14">C101</f>
        <v>702.91</v>
      </c>
      <c r="D113" s="18">
        <f t="shared" si="14"/>
        <v>0</v>
      </c>
      <c r="E113" s="18">
        <v>31</v>
      </c>
      <c r="F113" s="18">
        <v>1</v>
      </c>
      <c r="G113" s="18">
        <f>'CDM Activity'!I45</f>
        <v>533273.53019856126</v>
      </c>
      <c r="H113" s="18">
        <f>'[11]CoS 2017 Load History'!F151</f>
        <v>44333</v>
      </c>
      <c r="I113" s="37">
        <v>139.75568045642274</v>
      </c>
      <c r="J113" s="24">
        <v>304</v>
      </c>
      <c r="K113" s="18">
        <f t="shared" si="0"/>
        <v>31522866.374342322</v>
      </c>
      <c r="L113" s="9"/>
    </row>
    <row r="114" spans="1:13">
      <c r="A114" s="34">
        <v>39539</v>
      </c>
      <c r="B114" s="94">
        <f>'[11]CoS 2017 Load History'!D152</f>
        <v>27546470.049999915</v>
      </c>
      <c r="C114" s="18">
        <f t="shared" ref="C114:D114" si="15">C102</f>
        <v>450.5200000000001</v>
      </c>
      <c r="D114" s="18">
        <f t="shared" si="15"/>
        <v>0</v>
      </c>
      <c r="E114" s="18">
        <v>30</v>
      </c>
      <c r="F114" s="18">
        <v>1</v>
      </c>
      <c r="G114" s="18">
        <f>'CDM Activity'!I46</f>
        <v>543198.47415660915</v>
      </c>
      <c r="H114" s="18">
        <f>'[11]CoS 2017 Load History'!F152</f>
        <v>44453</v>
      </c>
      <c r="I114" s="37">
        <v>139.65042882439042</v>
      </c>
      <c r="J114" s="24">
        <v>352</v>
      </c>
      <c r="K114" s="18">
        <f t="shared" si="0"/>
        <v>27140993.413304448</v>
      </c>
      <c r="L114" s="9"/>
    </row>
    <row r="115" spans="1:13">
      <c r="A115" s="34">
        <v>39569</v>
      </c>
      <c r="B115" s="94">
        <f>'[11]CoS 2017 Load History'!D153</f>
        <v>25811018.169999894</v>
      </c>
      <c r="C115" s="18">
        <f t="shared" ref="C115:D115" si="16">C103</f>
        <v>271.46000000000004</v>
      </c>
      <c r="D115" s="18">
        <f t="shared" si="16"/>
        <v>0.47000000000000003</v>
      </c>
      <c r="E115" s="18">
        <v>31</v>
      </c>
      <c r="F115" s="18">
        <v>1</v>
      </c>
      <c r="G115" s="18">
        <f>'CDM Activity'!I47</f>
        <v>553123.41811465705</v>
      </c>
      <c r="H115" s="18">
        <f>'[11]CoS 2017 Load History'!F153</f>
        <v>44678</v>
      </c>
      <c r="I115" s="37">
        <v>139.54525645858905</v>
      </c>
      <c r="J115" s="24">
        <v>336</v>
      </c>
      <c r="K115" s="18">
        <f t="shared" si="0"/>
        <v>25727429.417502675</v>
      </c>
      <c r="L115" s="9"/>
    </row>
    <row r="116" spans="1:13">
      <c r="A116" s="34">
        <v>39600</v>
      </c>
      <c r="B116" s="94">
        <f>'[11]CoS 2017 Load History'!D154</f>
        <v>23670990.890000027</v>
      </c>
      <c r="C116" s="18">
        <f t="shared" ref="C116:D116" si="17">C104</f>
        <v>109.59</v>
      </c>
      <c r="D116" s="18">
        <f t="shared" si="17"/>
        <v>6.7</v>
      </c>
      <c r="E116" s="18">
        <v>30</v>
      </c>
      <c r="F116" s="18">
        <v>0</v>
      </c>
      <c r="G116" s="18">
        <f>'CDM Activity'!I48</f>
        <v>563048.36207270494</v>
      </c>
      <c r="H116" s="18">
        <f>'[11]CoS 2017 Load History'!F154</f>
        <v>44475</v>
      </c>
      <c r="I116" s="37">
        <v>139.44016329932234</v>
      </c>
      <c r="J116" s="24">
        <v>336</v>
      </c>
      <c r="K116" s="18">
        <f t="shared" si="0"/>
        <v>23762478.854975007</v>
      </c>
      <c r="L116" s="9"/>
    </row>
    <row r="117" spans="1:13">
      <c r="A117" s="34">
        <v>39630</v>
      </c>
      <c r="B117" s="94">
        <f>'[11]CoS 2017 Load History'!D155</f>
        <v>24760370.830000084</v>
      </c>
      <c r="C117" s="18">
        <f t="shared" ref="C117:D117" si="18">C105</f>
        <v>36.33</v>
      </c>
      <c r="D117" s="18">
        <f t="shared" si="18"/>
        <v>40.369999999999997</v>
      </c>
      <c r="E117" s="18">
        <v>31</v>
      </c>
      <c r="F117" s="18">
        <v>0</v>
      </c>
      <c r="G117" s="18">
        <f>'CDM Activity'!I49</f>
        <v>572973.30603075284</v>
      </c>
      <c r="H117" s="18">
        <f>'[11]CoS 2017 Load History'!F155</f>
        <v>44447</v>
      </c>
      <c r="I117" s="37">
        <v>139.3351492869389</v>
      </c>
      <c r="J117" s="24">
        <v>352</v>
      </c>
      <c r="K117" s="18">
        <f t="shared" si="0"/>
        <v>25214749.361345399</v>
      </c>
      <c r="L117" s="9"/>
    </row>
    <row r="118" spans="1:13">
      <c r="A118" s="34">
        <v>39661</v>
      </c>
      <c r="B118" s="94">
        <f>'[11]CoS 2017 Load History'!D156</f>
        <v>25074714.10000005</v>
      </c>
      <c r="C118" s="18">
        <f t="shared" ref="C118:D118" si="19">C106</f>
        <v>51.55</v>
      </c>
      <c r="D118" s="18">
        <f t="shared" si="19"/>
        <v>29.669999999999998</v>
      </c>
      <c r="E118" s="18">
        <v>31</v>
      </c>
      <c r="F118" s="18">
        <v>0</v>
      </c>
      <c r="G118" s="18">
        <f>'CDM Activity'!I50</f>
        <v>582898.24998880073</v>
      </c>
      <c r="H118" s="18">
        <f>'[11]CoS 2017 Load History'!F156</f>
        <v>44683</v>
      </c>
      <c r="I118" s="37">
        <v>139.23021436183228</v>
      </c>
      <c r="J118" s="24">
        <v>320</v>
      </c>
      <c r="K118" s="18">
        <f t="shared" si="0"/>
        <v>24933595.635096036</v>
      </c>
      <c r="L118" s="9"/>
    </row>
    <row r="119" spans="1:13">
      <c r="A119" s="34">
        <v>39692</v>
      </c>
      <c r="B119" s="94">
        <f>'[11]CoS 2017 Load History'!D157</f>
        <v>24527138.439999893</v>
      </c>
      <c r="C119" s="18">
        <f t="shared" ref="C119:D119" si="20">C107</f>
        <v>176.97</v>
      </c>
      <c r="D119" s="18">
        <f t="shared" si="20"/>
        <v>5.05</v>
      </c>
      <c r="E119" s="18">
        <v>30</v>
      </c>
      <c r="F119" s="18">
        <v>1</v>
      </c>
      <c r="G119" s="18">
        <f>'CDM Activity'!I51</f>
        <v>592823.19394684862</v>
      </c>
      <c r="H119" s="18">
        <f>'[11]CoS 2017 Load History'!F157</f>
        <v>44620</v>
      </c>
      <c r="I119" s="37">
        <v>139.12535846444095</v>
      </c>
      <c r="J119" s="24">
        <v>336</v>
      </c>
      <c r="K119" s="18">
        <f t="shared" si="0"/>
        <v>23606035.976508573</v>
      </c>
      <c r="L119" s="9"/>
    </row>
    <row r="120" spans="1:13">
      <c r="A120" s="34">
        <v>39722</v>
      </c>
      <c r="B120" s="94">
        <f>'[11]CoS 2017 Load History'!D158</f>
        <v>27463878.839999922</v>
      </c>
      <c r="C120" s="18">
        <f t="shared" ref="C120:D120" si="21">C108</f>
        <v>372.15</v>
      </c>
      <c r="D120" s="18">
        <f t="shared" si="21"/>
        <v>0.54</v>
      </c>
      <c r="E120" s="18">
        <v>31</v>
      </c>
      <c r="F120" s="18">
        <v>1</v>
      </c>
      <c r="G120" s="18">
        <f>'CDM Activity'!I52</f>
        <v>602748.13790489652</v>
      </c>
      <c r="H120" s="18">
        <f>'[11]CoS 2017 Load History'!F158</f>
        <v>44594</v>
      </c>
      <c r="I120" s="37">
        <v>139.02058153524823</v>
      </c>
      <c r="J120" s="24">
        <v>352</v>
      </c>
      <c r="K120" s="18">
        <f t="shared" si="0"/>
        <v>26988402.82531634</v>
      </c>
      <c r="L120" s="9"/>
    </row>
    <row r="121" spans="1:13">
      <c r="A121" s="34">
        <v>39753</v>
      </c>
      <c r="B121" s="94">
        <f>'[11]CoS 2017 Load History'!D159</f>
        <v>31251337.249999966</v>
      </c>
      <c r="C121" s="18">
        <f t="shared" ref="C121:D121" si="22">C109</f>
        <v>567.61000000000013</v>
      </c>
      <c r="D121" s="18">
        <f t="shared" si="22"/>
        <v>0</v>
      </c>
      <c r="E121" s="18">
        <v>30</v>
      </c>
      <c r="F121" s="18">
        <v>1</v>
      </c>
      <c r="G121" s="18">
        <f>'CDM Activity'!I53</f>
        <v>612673.08186294441</v>
      </c>
      <c r="H121" s="18">
        <f>'[11]CoS 2017 Load History'!F159</f>
        <v>44809</v>
      </c>
      <c r="I121" s="37">
        <v>138.91588351478222</v>
      </c>
      <c r="J121" s="24">
        <v>304</v>
      </c>
      <c r="K121" s="18">
        <f t="shared" si="0"/>
        <v>28582243.979893621</v>
      </c>
      <c r="L121" s="9"/>
    </row>
    <row r="122" spans="1:13">
      <c r="A122" s="34">
        <v>39783</v>
      </c>
      <c r="B122" s="94">
        <f>'[11]CoS 2017 Load History'!D160</f>
        <v>37054439.399999842</v>
      </c>
      <c r="C122" s="18">
        <f t="shared" ref="C122:D122" si="23">C110</f>
        <v>852.28999999999974</v>
      </c>
      <c r="D122" s="18">
        <f t="shared" si="23"/>
        <v>0</v>
      </c>
      <c r="E122" s="18">
        <v>31</v>
      </c>
      <c r="F122" s="18">
        <v>0</v>
      </c>
      <c r="G122" s="18">
        <f>'CDM Activity'!I54</f>
        <v>622598.0258209923</v>
      </c>
      <c r="H122" s="18">
        <f>'[11]CoS 2017 Load History'!F160</f>
        <v>44624</v>
      </c>
      <c r="I122" s="37">
        <v>138.8112643436159</v>
      </c>
      <c r="J122" s="24">
        <v>336</v>
      </c>
      <c r="K122" s="18">
        <f t="shared" si="0"/>
        <v>34292823.353079692</v>
      </c>
      <c r="L122" s="9"/>
      <c r="M122" s="24"/>
    </row>
    <row r="123" spans="1:13">
      <c r="A123" s="34">
        <v>39814</v>
      </c>
      <c r="B123" s="94">
        <f>'[11]CoS 2017 Load History'!D161</f>
        <v>38386142.999999948</v>
      </c>
      <c r="C123" s="18">
        <f t="shared" ref="C123:D123" si="24">C111</f>
        <v>960.98000000000013</v>
      </c>
      <c r="D123" s="18">
        <f t="shared" si="24"/>
        <v>0</v>
      </c>
      <c r="E123" s="18">
        <v>31</v>
      </c>
      <c r="F123" s="18">
        <v>0</v>
      </c>
      <c r="G123" s="18">
        <f>'CDM Activity'!I55</f>
        <v>632742.12409511243</v>
      </c>
      <c r="H123" s="18">
        <f>'[11]CoS 2017 Load History'!F161</f>
        <v>44558</v>
      </c>
      <c r="I123" s="37">
        <v>138.38779708736809</v>
      </c>
      <c r="J123" s="24">
        <v>336</v>
      </c>
      <c r="K123" s="18">
        <f t="shared" si="0"/>
        <v>35730223.955269992</v>
      </c>
      <c r="L123" s="9"/>
    </row>
    <row r="124" spans="1:13">
      <c r="A124" s="34">
        <v>39845</v>
      </c>
      <c r="B124" s="94">
        <f>'[11]CoS 2017 Load History'!D162</f>
        <v>32364264.230000056</v>
      </c>
      <c r="C124" s="18">
        <f t="shared" ref="C124:D124" si="25">C112</f>
        <v>875.5899999999998</v>
      </c>
      <c r="D124" s="18">
        <f t="shared" si="25"/>
        <v>0</v>
      </c>
      <c r="E124" s="18">
        <v>28</v>
      </c>
      <c r="F124" s="18">
        <v>0</v>
      </c>
      <c r="G124" s="18">
        <f>'CDM Activity'!I56</f>
        <v>642886.22236923256</v>
      </c>
      <c r="H124" s="18">
        <f>'[11]CoS 2017 Load History'!F162</f>
        <v>44533</v>
      </c>
      <c r="I124" s="37">
        <v>137.965621689659</v>
      </c>
      <c r="J124" s="24">
        <v>304</v>
      </c>
      <c r="K124" s="18">
        <f t="shared" si="0"/>
        <v>31619541.859153196</v>
      </c>
      <c r="L124" s="9"/>
    </row>
    <row r="125" spans="1:13">
      <c r="A125" s="34">
        <v>39873</v>
      </c>
      <c r="B125" s="94">
        <f>'[11]CoS 2017 Load History'!D163</f>
        <v>32111110.449999887</v>
      </c>
      <c r="C125" s="18">
        <f t="shared" ref="C125:D125" si="26">C113</f>
        <v>702.91</v>
      </c>
      <c r="D125" s="18">
        <f t="shared" si="26"/>
        <v>0</v>
      </c>
      <c r="E125" s="18">
        <v>31</v>
      </c>
      <c r="F125" s="18">
        <v>1</v>
      </c>
      <c r="G125" s="18">
        <f>'CDM Activity'!I57</f>
        <v>653030.32064335269</v>
      </c>
      <c r="H125" s="18">
        <f>'[11]CoS 2017 Load History'!F163</f>
        <v>44479</v>
      </c>
      <c r="I125" s="37">
        <v>137.54473420945553</v>
      </c>
      <c r="J125" s="24">
        <v>352</v>
      </c>
      <c r="K125" s="18">
        <f t="shared" si="0"/>
        <v>31303511.038597528</v>
      </c>
      <c r="L125" s="9"/>
    </row>
    <row r="126" spans="1:13">
      <c r="A126" s="34">
        <v>39904</v>
      </c>
      <c r="B126" s="94">
        <f>'[11]CoS 2017 Load History'!D164</f>
        <v>27582319.489999644</v>
      </c>
      <c r="C126" s="18">
        <f t="shared" ref="C126:D126" si="27">C114</f>
        <v>450.5200000000001</v>
      </c>
      <c r="D126" s="18">
        <f t="shared" si="27"/>
        <v>0</v>
      </c>
      <c r="E126" s="18">
        <v>30</v>
      </c>
      <c r="F126" s="18">
        <v>1</v>
      </c>
      <c r="G126" s="18">
        <f>'CDM Activity'!I58</f>
        <v>663174.41891747282</v>
      </c>
      <c r="H126" s="18">
        <f>'[11]CoS 2017 Load History'!F164</f>
        <v>44545</v>
      </c>
      <c r="I126" s="37">
        <v>137.12513071774731</v>
      </c>
      <c r="J126" s="24">
        <v>320</v>
      </c>
      <c r="K126" s="18">
        <f t="shared" si="0"/>
        <v>26921236.658413369</v>
      </c>
      <c r="L126" s="9"/>
      <c r="M126" s="49"/>
    </row>
    <row r="127" spans="1:13">
      <c r="A127" s="34">
        <v>39934</v>
      </c>
      <c r="B127" s="94">
        <f>'[11]CoS 2017 Load History'!D165</f>
        <v>25664853.929999951</v>
      </c>
      <c r="C127" s="18">
        <f t="shared" ref="C127:D127" si="28">C115</f>
        <v>271.46000000000004</v>
      </c>
      <c r="D127" s="18">
        <f t="shared" si="28"/>
        <v>0.47000000000000003</v>
      </c>
      <c r="E127" s="18">
        <v>31</v>
      </c>
      <c r="F127" s="18">
        <v>1</v>
      </c>
      <c r="G127" s="18">
        <f>'CDM Activity'!I59</f>
        <v>673318.51719159295</v>
      </c>
      <c r="H127" s="18">
        <f>'[11]CoS 2017 Load History'!F165</f>
        <v>44731</v>
      </c>
      <c r="I127" s="37">
        <v>136.70680729751015</v>
      </c>
      <c r="J127" s="24">
        <v>320</v>
      </c>
      <c r="K127" s="18">
        <f t="shared" si="0"/>
        <v>25507271.243465316</v>
      </c>
      <c r="L127" s="9"/>
    </row>
    <row r="128" spans="1:13">
      <c r="A128" s="34">
        <v>39965</v>
      </c>
      <c r="B128" s="94">
        <f>'[11]CoS 2017 Load History'!D166</f>
        <v>23320632.669999916</v>
      </c>
      <c r="C128" s="18">
        <f t="shared" ref="C128:D128" si="29">C116</f>
        <v>109.59</v>
      </c>
      <c r="D128" s="18">
        <f t="shared" si="29"/>
        <v>6.7</v>
      </c>
      <c r="E128" s="18">
        <v>30</v>
      </c>
      <c r="F128" s="18">
        <v>0</v>
      </c>
      <c r="G128" s="18">
        <f>'CDM Activity'!I60</f>
        <v>683462.61546571308</v>
      </c>
      <c r="H128" s="18">
        <f>'[11]CoS 2017 Load History'!F166</f>
        <v>44604</v>
      </c>
      <c r="I128" s="37">
        <v>136.28976004366936</v>
      </c>
      <c r="J128" s="24">
        <v>352</v>
      </c>
      <c r="K128" s="18">
        <f t="shared" si="0"/>
        <v>23541919.261791363</v>
      </c>
      <c r="L128" s="9"/>
    </row>
    <row r="129" spans="1:12">
      <c r="A129" s="34">
        <v>39995</v>
      </c>
      <c r="B129" s="94">
        <f>'[11]CoS 2017 Load History'!D167</f>
        <v>24041096.170000102</v>
      </c>
      <c r="C129" s="18">
        <f t="shared" ref="C129:D129" si="30">C117</f>
        <v>36.33</v>
      </c>
      <c r="D129" s="18">
        <f t="shared" si="30"/>
        <v>40.369999999999997</v>
      </c>
      <c r="E129" s="18">
        <v>31</v>
      </c>
      <c r="F129" s="18">
        <v>0</v>
      </c>
      <c r="G129" s="18">
        <f>'CDM Activity'!I61</f>
        <v>693606.71373983321</v>
      </c>
      <c r="H129" s="18">
        <f>'[11]CoS 2017 Load History'!F167</f>
        <v>44542</v>
      </c>
      <c r="I129" s="37">
        <v>135.87398506306334</v>
      </c>
      <c r="J129" s="24">
        <v>352</v>
      </c>
      <c r="K129" s="18">
        <f t="shared" si="0"/>
        <v>24993788.349015471</v>
      </c>
      <c r="L129" s="9"/>
    </row>
    <row r="130" spans="1:12">
      <c r="A130" s="34">
        <v>40026</v>
      </c>
      <c r="B130" s="94">
        <f>'[11]CoS 2017 Load History'!D168</f>
        <v>24433772.640000012</v>
      </c>
      <c r="C130" s="18">
        <f t="shared" ref="C130:D130" si="31">C118</f>
        <v>51.55</v>
      </c>
      <c r="D130" s="18">
        <f t="shared" si="31"/>
        <v>29.669999999999998</v>
      </c>
      <c r="E130" s="18">
        <v>31</v>
      </c>
      <c r="F130" s="18">
        <v>0</v>
      </c>
      <c r="G130" s="18">
        <f>'CDM Activity'!I62</f>
        <v>703750.81201395334</v>
      </c>
      <c r="H130" s="18">
        <f>'[11]CoS 2017 Load History'!F168</f>
        <v>44538</v>
      </c>
      <c r="I130" s="37">
        <v>135.45947847440726</v>
      </c>
      <c r="J130" s="24">
        <v>320</v>
      </c>
      <c r="K130" s="18">
        <f t="shared" si="0"/>
        <v>24712233.203619827</v>
      </c>
      <c r="L130" s="9"/>
    </row>
    <row r="131" spans="1:12">
      <c r="A131" s="34">
        <v>40057</v>
      </c>
      <c r="B131" s="94">
        <f>'[11]CoS 2017 Load History'!D169</f>
        <v>24530858.359999929</v>
      </c>
      <c r="C131" s="18">
        <f t="shared" ref="C131:D131" si="32">C119</f>
        <v>176.97</v>
      </c>
      <c r="D131" s="18">
        <f t="shared" si="32"/>
        <v>5.05</v>
      </c>
      <c r="E131" s="18">
        <v>30</v>
      </c>
      <c r="F131" s="18">
        <v>1</v>
      </c>
      <c r="G131" s="18">
        <f>'CDM Activity'!I63</f>
        <v>713894.91028807347</v>
      </c>
      <c r="H131" s="18">
        <f>'[11]CoS 2017 Load History'!F169</f>
        <v>44722</v>
      </c>
      <c r="I131" s="37">
        <v>135.04623640825679</v>
      </c>
      <c r="J131" s="24">
        <v>336</v>
      </c>
      <c r="K131" s="18">
        <f t="shared" si="0"/>
        <v>23384272.125886079</v>
      </c>
      <c r="L131" s="9"/>
    </row>
    <row r="132" spans="1:12">
      <c r="A132" s="34">
        <v>40087</v>
      </c>
      <c r="B132" s="94">
        <f>'[11]CoS 2017 Load History'!D170</f>
        <v>27407141.959999695</v>
      </c>
      <c r="C132" s="18">
        <f t="shared" ref="C132:D132" si="33">C120</f>
        <v>372.15</v>
      </c>
      <c r="D132" s="18">
        <f t="shared" si="33"/>
        <v>0.54</v>
      </c>
      <c r="E132" s="18">
        <v>31</v>
      </c>
      <c r="F132" s="18">
        <v>1</v>
      </c>
      <c r="G132" s="18">
        <f>'CDM Activity'!I64</f>
        <v>724039.0085621936</v>
      </c>
      <c r="H132" s="18">
        <f>'[11]CoS 2017 Load History'!F170</f>
        <v>44786</v>
      </c>
      <c r="I132" s="37">
        <v>134.63425500697198</v>
      </c>
      <c r="J132" s="24">
        <v>336</v>
      </c>
      <c r="K132" s="18">
        <f t="shared" si="0"/>
        <v>26766237.555547561</v>
      </c>
      <c r="L132" s="9"/>
    </row>
    <row r="133" spans="1:12">
      <c r="A133" s="34">
        <v>40118</v>
      </c>
      <c r="B133" s="94">
        <f>'[11]CoS 2017 Load History'!D171</f>
        <v>29972143.999999814</v>
      </c>
      <c r="C133" s="18">
        <f t="shared" ref="C133:D133" si="34">C121</f>
        <v>567.61000000000013</v>
      </c>
      <c r="D133" s="18">
        <f t="shared" si="34"/>
        <v>0</v>
      </c>
      <c r="E133" s="18">
        <v>30</v>
      </c>
      <c r="F133" s="18">
        <v>1</v>
      </c>
      <c r="G133" s="18">
        <f>'CDM Activity'!I65</f>
        <v>734183.10683631373</v>
      </c>
      <c r="H133" s="18">
        <f>'[11]CoS 2017 Load History'!F171</f>
        <v>44620</v>
      </c>
      <c r="I133" s="37">
        <v>134.22353042468131</v>
      </c>
      <c r="J133" s="24">
        <v>320</v>
      </c>
      <c r="K133" s="18">
        <f t="shared" si="0"/>
        <v>28359677.290978562</v>
      </c>
      <c r="L133" s="9"/>
    </row>
    <row r="134" spans="1:12">
      <c r="A134" s="34">
        <v>40148</v>
      </c>
      <c r="B134" s="94">
        <f>'[11]CoS 2017 Load History'!D172</f>
        <v>34913483.790000267</v>
      </c>
      <c r="C134" s="18">
        <f t="shared" ref="C134:D134" si="35">C122</f>
        <v>852.28999999999974</v>
      </c>
      <c r="D134" s="18">
        <f t="shared" si="35"/>
        <v>0</v>
      </c>
      <c r="E134" s="18">
        <v>31</v>
      </c>
      <c r="F134" s="18">
        <v>0</v>
      </c>
      <c r="G134" s="18">
        <f>'CDM Activity'!I66</f>
        <v>744327.20511043386</v>
      </c>
      <c r="H134" s="18">
        <f>'[11]CoS 2017 Load History'!F172</f>
        <v>44706</v>
      </c>
      <c r="I134" s="37">
        <v>133.81405882724573</v>
      </c>
      <c r="J134" s="24">
        <v>352</v>
      </c>
      <c r="K134" s="18">
        <f t="shared" si="0"/>
        <v>34069855.245018356</v>
      </c>
      <c r="L134" s="9"/>
    </row>
    <row r="135" spans="1:12">
      <c r="A135" s="34">
        <v>40179</v>
      </c>
      <c r="B135" s="94">
        <f>'[11]CoS 2017 Load History'!D173</f>
        <v>36085553.260000087</v>
      </c>
      <c r="C135" s="18">
        <f t="shared" ref="C135:D135" si="36">C123</f>
        <v>960.98000000000013</v>
      </c>
      <c r="D135" s="18">
        <f t="shared" si="36"/>
        <v>0</v>
      </c>
      <c r="E135" s="18">
        <v>31</v>
      </c>
      <c r="F135" s="18">
        <v>0</v>
      </c>
      <c r="G135" s="18">
        <f>'CDM Activity'!I67</f>
        <v>715812.91985037085</v>
      </c>
      <c r="H135" s="18">
        <f>'[11]CoS 2017 Load History'!F173</f>
        <v>44629</v>
      </c>
      <c r="I135" s="37">
        <v>134.14408039564063</v>
      </c>
      <c r="J135" s="18">
        <v>320</v>
      </c>
      <c r="K135" s="18">
        <f t="shared" si="0"/>
        <v>35578065.382667951</v>
      </c>
      <c r="L135" s="9"/>
    </row>
    <row r="136" spans="1:12">
      <c r="A136" s="34">
        <v>40210</v>
      </c>
      <c r="B136" s="94">
        <f>'[11]CoS 2017 Load History'!D174</f>
        <v>30010764.890000019</v>
      </c>
      <c r="C136" s="18">
        <f t="shared" ref="C136:D136" si="37">C124</f>
        <v>875.5899999999998</v>
      </c>
      <c r="D136" s="18">
        <f t="shared" si="37"/>
        <v>0</v>
      </c>
      <c r="E136" s="18">
        <v>28</v>
      </c>
      <c r="F136" s="18">
        <v>0</v>
      </c>
      <c r="G136" s="18">
        <f>'CDM Activity'!I68</f>
        <v>687298.63459030783</v>
      </c>
      <c r="H136" s="18">
        <f>'[11]CoS 2017 Load History'!F174</f>
        <v>44651</v>
      </c>
      <c r="I136" s="37">
        <v>134.47491588625388</v>
      </c>
      <c r="J136" s="18">
        <v>304</v>
      </c>
      <c r="K136" s="18">
        <f t="shared" si="0"/>
        <v>31538192.822010443</v>
      </c>
      <c r="L136" s="9"/>
    </row>
    <row r="137" spans="1:12">
      <c r="A137" s="34">
        <v>40238</v>
      </c>
      <c r="B137" s="94">
        <f>'[11]CoS 2017 Load History'!D175</f>
        <v>28911520.730000079</v>
      </c>
      <c r="C137" s="18">
        <f t="shared" ref="C137:D137" si="38">C125</f>
        <v>702.91</v>
      </c>
      <c r="D137" s="18">
        <f t="shared" si="38"/>
        <v>0</v>
      </c>
      <c r="E137" s="18">
        <v>31</v>
      </c>
      <c r="F137" s="18">
        <v>1</v>
      </c>
      <c r="G137" s="18">
        <f>'CDM Activity'!I69</f>
        <v>658784.34933024482</v>
      </c>
      <c r="H137" s="18">
        <f>'[11]CoS 2017 Load History'!F175</f>
        <v>44651</v>
      </c>
      <c r="I137" s="37">
        <v>134.80656730643724</v>
      </c>
      <c r="J137" s="18">
        <v>368</v>
      </c>
      <c r="K137" s="18">
        <f t="shared" si="0"/>
        <v>31292971.536914069</v>
      </c>
      <c r="L137" s="9"/>
    </row>
    <row r="138" spans="1:12">
      <c r="A138" s="34">
        <v>40269</v>
      </c>
      <c r="B138" s="94">
        <f>'[11]CoS 2017 Load History'!D176</f>
        <v>25118804.909999732</v>
      </c>
      <c r="C138" s="18">
        <f t="shared" ref="C138:D138" si="39">C126</f>
        <v>450.5200000000001</v>
      </c>
      <c r="D138" s="18">
        <f t="shared" si="39"/>
        <v>0</v>
      </c>
      <c r="E138" s="18">
        <v>30</v>
      </c>
      <c r="F138" s="18">
        <v>1</v>
      </c>
      <c r="G138" s="18">
        <f>'CDM Activity'!I70</f>
        <v>630270.0640701818</v>
      </c>
      <c r="H138" s="18">
        <f>'[11]CoS 2017 Load History'!F176</f>
        <v>44625</v>
      </c>
      <c r="I138" s="37">
        <v>135.13903666849313</v>
      </c>
      <c r="J138" s="18">
        <v>320</v>
      </c>
      <c r="K138" s="18">
        <f t="shared" si="0"/>
        <v>26981506.692189205</v>
      </c>
      <c r="L138" s="9"/>
    </row>
    <row r="139" spans="1:12">
      <c r="A139" s="34">
        <v>40299</v>
      </c>
      <c r="B139" s="94">
        <f>'[11]CoS 2017 Load History'!D177</f>
        <v>24585712.38999987</v>
      </c>
      <c r="C139" s="18">
        <f t="shared" ref="C139:D139" si="40">C127</f>
        <v>271.46000000000004</v>
      </c>
      <c r="D139" s="18">
        <f t="shared" si="40"/>
        <v>0.47000000000000003</v>
      </c>
      <c r="E139" s="18">
        <v>31</v>
      </c>
      <c r="F139" s="18">
        <v>1</v>
      </c>
      <c r="G139" s="18">
        <f>'CDM Activity'!I71</f>
        <v>601755.77881011879</v>
      </c>
      <c r="H139" s="18">
        <f>'[11]CoS 2017 Load History'!F177</f>
        <v>44628</v>
      </c>
      <c r="I139" s="37">
        <v>135.47232598968688</v>
      </c>
      <c r="J139" s="18">
        <v>320</v>
      </c>
      <c r="K139" s="18">
        <f t="shared" si="0"/>
        <v>25638350.812700447</v>
      </c>
      <c r="L139" s="9"/>
    </row>
    <row r="140" spans="1:12">
      <c r="A140" s="34">
        <v>40330</v>
      </c>
      <c r="B140" s="94">
        <f>'[11]CoS 2017 Load History'!D178</f>
        <v>23836918.189999718</v>
      </c>
      <c r="C140" s="18">
        <f t="shared" ref="C140:D140" si="41">C128</f>
        <v>109.59</v>
      </c>
      <c r="D140" s="18">
        <f t="shared" si="41"/>
        <v>6.7</v>
      </c>
      <c r="E140" s="18">
        <v>30</v>
      </c>
      <c r="F140" s="18">
        <v>0</v>
      </c>
      <c r="G140" s="18">
        <f>'CDM Activity'!I72</f>
        <v>573241.49355005578</v>
      </c>
      <c r="H140" s="18">
        <f>'[11]CoS 2017 Load History'!F178</f>
        <v>44772</v>
      </c>
      <c r="I140" s="37">
        <v>135.80643729225892</v>
      </c>
      <c r="J140" s="18">
        <v>352</v>
      </c>
      <c r="K140" s="18">
        <f t="shared" si="0"/>
        <v>23743808.366485789</v>
      </c>
      <c r="L140" s="9"/>
    </row>
    <row r="141" spans="1:12">
      <c r="A141" s="34">
        <v>40360</v>
      </c>
      <c r="B141" s="94">
        <f>'[11]CoS 2017 Load History'!D179</f>
        <v>25905019.170000263</v>
      </c>
      <c r="C141" s="18">
        <f t="shared" ref="C141:D141" si="42">C129</f>
        <v>36.33</v>
      </c>
      <c r="D141" s="18">
        <f t="shared" si="42"/>
        <v>40.369999999999997</v>
      </c>
      <c r="E141" s="18">
        <v>31</v>
      </c>
      <c r="F141" s="18">
        <v>0</v>
      </c>
      <c r="G141" s="18">
        <f>'CDM Activity'!I73</f>
        <v>544727.20828999276</v>
      </c>
      <c r="H141" s="18">
        <f>'[11]CoS 2017 Load History'!F179</f>
        <v>44773</v>
      </c>
      <c r="I141" s="37">
        <v>136.14137260343708</v>
      </c>
      <c r="J141" s="18">
        <v>336</v>
      </c>
      <c r="K141" s="18">
        <f t="shared" si="0"/>
        <v>25266486.989169192</v>
      </c>
      <c r="L141" s="9"/>
    </row>
    <row r="142" spans="1:12">
      <c r="A142" s="34">
        <v>40391</v>
      </c>
      <c r="B142" s="94">
        <f>'[11]CoS 2017 Load History'!D180</f>
        <v>26075806.560000002</v>
      </c>
      <c r="C142" s="18">
        <f t="shared" ref="C142:D142" si="43">C130</f>
        <v>51.55</v>
      </c>
      <c r="D142" s="18">
        <f t="shared" si="43"/>
        <v>29.669999999999998</v>
      </c>
      <c r="E142" s="18">
        <v>31</v>
      </c>
      <c r="F142" s="18">
        <v>0</v>
      </c>
      <c r="G142" s="18">
        <f>'CDM Activity'!I74</f>
        <v>516212.92302992969</v>
      </c>
      <c r="H142" s="18">
        <f>'[11]CoS 2017 Load History'!F180</f>
        <v>44748</v>
      </c>
      <c r="I142" s="37">
        <v>136.47713395544886</v>
      </c>
      <c r="J142" s="18">
        <v>336</v>
      </c>
      <c r="K142" s="18">
        <f t="shared" si="0"/>
        <v>25055741.379232842</v>
      </c>
      <c r="L142" s="9"/>
    </row>
    <row r="143" spans="1:12">
      <c r="A143" s="34">
        <v>40422</v>
      </c>
      <c r="B143" s="94">
        <f>'[11]CoS 2017 Load History'!D181</f>
        <v>24545247.180000003</v>
      </c>
      <c r="C143" s="18">
        <f t="shared" ref="C143:D143" si="44">C131</f>
        <v>176.97</v>
      </c>
      <c r="D143" s="18">
        <f t="shared" si="44"/>
        <v>5.05</v>
      </c>
      <c r="E143" s="18">
        <v>30</v>
      </c>
      <c r="F143" s="18">
        <v>1</v>
      </c>
      <c r="G143" s="18">
        <f>'CDM Activity'!I75</f>
        <v>487698.63776986662</v>
      </c>
      <c r="H143" s="18">
        <f>'[11]CoS 2017 Load History'!F181</f>
        <v>44858</v>
      </c>
      <c r="I143" s="37">
        <v>136.81372338553382</v>
      </c>
      <c r="J143" s="18">
        <v>336</v>
      </c>
      <c r="K143" s="18">
        <f t="shared" si="0"/>
        <v>23798589.83695839</v>
      </c>
      <c r="L143" s="9"/>
    </row>
    <row r="144" spans="1:12">
      <c r="A144" s="34">
        <v>40452</v>
      </c>
      <c r="B144" s="94">
        <f>'[11]CoS 2017 Load History'!D182</f>
        <v>26297636.290000055</v>
      </c>
      <c r="C144" s="18">
        <f t="shared" ref="C144:D144" si="45">C132</f>
        <v>372.15</v>
      </c>
      <c r="D144" s="18">
        <f t="shared" si="45"/>
        <v>0.54</v>
      </c>
      <c r="E144" s="18">
        <v>31</v>
      </c>
      <c r="F144" s="18">
        <v>1</v>
      </c>
      <c r="G144" s="18">
        <f>'CDM Activity'!I76</f>
        <v>459184.35250980355</v>
      </c>
      <c r="H144" s="18">
        <f>'[11]CoS 2017 Load History'!F182</f>
        <v>44861</v>
      </c>
      <c r="I144" s="37">
        <v>137.15114293595587</v>
      </c>
      <c r="J144" s="18">
        <v>320</v>
      </c>
      <c r="K144" s="18">
        <f t="shared" si="0"/>
        <v>27251364.802079167</v>
      </c>
      <c r="L144" s="9"/>
    </row>
    <row r="145" spans="1:12">
      <c r="A145" s="34">
        <v>40483</v>
      </c>
      <c r="B145" s="94">
        <f>'[11]CoS 2017 Load History'!D183</f>
        <v>29657866.35999972</v>
      </c>
      <c r="C145" s="18">
        <f t="shared" ref="C145:D145" si="46">C133</f>
        <v>567.61000000000013</v>
      </c>
      <c r="D145" s="18">
        <f t="shared" si="46"/>
        <v>0</v>
      </c>
      <c r="E145" s="18">
        <v>30</v>
      </c>
      <c r="F145" s="18">
        <v>1</v>
      </c>
      <c r="G145" s="18">
        <f>'CDM Activity'!I77</f>
        <v>430670.06724974047</v>
      </c>
      <c r="H145" s="18">
        <f>'[11]CoS 2017 Load History'!F183</f>
        <v>44810</v>
      </c>
      <c r="I145" s="37">
        <v>137.48939465401571</v>
      </c>
      <c r="J145" s="18">
        <v>336</v>
      </c>
      <c r="K145" s="18">
        <f t="shared" si="0"/>
        <v>28915614.072969463</v>
      </c>
      <c r="L145" s="9"/>
    </row>
    <row r="146" spans="1:12">
      <c r="A146" s="34">
        <v>40513</v>
      </c>
      <c r="B146" s="94">
        <f>'[11]CoS 2017 Load History'!D184</f>
        <v>34557679.539999954</v>
      </c>
      <c r="C146" s="18">
        <f t="shared" ref="C146:D146" si="47">C134</f>
        <v>852.28999999999974</v>
      </c>
      <c r="D146" s="18">
        <f t="shared" si="47"/>
        <v>0</v>
      </c>
      <c r="E146" s="18">
        <v>31</v>
      </c>
      <c r="F146" s="18">
        <v>0</v>
      </c>
      <c r="G146" s="18">
        <f>'CDM Activity'!I78</f>
        <v>402155.7819896774</v>
      </c>
      <c r="H146" s="18">
        <f>'[11]CoS 2017 Load History'!F184</f>
        <v>44821</v>
      </c>
      <c r="I146" s="37">
        <v>137.8284805920631</v>
      </c>
      <c r="J146" s="18">
        <v>368</v>
      </c>
      <c r="K146" s="18">
        <f t="shared" si="0"/>
        <v>34696601.562468544</v>
      </c>
      <c r="L146" s="9"/>
    </row>
    <row r="147" spans="1:12">
      <c r="A147" s="34">
        <v>40544</v>
      </c>
      <c r="B147" s="94">
        <f>'[11]CoS 2017 Load History'!D185</f>
        <v>36516937.350000232</v>
      </c>
      <c r="C147" s="18">
        <f t="shared" ref="C147:D147" si="48">C135</f>
        <v>960.98000000000013</v>
      </c>
      <c r="D147" s="18">
        <f t="shared" si="48"/>
        <v>0</v>
      </c>
      <c r="E147" s="96">
        <v>31</v>
      </c>
      <c r="F147" s="18">
        <v>0</v>
      </c>
      <c r="G147" s="18">
        <f>'CDM Activity'!I79</f>
        <v>433380.04574383411</v>
      </c>
      <c r="H147" s="18">
        <f>'[11]CoS 2017 Load History'!F185</f>
        <v>44726</v>
      </c>
      <c r="I147" s="37">
        <v>138.03353704635359</v>
      </c>
      <c r="J147" s="18">
        <v>336</v>
      </c>
      <c r="K147" s="18">
        <f t="shared" si="0"/>
        <v>36095390.18483495</v>
      </c>
      <c r="L147" s="9"/>
    </row>
    <row r="148" spans="1:12">
      <c r="A148" s="34">
        <v>40575</v>
      </c>
      <c r="B148" s="94">
        <f>'[11]CoS 2017 Load History'!D186</f>
        <v>31386775.589999977</v>
      </c>
      <c r="C148" s="18">
        <f t="shared" ref="C148:D148" si="49">C136</f>
        <v>875.5899999999998</v>
      </c>
      <c r="D148" s="18">
        <f t="shared" si="49"/>
        <v>0</v>
      </c>
      <c r="E148" s="96">
        <v>28</v>
      </c>
      <c r="F148" s="18">
        <v>0</v>
      </c>
      <c r="G148" s="18">
        <f>'CDM Activity'!I80</f>
        <v>464604.30949799082</v>
      </c>
      <c r="H148" s="18">
        <f>'[11]CoS 2017 Load History'!F186</f>
        <v>44775</v>
      </c>
      <c r="I148" s="37">
        <v>138.23889857655627</v>
      </c>
      <c r="J148" s="18">
        <v>304</v>
      </c>
      <c r="K148" s="18">
        <f t="shared" si="0"/>
        <v>31946096.108894251</v>
      </c>
      <c r="L148" s="9"/>
    </row>
    <row r="149" spans="1:12">
      <c r="A149" s="34">
        <v>40603</v>
      </c>
      <c r="B149" s="94">
        <f>'[11]CoS 2017 Load History'!D187</f>
        <v>31223082.410000503</v>
      </c>
      <c r="C149" s="18">
        <f t="shared" ref="C149:D149" si="50">C137</f>
        <v>702.91</v>
      </c>
      <c r="D149" s="18">
        <f t="shared" si="50"/>
        <v>0</v>
      </c>
      <c r="E149" s="96">
        <v>31</v>
      </c>
      <c r="F149" s="18">
        <v>1</v>
      </c>
      <c r="G149" s="18">
        <f>'CDM Activity'!I81</f>
        <v>495828.57325214753</v>
      </c>
      <c r="H149" s="18">
        <f>'[11]CoS 2017 Load History'!F187</f>
        <v>44762</v>
      </c>
      <c r="I149" s="37">
        <v>138.4445656365526</v>
      </c>
      <c r="J149" s="18">
        <v>368</v>
      </c>
      <c r="K149" s="18">
        <f t="shared" si="0"/>
        <v>31591453.308514681</v>
      </c>
      <c r="L149" s="9"/>
    </row>
    <row r="150" spans="1:12">
      <c r="A150" s="34">
        <v>40634</v>
      </c>
      <c r="B150" s="94">
        <f>'[11]CoS 2017 Load History'!D188</f>
        <v>26878420.399999555</v>
      </c>
      <c r="C150" s="18">
        <f t="shared" ref="C150:D150" si="51">C138</f>
        <v>450.5200000000001</v>
      </c>
      <c r="D150" s="18">
        <f t="shared" si="51"/>
        <v>0</v>
      </c>
      <c r="E150" s="96">
        <v>30</v>
      </c>
      <c r="F150" s="18">
        <v>1</v>
      </c>
      <c r="G150" s="18">
        <f>'CDM Activity'!I82</f>
        <v>527052.8370063043</v>
      </c>
      <c r="H150" s="18">
        <f>'[11]CoS 2017 Load History'!F188</f>
        <v>44920</v>
      </c>
      <c r="I150" s="37">
        <v>138.65053868089922</v>
      </c>
      <c r="J150" s="18">
        <v>320</v>
      </c>
      <c r="K150" s="18">
        <f t="shared" si="0"/>
        <v>27170566.948506624</v>
      </c>
      <c r="L150" s="9"/>
    </row>
    <row r="151" spans="1:12">
      <c r="A151" s="34">
        <v>40664</v>
      </c>
      <c r="B151" s="94">
        <f>'[11]CoS 2017 Load History'!D189</f>
        <v>24676485.139999926</v>
      </c>
      <c r="C151" s="18">
        <f t="shared" ref="C151:D151" si="52">C139</f>
        <v>271.46000000000004</v>
      </c>
      <c r="D151" s="18">
        <f t="shared" si="52"/>
        <v>0.47000000000000003</v>
      </c>
      <c r="E151" s="96">
        <v>31</v>
      </c>
      <c r="F151" s="18">
        <v>1</v>
      </c>
      <c r="G151" s="18">
        <f>'CDM Activity'!I83</f>
        <v>558277.10076046106</v>
      </c>
      <c r="H151" s="18">
        <f>'[11]CoS 2017 Load History'!F189</f>
        <v>44927</v>
      </c>
      <c r="I151" s="37">
        <v>138.85681816482909</v>
      </c>
      <c r="J151" s="18">
        <v>336</v>
      </c>
      <c r="K151" s="18">
        <f t="shared" si="0"/>
        <v>25717989.553734671</v>
      </c>
      <c r="L151" s="9"/>
    </row>
    <row r="152" spans="1:12">
      <c r="A152" s="34">
        <v>40695</v>
      </c>
      <c r="B152" s="94">
        <f>'[11]CoS 2017 Load History'!D190</f>
        <v>23151010.42999975</v>
      </c>
      <c r="C152" s="18">
        <f t="shared" ref="C152:D152" si="53">C140</f>
        <v>109.59</v>
      </c>
      <c r="D152" s="18">
        <f t="shared" si="53"/>
        <v>6.7</v>
      </c>
      <c r="E152" s="96">
        <v>30</v>
      </c>
      <c r="F152" s="18">
        <v>0</v>
      </c>
      <c r="G152" s="18">
        <f>'CDM Activity'!I84</f>
        <v>589501.36451461783</v>
      </c>
      <c r="H152" s="18">
        <f>'[11]CoS 2017 Load History'!F190</f>
        <v>44911</v>
      </c>
      <c r="I152" s="37">
        <v>139.06340454425245</v>
      </c>
      <c r="J152" s="18">
        <v>352</v>
      </c>
      <c r="K152" s="18">
        <f t="shared" ref="K152:K206" si="54">$O$103+C152*$O$104+D152*$O$105+E152*$O$106+F152*$O$107+G152*$O$108</f>
        <v>23714025.592236817</v>
      </c>
      <c r="L152" s="9"/>
    </row>
    <row r="153" spans="1:12">
      <c r="A153" s="34">
        <v>40725</v>
      </c>
      <c r="B153" s="94">
        <f>'[11]CoS 2017 Load History'!D191</f>
        <v>25352001.299999826</v>
      </c>
      <c r="C153" s="18">
        <f t="shared" ref="C153:D153" si="55">C141</f>
        <v>36.33</v>
      </c>
      <c r="D153" s="18">
        <f t="shared" si="55"/>
        <v>40.369999999999997</v>
      </c>
      <c r="E153" s="96">
        <v>31</v>
      </c>
      <c r="F153" s="18">
        <v>0</v>
      </c>
      <c r="G153" s="18">
        <f>'CDM Activity'!I85</f>
        <v>620725.6282687746</v>
      </c>
      <c r="H153" s="18">
        <f>'[11]CoS 2017 Load History'!F191</f>
        <v>44960</v>
      </c>
      <c r="I153" s="37">
        <v>139.27029827575782</v>
      </c>
      <c r="J153" s="18">
        <v>320</v>
      </c>
      <c r="K153" s="18">
        <f t="shared" si="54"/>
        <v>25127282.699637026</v>
      </c>
      <c r="L153" s="9"/>
    </row>
    <row r="154" spans="1:12">
      <c r="A154" s="34">
        <v>40756</v>
      </c>
      <c r="B154" s="94">
        <f>'[11]CoS 2017 Load History'!D192</f>
        <v>25813855.500000261</v>
      </c>
      <c r="C154" s="18">
        <f t="shared" ref="C154:D154" si="56">C142</f>
        <v>51.55</v>
      </c>
      <c r="D154" s="18">
        <f t="shared" si="56"/>
        <v>29.669999999999998</v>
      </c>
      <c r="E154" s="96">
        <v>31</v>
      </c>
      <c r="F154" s="18">
        <v>0</v>
      </c>
      <c r="G154" s="18">
        <f>'CDM Activity'!I86</f>
        <v>651949.89202293137</v>
      </c>
      <c r="H154" s="18">
        <f>'[11]CoS 2017 Load History'!F192</f>
        <v>44959</v>
      </c>
      <c r="I154" s="37">
        <v>139.477499816613</v>
      </c>
      <c r="J154" s="18">
        <v>352</v>
      </c>
      <c r="K154" s="18">
        <f t="shared" si="54"/>
        <v>24807115.574417483</v>
      </c>
      <c r="L154" s="9"/>
    </row>
    <row r="155" spans="1:12">
      <c r="A155" s="34">
        <v>40787</v>
      </c>
      <c r="B155" s="94">
        <f>'[11]CoS 2017 Load History'!D193</f>
        <v>24597483.110000037</v>
      </c>
      <c r="C155" s="18">
        <f t="shared" ref="C155:D155" si="57">C143</f>
        <v>176.97</v>
      </c>
      <c r="D155" s="18">
        <f t="shared" si="57"/>
        <v>5.05</v>
      </c>
      <c r="E155" s="96">
        <v>30</v>
      </c>
      <c r="F155" s="18">
        <v>1</v>
      </c>
      <c r="G155" s="18">
        <f>'CDM Activity'!I87</f>
        <v>683174.15577708813</v>
      </c>
      <c r="H155" s="18">
        <f>'[11]CoS 2017 Load History'!F193</f>
        <v>45001</v>
      </c>
      <c r="I155" s="37">
        <v>139.68500962476614</v>
      </c>
      <c r="J155" s="18">
        <v>336</v>
      </c>
      <c r="K155" s="18">
        <f t="shared" si="54"/>
        <v>23440542.516859837</v>
      </c>
      <c r="L155" s="9"/>
    </row>
    <row r="156" spans="1:12">
      <c r="A156" s="34">
        <v>40817</v>
      </c>
      <c r="B156" s="94">
        <f>'[11]CoS 2017 Load History'!D194</f>
        <v>26370882.959999766</v>
      </c>
      <c r="C156" s="18">
        <f t="shared" ref="C156:D156" si="58">C144</f>
        <v>372.15</v>
      </c>
      <c r="D156" s="18">
        <f t="shared" si="58"/>
        <v>0.54</v>
      </c>
      <c r="E156" s="96">
        <v>31</v>
      </c>
      <c r="F156" s="18">
        <v>1</v>
      </c>
      <c r="G156" s="18">
        <f>'CDM Activity'!I88</f>
        <v>714398.4195312449</v>
      </c>
      <c r="H156" s="18">
        <f>'[11]CoS 2017 Load History'!F194</f>
        <v>44933</v>
      </c>
      <c r="I156" s="37">
        <v>139.89282815884664</v>
      </c>
      <c r="J156" s="18">
        <v>320</v>
      </c>
      <c r="K156" s="18">
        <f t="shared" si="54"/>
        <v>26783895.966697417</v>
      </c>
      <c r="L156" s="9"/>
    </row>
    <row r="157" spans="1:12">
      <c r="A157" s="34">
        <v>40848</v>
      </c>
      <c r="B157" s="94">
        <f>'[11]CoS 2017 Load History'!D195</f>
        <v>28854940.729999892</v>
      </c>
      <c r="C157" s="18">
        <f t="shared" ref="C157:D157" si="59">C145</f>
        <v>567.61000000000013</v>
      </c>
      <c r="D157" s="18">
        <f t="shared" si="59"/>
        <v>0</v>
      </c>
      <c r="E157" s="96">
        <v>30</v>
      </c>
      <c r="F157" s="18">
        <v>1</v>
      </c>
      <c r="G157" s="18">
        <f>'CDM Activity'!I89</f>
        <v>745622.68328540167</v>
      </c>
      <c r="H157" s="18">
        <f>'[11]CoS 2017 Load History'!F195</f>
        <v>44984</v>
      </c>
      <c r="I157" s="37">
        <v>140.1009558781663</v>
      </c>
      <c r="J157" s="18">
        <v>352</v>
      </c>
      <c r="K157" s="18">
        <f t="shared" si="54"/>
        <v>28338723.722304519</v>
      </c>
      <c r="L157" s="9"/>
    </row>
    <row r="158" spans="1:12">
      <c r="A158" s="34">
        <v>40878</v>
      </c>
      <c r="B158" s="94">
        <f>'[11]CoS 2017 Load History'!D196</f>
        <v>32390431.579999913</v>
      </c>
      <c r="C158" s="18">
        <f t="shared" ref="C158:D158" si="60">C146</f>
        <v>852.28999999999974</v>
      </c>
      <c r="D158" s="18">
        <f t="shared" si="60"/>
        <v>0</v>
      </c>
      <c r="E158" s="96">
        <v>31</v>
      </c>
      <c r="F158" s="18">
        <v>0</v>
      </c>
      <c r="G158" s="18">
        <f>'CDM Activity'!I90</f>
        <v>776846.94703955844</v>
      </c>
      <c r="H158" s="18">
        <f>'[11]CoS 2017 Load History'!F196</f>
        <v>44950</v>
      </c>
      <c r="I158" s="37">
        <v>140.30939324272023</v>
      </c>
      <c r="J158" s="18">
        <v>336</v>
      </c>
      <c r="K158" s="18">
        <f t="shared" si="54"/>
        <v>34010289.69652041</v>
      </c>
      <c r="L158" s="9"/>
    </row>
    <row r="159" spans="1:12">
      <c r="A159" s="34">
        <v>40909</v>
      </c>
      <c r="B159" s="94">
        <f>'[11]CoS 2017 Load History'!D197</f>
        <v>33402660.419999894</v>
      </c>
      <c r="C159" s="18">
        <f t="shared" ref="C159:D159" si="61">C147</f>
        <v>960.98000000000013</v>
      </c>
      <c r="D159" s="18">
        <f t="shared" si="61"/>
        <v>0</v>
      </c>
      <c r="E159" s="18">
        <v>31</v>
      </c>
      <c r="F159" s="18">
        <v>0</v>
      </c>
      <c r="G159" s="18">
        <f>'CDM Activity'!I91</f>
        <v>757573.01478562516</v>
      </c>
      <c r="H159" s="18">
        <f>'[11]CoS 2017 Load History'!F197</f>
        <v>44701</v>
      </c>
      <c r="I159" s="37">
        <v>140.51814071318793</v>
      </c>
      <c r="J159" s="18">
        <v>336</v>
      </c>
      <c r="K159" s="18">
        <f t="shared" si="54"/>
        <v>35501574.524727993</v>
      </c>
      <c r="L159" s="9"/>
    </row>
    <row r="160" spans="1:12">
      <c r="A160" s="34">
        <v>40940</v>
      </c>
      <c r="B160" s="94">
        <f>'[11]CoS 2017 Load History'!D198</f>
        <v>29415795.669999786</v>
      </c>
      <c r="C160" s="18">
        <f t="shared" ref="C160:D160" si="62">C148</f>
        <v>875.5899999999998</v>
      </c>
      <c r="D160" s="18">
        <f t="shared" si="62"/>
        <v>0</v>
      </c>
      <c r="E160" s="18">
        <v>29</v>
      </c>
      <c r="F160" s="18">
        <v>0</v>
      </c>
      <c r="G160" s="18">
        <f>'CDM Activity'!I92</f>
        <v>738299.08253169188</v>
      </c>
      <c r="H160" s="18">
        <f>'[11]CoS 2017 Load History'!F198</f>
        <v>44705</v>
      </c>
      <c r="I160" s="37">
        <v>140.72719875093426</v>
      </c>
      <c r="J160" s="18">
        <v>320</v>
      </c>
      <c r="K160" s="18">
        <f t="shared" si="54"/>
        <v>32427523.494483501</v>
      </c>
      <c r="L160" s="9"/>
    </row>
    <row r="161" spans="1:12">
      <c r="A161" s="34">
        <v>40969</v>
      </c>
      <c r="B161" s="94">
        <f>'[11]CoS 2017 Load History'!D199</f>
        <v>28020794.100000076</v>
      </c>
      <c r="C161" s="18">
        <f t="shared" ref="C161:D161" si="63">C149</f>
        <v>702.91</v>
      </c>
      <c r="D161" s="18">
        <f t="shared" si="63"/>
        <v>0</v>
      </c>
      <c r="E161" s="18">
        <v>31</v>
      </c>
      <c r="F161" s="18">
        <v>1</v>
      </c>
      <c r="G161" s="18">
        <f>'CDM Activity'!I93</f>
        <v>719025.1502777586</v>
      </c>
      <c r="H161" s="18">
        <f>'[11]CoS 2017 Load History'!F199</f>
        <v>44715</v>
      </c>
      <c r="I161" s="37">
        <v>140.9365678180105</v>
      </c>
      <c r="J161" s="18">
        <v>352</v>
      </c>
      <c r="K161" s="18">
        <f t="shared" si="54"/>
        <v>31182630.060090099</v>
      </c>
      <c r="L161" s="9"/>
    </row>
    <row r="162" spans="1:12">
      <c r="A162" s="34">
        <v>41000</v>
      </c>
      <c r="B162" s="94">
        <f>'[11]CoS 2017 Load History'!D200</f>
        <v>24997873.08000005</v>
      </c>
      <c r="C162" s="18">
        <f t="shared" ref="C162:D162" si="64">C150</f>
        <v>450.5200000000001</v>
      </c>
      <c r="D162" s="18">
        <f t="shared" si="64"/>
        <v>0</v>
      </c>
      <c r="E162" s="18">
        <v>30</v>
      </c>
      <c r="F162" s="18">
        <v>1</v>
      </c>
      <c r="G162" s="18">
        <f>'CDM Activity'!I94</f>
        <v>699751.21802382532</v>
      </c>
      <c r="H162" s="18">
        <f>'[11]CoS 2017 Load History'!F200</f>
        <v>44680</v>
      </c>
      <c r="I162" s="37">
        <v>141.14624837715536</v>
      </c>
      <c r="J162" s="18">
        <v>320</v>
      </c>
      <c r="K162" s="18">
        <f t="shared" si="54"/>
        <v>26854239.905923225</v>
      </c>
      <c r="L162" s="9"/>
    </row>
    <row r="163" spans="1:12">
      <c r="A163" s="34">
        <v>41030</v>
      </c>
      <c r="B163" s="94">
        <f>'[11]CoS 2017 Load History'!D201</f>
        <v>24359301.689999789</v>
      </c>
      <c r="C163" s="18">
        <f t="shared" ref="C163:D163" si="65">C151</f>
        <v>271.46000000000004</v>
      </c>
      <c r="D163" s="18">
        <f t="shared" si="65"/>
        <v>0.47000000000000003</v>
      </c>
      <c r="E163" s="18">
        <v>31</v>
      </c>
      <c r="F163" s="18">
        <v>1</v>
      </c>
      <c r="G163" s="18">
        <f>'CDM Activity'!I95</f>
        <v>680477.28576989204</v>
      </c>
      <c r="H163" s="18">
        <f>'[11]CoS 2017 Load History'!F201</f>
        <v>44589</v>
      </c>
      <c r="I163" s="37">
        <v>141.35624089179598</v>
      </c>
      <c r="J163" s="18">
        <v>352</v>
      </c>
      <c r="K163" s="18">
        <f t="shared" si="54"/>
        <v>25494158.716992456</v>
      </c>
      <c r="L163" s="9"/>
    </row>
    <row r="164" spans="1:12">
      <c r="A164" s="34">
        <v>41061</v>
      </c>
      <c r="B164" s="94">
        <f>'[11]CoS 2017 Load History'!D202</f>
        <v>24710374.199999895</v>
      </c>
      <c r="C164" s="18">
        <f t="shared" ref="C164:D164" si="66">C152</f>
        <v>109.59</v>
      </c>
      <c r="D164" s="18">
        <f t="shared" si="66"/>
        <v>6.7</v>
      </c>
      <c r="E164" s="18">
        <v>30</v>
      </c>
      <c r="F164" s="18">
        <v>0</v>
      </c>
      <c r="G164" s="18">
        <f>'CDM Activity'!I96</f>
        <v>661203.35351595876</v>
      </c>
      <c r="H164" s="18">
        <f>'[11]CoS 2017 Load History'!F202</f>
        <v>44697</v>
      </c>
      <c r="I164" s="37">
        <v>141.56654582604895</v>
      </c>
      <c r="J164" s="18">
        <v>336</v>
      </c>
      <c r="K164" s="18">
        <f t="shared" si="54"/>
        <v>23582690.961335789</v>
      </c>
      <c r="L164" s="9"/>
    </row>
    <row r="165" spans="1:12">
      <c r="A165" s="34">
        <v>41091</v>
      </c>
      <c r="B165" s="94">
        <f>'[11]CoS 2017 Load History'!D203</f>
        <v>26676003.260000024</v>
      </c>
      <c r="C165" s="18">
        <f t="shared" ref="C165:D165" si="67">C153</f>
        <v>36.33</v>
      </c>
      <c r="D165" s="18">
        <f t="shared" si="67"/>
        <v>40.369999999999997</v>
      </c>
      <c r="E165" s="18">
        <v>31</v>
      </c>
      <c r="F165" s="18">
        <v>0</v>
      </c>
      <c r="G165" s="18">
        <f>'CDM Activity'!I97</f>
        <v>641929.42126202548</v>
      </c>
      <c r="H165" s="18">
        <f>'[11]CoS 2017 Load History'!F203</f>
        <v>44693</v>
      </c>
      <c r="I165" s="37">
        <v>141.77716364472141</v>
      </c>
      <c r="J165" s="18">
        <v>336</v>
      </c>
      <c r="K165" s="18">
        <f t="shared" si="54"/>
        <v>25088444.274577182</v>
      </c>
      <c r="L165" s="9"/>
    </row>
    <row r="166" spans="1:12">
      <c r="A166" s="34">
        <v>41122</v>
      </c>
      <c r="B166" s="94">
        <f>'[11]CoS 2017 Load History'!D204</f>
        <v>26201585.379999846</v>
      </c>
      <c r="C166" s="18">
        <f t="shared" ref="C166:D166" si="68">C154</f>
        <v>51.55</v>
      </c>
      <c r="D166" s="18">
        <f t="shared" si="68"/>
        <v>29.669999999999998</v>
      </c>
      <c r="E166" s="18">
        <v>31</v>
      </c>
      <c r="F166" s="18">
        <v>0</v>
      </c>
      <c r="G166" s="18">
        <f>'CDM Activity'!I98</f>
        <v>622655.48900809221</v>
      </c>
      <c r="H166" s="18">
        <f>'[11]CoS 2017 Load History'!F204</f>
        <v>44727</v>
      </c>
      <c r="I166" s="37">
        <v>141.98809481331199</v>
      </c>
      <c r="J166" s="18">
        <v>352</v>
      </c>
      <c r="K166" s="18">
        <f t="shared" si="54"/>
        <v>24860773.355198823</v>
      </c>
      <c r="L166" s="9"/>
    </row>
    <row r="167" spans="1:12">
      <c r="A167" s="34">
        <v>41153</v>
      </c>
      <c r="B167" s="94">
        <f>'[11]CoS 2017 Load History'!D205</f>
        <v>24540374.200000215</v>
      </c>
      <c r="C167" s="18">
        <f t="shared" ref="C167:D167" si="69">C155</f>
        <v>176.97</v>
      </c>
      <c r="D167" s="18">
        <f t="shared" si="69"/>
        <v>5.05</v>
      </c>
      <c r="E167" s="18">
        <v>30</v>
      </c>
      <c r="F167" s="18">
        <v>1</v>
      </c>
      <c r="G167" s="18">
        <f>'CDM Activity'!I99</f>
        <v>603381.55675415893</v>
      </c>
      <c r="H167" s="18">
        <f>'[11]CoS 2017 Load History'!F205</f>
        <v>44764</v>
      </c>
      <c r="I167" s="37">
        <v>142.19933979801186</v>
      </c>
      <c r="J167" s="18">
        <v>304</v>
      </c>
      <c r="K167" s="18">
        <f t="shared" si="54"/>
        <v>23586696.50348236</v>
      </c>
      <c r="L167" s="9"/>
    </row>
    <row r="168" spans="1:12">
      <c r="A168" s="34">
        <v>41183</v>
      </c>
      <c r="B168" s="94">
        <f>'[11]CoS 2017 Load History'!D206</f>
        <v>26589019.44000008</v>
      </c>
      <c r="C168" s="18">
        <f t="shared" ref="C168:D168" si="70">C156</f>
        <v>372.15</v>
      </c>
      <c r="D168" s="18">
        <f t="shared" si="70"/>
        <v>0.54</v>
      </c>
      <c r="E168" s="18">
        <v>31</v>
      </c>
      <c r="F168" s="18">
        <v>1</v>
      </c>
      <c r="G168" s="18">
        <f>'CDM Activity'!I100</f>
        <v>584107.62450022565</v>
      </c>
      <c r="H168" s="18">
        <f>'[11]CoS 2017 Load History'!F206</f>
        <v>44784</v>
      </c>
      <c r="I168" s="37">
        <v>142.41089906570582</v>
      </c>
      <c r="J168" s="18">
        <v>352</v>
      </c>
      <c r="K168" s="18">
        <f t="shared" si="54"/>
        <v>27022546.159161128</v>
      </c>
      <c r="L168" s="9"/>
    </row>
    <row r="169" spans="1:12">
      <c r="A169" s="34">
        <v>41214</v>
      </c>
      <c r="B169" s="94">
        <f>'[11]CoS 2017 Load History'!D207</f>
        <v>28916497.10000005</v>
      </c>
      <c r="C169" s="18">
        <f t="shared" ref="C169:D169" si="71">C157</f>
        <v>567.61000000000013</v>
      </c>
      <c r="D169" s="18">
        <f t="shared" si="71"/>
        <v>0</v>
      </c>
      <c r="E169" s="18">
        <v>30</v>
      </c>
      <c r="F169" s="18">
        <v>1</v>
      </c>
      <c r="G169" s="18">
        <f>'CDM Activity'!I101</f>
        <v>564833.69224629237</v>
      </c>
      <c r="H169" s="18">
        <f>'[11]CoS 2017 Load History'!F207</f>
        <v>44871</v>
      </c>
      <c r="I169" s="37">
        <v>142.62277308397324</v>
      </c>
      <c r="J169" s="18">
        <v>352</v>
      </c>
      <c r="K169" s="18">
        <f t="shared" si="54"/>
        <v>28669870.120609414</v>
      </c>
      <c r="L169" s="9"/>
    </row>
    <row r="170" spans="1:12">
      <c r="A170" s="34">
        <v>41244</v>
      </c>
      <c r="B170" s="94">
        <f>'[11]CoS 2017 Load History'!D208</f>
        <v>33312146.319999933</v>
      </c>
      <c r="C170" s="18">
        <f t="shared" ref="C170:D170" si="72">C158</f>
        <v>852.28999999999974</v>
      </c>
      <c r="D170" s="18">
        <f t="shared" si="72"/>
        <v>0</v>
      </c>
      <c r="E170" s="18">
        <v>31</v>
      </c>
      <c r="F170" s="18">
        <v>0</v>
      </c>
      <c r="G170" s="18">
        <f>'CDM Activity'!I102</f>
        <v>545559.75999235909</v>
      </c>
      <c r="H170" s="18">
        <f>'[11]CoS 2017 Load History'!F208</f>
        <v>44915</v>
      </c>
      <c r="I170" s="37">
        <v>142.83496232108919</v>
      </c>
      <c r="J170" s="18">
        <v>304</v>
      </c>
      <c r="K170" s="18">
        <f t="shared" si="54"/>
        <v>34433932.300666489</v>
      </c>
      <c r="L170" s="9"/>
    </row>
    <row r="171" spans="1:12">
      <c r="A171" s="34">
        <v>41275</v>
      </c>
      <c r="B171" s="94">
        <f>'[11]CoS 2017 Load History'!D209</f>
        <v>35527330.339999676</v>
      </c>
      <c r="C171" s="18">
        <f t="shared" ref="C171:D171" si="73">C159</f>
        <v>960.98000000000013</v>
      </c>
      <c r="D171" s="18">
        <f t="shared" si="73"/>
        <v>0</v>
      </c>
      <c r="E171" s="18">
        <v>31</v>
      </c>
      <c r="F171" s="18">
        <v>0</v>
      </c>
      <c r="G171" s="18">
        <f>'CDM Activity'!I103</f>
        <v>567435.68685622059</v>
      </c>
      <c r="H171" s="18">
        <f>'[11]CoS 2017 Load History'!F209</f>
        <v>44923</v>
      </c>
      <c r="I171" s="37">
        <v>143.1291789570798</v>
      </c>
      <c r="J171" s="18">
        <v>352</v>
      </c>
      <c r="K171" s="18">
        <f t="shared" si="54"/>
        <v>35849844.023690566</v>
      </c>
      <c r="L171" s="9"/>
    </row>
    <row r="172" spans="1:12">
      <c r="A172" s="34">
        <v>41306</v>
      </c>
      <c r="B172" s="94">
        <f>'[11]CoS 2017 Load History'!D210</f>
        <v>30889612.989999942</v>
      </c>
      <c r="C172" s="18">
        <f t="shared" ref="C172:D172" si="74">C160</f>
        <v>875.5899999999998</v>
      </c>
      <c r="D172" s="18">
        <f t="shared" si="74"/>
        <v>0</v>
      </c>
      <c r="E172" s="18">
        <v>28</v>
      </c>
      <c r="F172" s="18">
        <v>0</v>
      </c>
      <c r="G172" s="18">
        <f>'CDM Activity'!I104</f>
        <v>589311.6137200821</v>
      </c>
      <c r="H172" s="18">
        <f>'[11]CoS 2017 Load History'!F210</f>
        <v>44915</v>
      </c>
      <c r="I172" s="37">
        <v>143.42400163116841</v>
      </c>
      <c r="J172" s="18">
        <v>304</v>
      </c>
      <c r="K172" s="18">
        <f t="shared" si="54"/>
        <v>31717673.048407536</v>
      </c>
      <c r="L172" s="9"/>
    </row>
    <row r="173" spans="1:12">
      <c r="A173" s="34">
        <v>41334</v>
      </c>
      <c r="B173" s="94">
        <f>'[11]CoS 2017 Load History'!D211</f>
        <v>30782617.299999747</v>
      </c>
      <c r="C173" s="18">
        <f t="shared" ref="C173:D173" si="75">C161</f>
        <v>702.91</v>
      </c>
      <c r="D173" s="18">
        <f t="shared" si="75"/>
        <v>0</v>
      </c>
      <c r="E173" s="18">
        <v>31</v>
      </c>
      <c r="F173" s="18">
        <v>1</v>
      </c>
      <c r="G173" s="18">
        <f>'CDM Activity'!I105</f>
        <v>611187.5405839436</v>
      </c>
      <c r="H173" s="18">
        <f>'[11]CoS 2017 Load History'!F211</f>
        <v>44918</v>
      </c>
      <c r="I173" s="37">
        <v>143.71943159169427</v>
      </c>
      <c r="J173" s="18">
        <v>320</v>
      </c>
      <c r="K173" s="18">
        <f t="shared" si="54"/>
        <v>31380153.348685645</v>
      </c>
      <c r="L173" s="9"/>
    </row>
    <row r="174" spans="1:12">
      <c r="A174" s="34">
        <v>41365</v>
      </c>
      <c r="B174" s="94">
        <f>'[11]CoS 2017 Load History'!D212</f>
        <v>26800317.319999933</v>
      </c>
      <c r="C174" s="18">
        <f t="shared" ref="C174:D174" si="76">C162</f>
        <v>450.5200000000001</v>
      </c>
      <c r="D174" s="18">
        <f t="shared" si="76"/>
        <v>0</v>
      </c>
      <c r="E174" s="18">
        <v>30</v>
      </c>
      <c r="F174" s="18">
        <v>1</v>
      </c>
      <c r="G174" s="18">
        <f>'CDM Activity'!I106</f>
        <v>633063.4674478051</v>
      </c>
      <c r="H174" s="18">
        <f>'[11]CoS 2017 Load History'!F212</f>
        <v>44876</v>
      </c>
      <c r="I174" s="37">
        <v>144.01547008956803</v>
      </c>
      <c r="J174" s="18">
        <v>352</v>
      </c>
      <c r="K174" s="18">
        <f t="shared" si="54"/>
        <v>26976390.089335259</v>
      </c>
      <c r="L174" s="9"/>
    </row>
    <row r="175" spans="1:12">
      <c r="A175" s="34">
        <v>41395</v>
      </c>
      <c r="B175" s="94">
        <f>'[11]CoS 2017 Load History'!D213</f>
        <v>24986643.508349925</v>
      </c>
      <c r="C175" s="18">
        <f t="shared" ref="C175:D175" si="77">C163</f>
        <v>271.46000000000004</v>
      </c>
      <c r="D175" s="18">
        <f t="shared" si="77"/>
        <v>0.47000000000000003</v>
      </c>
      <c r="E175" s="18">
        <v>31</v>
      </c>
      <c r="F175" s="18">
        <v>1</v>
      </c>
      <c r="G175" s="18">
        <f>'CDM Activity'!I107</f>
        <v>654939.39431166661</v>
      </c>
      <c r="H175" s="18">
        <f>'[11]CoS 2017 Load History'!F213</f>
        <v>44874</v>
      </c>
      <c r="I175" s="37">
        <v>144.31211837827698</v>
      </c>
      <c r="J175" s="18">
        <v>352</v>
      </c>
      <c r="K175" s="18">
        <f t="shared" si="54"/>
        <v>25540935.795220982</v>
      </c>
      <c r="L175" s="9"/>
    </row>
    <row r="176" spans="1:12">
      <c r="A176" s="34">
        <v>41426</v>
      </c>
      <c r="B176" s="94">
        <f>'[11]CoS 2017 Load History'!D214</f>
        <v>23287804.425449979</v>
      </c>
      <c r="C176" s="18">
        <f t="shared" ref="C176:D176" si="78">C164</f>
        <v>109.59</v>
      </c>
      <c r="D176" s="18">
        <f t="shared" si="78"/>
        <v>6.7</v>
      </c>
      <c r="E176" s="18">
        <v>30</v>
      </c>
      <c r="F176" s="18">
        <v>0</v>
      </c>
      <c r="G176" s="18">
        <f>'CDM Activity'!I108</f>
        <v>676815.32117552811</v>
      </c>
      <c r="H176" s="18">
        <f>'[11]CoS 2017 Load History'!F214</f>
        <v>44881</v>
      </c>
      <c r="I176" s="37">
        <v>144.60937771389038</v>
      </c>
      <c r="J176" s="18">
        <v>320</v>
      </c>
      <c r="K176" s="18">
        <f t="shared" si="54"/>
        <v>23554094.934380803</v>
      </c>
      <c r="L176" s="9"/>
    </row>
    <row r="177" spans="1:12">
      <c r="A177" s="34">
        <v>41456</v>
      </c>
      <c r="B177" s="94">
        <f>'[11]CoS 2017 Load History'!D215</f>
        <v>24573362.894389432</v>
      </c>
      <c r="C177" s="18">
        <f t="shared" ref="C177:D177" si="79">C165</f>
        <v>36.33</v>
      </c>
      <c r="D177" s="18">
        <f t="shared" si="79"/>
        <v>40.369999999999997</v>
      </c>
      <c r="E177" s="18">
        <v>31</v>
      </c>
      <c r="F177" s="18">
        <v>0</v>
      </c>
      <c r="G177" s="18">
        <f>'CDM Activity'!I109</f>
        <v>698691.24803938961</v>
      </c>
      <c r="H177" s="18">
        <f>'[11]CoS 2017 Load History'!F215</f>
        <v>44900</v>
      </c>
      <c r="I177" s="37">
        <v>144.90724935506483</v>
      </c>
      <c r="J177" s="18">
        <v>352</v>
      </c>
      <c r="K177" s="18">
        <f t="shared" si="54"/>
        <v>24984475.142438687</v>
      </c>
      <c r="L177" s="9"/>
    </row>
    <row r="178" spans="1:12">
      <c r="A178" s="34">
        <v>41487</v>
      </c>
      <c r="B178" s="94">
        <f>'[11]CoS 2017 Load History'!D216</f>
        <v>24947123.430989914</v>
      </c>
      <c r="C178" s="18">
        <f t="shared" ref="C178:D178" si="80">C166</f>
        <v>51.55</v>
      </c>
      <c r="D178" s="18">
        <f t="shared" si="80"/>
        <v>29.669999999999998</v>
      </c>
      <c r="E178" s="18">
        <v>31</v>
      </c>
      <c r="F178" s="18">
        <v>0</v>
      </c>
      <c r="G178" s="18">
        <f>'CDM Activity'!I110</f>
        <v>720567.17490325111</v>
      </c>
      <c r="H178" s="18">
        <f>'[11]CoS 2017 Load History'!F216</f>
        <v>44933</v>
      </c>
      <c r="I178" s="37">
        <v>145.20573456304953</v>
      </c>
      <c r="J178" s="18">
        <v>336</v>
      </c>
      <c r="K178" s="18">
        <f t="shared" si="54"/>
        <v>24681431.117876817</v>
      </c>
      <c r="L178" s="9"/>
    </row>
    <row r="179" spans="1:12">
      <c r="A179" s="34">
        <v>41518</v>
      </c>
      <c r="B179" s="94">
        <f>'[11]CoS 2017 Load History'!D217</f>
        <v>24308811.02900004</v>
      </c>
      <c r="C179" s="18">
        <f t="shared" ref="C179:D179" si="81">C167</f>
        <v>176.97</v>
      </c>
      <c r="D179" s="18">
        <f t="shared" si="81"/>
        <v>5.05</v>
      </c>
      <c r="E179" s="18">
        <v>30</v>
      </c>
      <c r="F179" s="18">
        <v>1</v>
      </c>
      <c r="G179" s="18">
        <f>'CDM Activity'!I111</f>
        <v>742443.10176711262</v>
      </c>
      <c r="H179" s="18">
        <f>'[11]CoS 2017 Load History'!F217</f>
        <v>44955</v>
      </c>
      <c r="I179" s="37">
        <v>145.50483460169167</v>
      </c>
      <c r="J179" s="18">
        <v>320</v>
      </c>
      <c r="K179" s="18">
        <f t="shared" si="54"/>
        <v>23331981.160976842</v>
      </c>
      <c r="L179" s="9"/>
    </row>
    <row r="180" spans="1:12">
      <c r="A180" s="34">
        <v>41548</v>
      </c>
      <c r="B180" s="94">
        <f>'[11]CoS 2017 Load History'!D218</f>
        <v>26948256.942999907</v>
      </c>
      <c r="C180" s="18">
        <f t="shared" ref="C180:D180" si="82">C168</f>
        <v>372.15</v>
      </c>
      <c r="D180" s="18">
        <f t="shared" si="82"/>
        <v>0.54</v>
      </c>
      <c r="E180" s="18">
        <v>31</v>
      </c>
      <c r="F180" s="18">
        <v>1</v>
      </c>
      <c r="G180" s="18">
        <f>'CDM Activity'!I112</f>
        <v>764319.02863097412</v>
      </c>
      <c r="H180" s="18">
        <f>'[11]CoS 2017 Load History'!F218</f>
        <v>44993</v>
      </c>
      <c r="I180" s="37">
        <v>145.8045507374417</v>
      </c>
      <c r="J180" s="18">
        <v>352</v>
      </c>
      <c r="K180" s="18">
        <f t="shared" si="54"/>
        <v>26692457.711472102</v>
      </c>
      <c r="L180" s="9"/>
    </row>
    <row r="181" spans="1:12">
      <c r="A181" s="34">
        <v>41579</v>
      </c>
      <c r="B181" s="94">
        <f>'[11]CoS 2017 Load History'!D219</f>
        <v>31135195.451000102</v>
      </c>
      <c r="C181" s="18">
        <f t="shared" ref="C181:D181" si="83">C169</f>
        <v>567.61000000000013</v>
      </c>
      <c r="D181" s="18">
        <f t="shared" si="83"/>
        <v>0</v>
      </c>
      <c r="E181" s="18">
        <v>30</v>
      </c>
      <c r="F181" s="18">
        <v>1</v>
      </c>
      <c r="G181" s="18">
        <f>'CDM Activity'!I113</f>
        <v>786194.95549483562</v>
      </c>
      <c r="H181" s="18">
        <f>'[11]CoS 2017 Load History'!F219</f>
        <v>45062</v>
      </c>
      <c r="I181" s="37">
        <v>146.1048842393588</v>
      </c>
      <c r="J181" s="18">
        <v>336</v>
      </c>
      <c r="K181" s="18">
        <f t="shared" si="54"/>
        <v>28264408.567736875</v>
      </c>
      <c r="L181" s="9"/>
    </row>
    <row r="182" spans="1:12">
      <c r="A182" s="34">
        <v>41609</v>
      </c>
      <c r="B182" s="94">
        <f>'[11]CoS 2017 Load History'!D220</f>
        <v>36848813.003099665</v>
      </c>
      <c r="C182" s="18">
        <f t="shared" ref="C182:D182" si="84">C170</f>
        <v>852.28999999999974</v>
      </c>
      <c r="D182" s="18">
        <f t="shared" si="84"/>
        <v>0</v>
      </c>
      <c r="E182" s="18">
        <v>31</v>
      </c>
      <c r="F182" s="18">
        <v>0</v>
      </c>
      <c r="G182" s="18">
        <f>'CDM Activity'!I114</f>
        <v>808070.88235869713</v>
      </c>
      <c r="H182" s="18">
        <f>'[11]CoS 2017 Load History'!F220</f>
        <v>45079</v>
      </c>
      <c r="I182" s="37">
        <v>146.40583637911641</v>
      </c>
      <c r="J182" s="18">
        <v>320</v>
      </c>
      <c r="K182" s="18">
        <f t="shared" si="54"/>
        <v>33953097.642610438</v>
      </c>
      <c r="L182" s="9"/>
    </row>
    <row r="183" spans="1:12">
      <c r="A183" s="34">
        <v>41640</v>
      </c>
      <c r="B183" s="94">
        <f>'[11]CoS 2017 Load History'!D221</f>
        <v>38922016.556109458</v>
      </c>
      <c r="C183" s="18">
        <f t="shared" ref="C183:D183" si="85">C171</f>
        <v>960.98000000000013</v>
      </c>
      <c r="D183" s="18">
        <f t="shared" si="85"/>
        <v>0</v>
      </c>
      <c r="E183" s="18">
        <v>31</v>
      </c>
      <c r="F183" s="18">
        <v>0</v>
      </c>
      <c r="G183" s="18">
        <f>'CDM Activity'!I115</f>
        <v>794211.51216618088</v>
      </c>
      <c r="H183" s="18">
        <f>'[11]CoS 2017 Load History'!F221</f>
        <v>45081</v>
      </c>
      <c r="I183" s="37"/>
      <c r="J183" s="18"/>
      <c r="K183" s="18">
        <f t="shared" si="54"/>
        <v>35434464.761145934</v>
      </c>
      <c r="L183" s="9"/>
    </row>
    <row r="184" spans="1:12">
      <c r="A184" s="34">
        <v>41671</v>
      </c>
      <c r="B184" s="94">
        <f>'[11]CoS 2017 Load History'!D222</f>
        <v>32993369.868999798</v>
      </c>
      <c r="C184" s="18">
        <f t="shared" ref="C184:D184" si="86">C172</f>
        <v>875.5899999999998</v>
      </c>
      <c r="D184" s="18">
        <f t="shared" si="86"/>
        <v>0</v>
      </c>
      <c r="E184" s="18">
        <v>28</v>
      </c>
      <c r="F184" s="18">
        <v>0</v>
      </c>
      <c r="G184" s="18">
        <f>'CDM Activity'!I116</f>
        <v>780352.14197366463</v>
      </c>
      <c r="H184" s="18">
        <f>'[11]CoS 2017 Load History'!F222</f>
        <v>45092</v>
      </c>
      <c r="I184" s="37"/>
      <c r="J184" s="18"/>
      <c r="K184" s="18">
        <f t="shared" si="54"/>
        <v>31367749.181374326</v>
      </c>
      <c r="L184" s="9"/>
    </row>
    <row r="185" spans="1:12">
      <c r="A185" s="34">
        <v>41699</v>
      </c>
      <c r="B185" s="94">
        <f>'[11]CoS 2017 Load History'!D223</f>
        <v>32244957.139890101</v>
      </c>
      <c r="C185" s="18">
        <f t="shared" ref="C185:D185" si="87">C173</f>
        <v>702.91</v>
      </c>
      <c r="D185" s="18">
        <f t="shared" si="87"/>
        <v>0</v>
      </c>
      <c r="E185" s="18">
        <v>31</v>
      </c>
      <c r="F185" s="18">
        <v>1</v>
      </c>
      <c r="G185" s="18">
        <f>'CDM Activity'!I117</f>
        <v>766492.77178114839</v>
      </c>
      <c r="H185" s="18">
        <f>'[11]CoS 2017 Load History'!F223</f>
        <v>45098</v>
      </c>
      <c r="I185" s="37"/>
      <c r="J185" s="18"/>
      <c r="K185" s="18">
        <f t="shared" si="54"/>
        <v>31095684.87716385</v>
      </c>
      <c r="L185" s="9"/>
    </row>
    <row r="186" spans="1:12">
      <c r="A186" s="34">
        <v>41730</v>
      </c>
      <c r="B186" s="94">
        <f>'[11]CoS 2017 Load History'!D224</f>
        <v>27204303.46900025</v>
      </c>
      <c r="C186" s="18">
        <f t="shared" ref="C186:D186" si="88">C174</f>
        <v>450.5200000000001</v>
      </c>
      <c r="D186" s="18">
        <f t="shared" si="88"/>
        <v>0</v>
      </c>
      <c r="E186" s="18">
        <v>30</v>
      </c>
      <c r="F186" s="18">
        <v>1</v>
      </c>
      <c r="G186" s="18">
        <f>'CDM Activity'!I118</f>
        <v>752633.40158863214</v>
      </c>
      <c r="H186" s="18">
        <f>'[11]CoS 2017 Load History'!F224</f>
        <v>45080</v>
      </c>
      <c r="I186" s="37"/>
      <c r="J186" s="18"/>
      <c r="K186" s="18">
        <f t="shared" si="54"/>
        <v>26757377.013324883</v>
      </c>
      <c r="L186" s="9"/>
    </row>
    <row r="187" spans="1:12">
      <c r="A187" s="34">
        <v>41760</v>
      </c>
      <c r="B187" s="94">
        <f>'[11]CoS 2017 Load History'!D225</f>
        <v>24728780.316999894</v>
      </c>
      <c r="C187" s="18">
        <f t="shared" ref="C187:D187" si="89">C175</f>
        <v>271.46000000000004</v>
      </c>
      <c r="D187" s="18">
        <f t="shared" si="89"/>
        <v>0.47000000000000003</v>
      </c>
      <c r="E187" s="18">
        <v>31</v>
      </c>
      <c r="F187" s="18">
        <v>1</v>
      </c>
      <c r="G187" s="18">
        <f>'CDM Activity'!I119</f>
        <v>738774.0313961159</v>
      </c>
      <c r="H187" s="18">
        <f>'[11]CoS 2017 Load History'!F225</f>
        <v>45067.5</v>
      </c>
      <c r="I187" s="37"/>
      <c r="J187" s="18"/>
      <c r="K187" s="18">
        <f t="shared" si="54"/>
        <v>25387378.114722021</v>
      </c>
      <c r="L187" s="9"/>
    </row>
    <row r="188" spans="1:12">
      <c r="A188" s="34">
        <v>41791</v>
      </c>
      <c r="B188" s="94">
        <f>'[11]CoS 2017 Load History'!D226</f>
        <v>22654738.925000042</v>
      </c>
      <c r="C188" s="18">
        <f t="shared" ref="C188:D188" si="90">C176</f>
        <v>109.59</v>
      </c>
      <c r="D188" s="18">
        <f t="shared" si="90"/>
        <v>6.7</v>
      </c>
      <c r="E188" s="18">
        <v>30</v>
      </c>
      <c r="F188" s="18">
        <v>0</v>
      </c>
      <c r="G188" s="18">
        <f>'CDM Activity'!I120</f>
        <v>724914.66120359965</v>
      </c>
      <c r="H188" s="18">
        <f>'[11]CoS 2017 Load History'!F226</f>
        <v>45067.25</v>
      </c>
      <c r="I188" s="37"/>
      <c r="J188" s="18"/>
      <c r="K188" s="18">
        <f t="shared" si="54"/>
        <v>23465992.64939326</v>
      </c>
      <c r="L188" s="9"/>
    </row>
    <row r="189" spans="1:12">
      <c r="A189" s="34">
        <v>41821</v>
      </c>
      <c r="B189" s="94">
        <f>'[11]CoS 2017 Load History'!D227</f>
        <v>23503977.621029828</v>
      </c>
      <c r="C189" s="18">
        <f t="shared" ref="C189:D189" si="91">C177</f>
        <v>36.33</v>
      </c>
      <c r="D189" s="18">
        <f t="shared" si="91"/>
        <v>40.369999999999997</v>
      </c>
      <c r="E189" s="18">
        <v>31</v>
      </c>
      <c r="F189" s="18">
        <v>0</v>
      </c>
      <c r="G189" s="18">
        <f>'CDM Activity'!I121</f>
        <v>711055.29101108341</v>
      </c>
      <c r="H189" s="18">
        <f>'[11]CoS 2017 Load History'!F227</f>
        <v>45053.125</v>
      </c>
      <c r="I189" s="37"/>
      <c r="J189" s="18"/>
      <c r="K189" s="18">
        <f t="shared" si="54"/>
        <v>24961828.252962559</v>
      </c>
      <c r="L189" s="9"/>
    </row>
    <row r="190" spans="1:12">
      <c r="A190" s="34">
        <v>41852</v>
      </c>
      <c r="B190" s="94">
        <f>'[11]CoS 2017 Load History'!D228</f>
        <v>23764110.289000064</v>
      </c>
      <c r="C190" s="18">
        <f t="shared" ref="C190:D190" si="92">C178</f>
        <v>51.55</v>
      </c>
      <c r="D190" s="18">
        <f t="shared" si="92"/>
        <v>29.669999999999998</v>
      </c>
      <c r="E190" s="18">
        <v>31</v>
      </c>
      <c r="F190" s="18">
        <v>0</v>
      </c>
      <c r="G190" s="18">
        <f>'CDM Activity'!I122</f>
        <v>697195.92081856716</v>
      </c>
      <c r="H190" s="18">
        <f>'[11]CoS 2017 Load History'!F228</f>
        <v>45066.0625</v>
      </c>
      <c r="I190" s="37"/>
      <c r="J190" s="18"/>
      <c r="K190" s="18">
        <f t="shared" si="54"/>
        <v>24724239.623912107</v>
      </c>
      <c r="L190" s="9"/>
    </row>
    <row r="191" spans="1:12">
      <c r="A191" s="34">
        <v>41883</v>
      </c>
      <c r="B191" s="94">
        <f>'[11]CoS 2017 Load History'!D229</f>
        <v>23696270.525999971</v>
      </c>
      <c r="C191" s="18">
        <f t="shared" ref="C191:D191" si="93">C179</f>
        <v>176.97</v>
      </c>
      <c r="D191" s="18">
        <f t="shared" si="93"/>
        <v>5.05</v>
      </c>
      <c r="E191" s="18">
        <v>30</v>
      </c>
      <c r="F191" s="18">
        <v>1</v>
      </c>
      <c r="G191" s="18">
        <f>'CDM Activity'!I123</f>
        <v>683336.55062605091</v>
      </c>
      <c r="H191" s="18">
        <f>'[11]CoS 2017 Load History'!F229</f>
        <v>45097.03125</v>
      </c>
      <c r="I191" s="37"/>
      <c r="J191" s="18"/>
      <c r="K191" s="18">
        <f t="shared" si="54"/>
        <v>23440245.062523551</v>
      </c>
      <c r="L191" s="9"/>
    </row>
    <row r="192" spans="1:12">
      <c r="A192" s="34">
        <v>41913</v>
      </c>
      <c r="B192" s="94">
        <f>'[11]CoS 2017 Load History'!D230</f>
        <v>26444465.620999623</v>
      </c>
      <c r="C192" s="18">
        <f t="shared" ref="C192:D192" si="94">C180</f>
        <v>372.15</v>
      </c>
      <c r="D192" s="18">
        <f t="shared" si="94"/>
        <v>0.54</v>
      </c>
      <c r="E192" s="18">
        <v>31</v>
      </c>
      <c r="F192" s="18">
        <v>1</v>
      </c>
      <c r="G192" s="18">
        <f>'CDM Activity'!I124</f>
        <v>669477.18043353467</v>
      </c>
      <c r="H192" s="18">
        <f>'[11]CoS 2017 Load History'!F230</f>
        <v>45138.015625</v>
      </c>
      <c r="I192" s="37"/>
      <c r="J192" s="18"/>
      <c r="K192" s="18">
        <f t="shared" si="54"/>
        <v>26866177.008530226</v>
      </c>
      <c r="L192" s="9"/>
    </row>
    <row r="193" spans="1:12">
      <c r="A193" s="34">
        <v>41944</v>
      </c>
      <c r="B193" s="94">
        <f>'[11]CoS 2017 Load History'!D231</f>
        <v>29676769.037999768</v>
      </c>
      <c r="C193" s="18">
        <f t="shared" ref="C193:D193" si="95">C181</f>
        <v>567.61000000000013</v>
      </c>
      <c r="D193" s="18">
        <f t="shared" si="95"/>
        <v>0</v>
      </c>
      <c r="E193" s="18">
        <v>30</v>
      </c>
      <c r="F193" s="18">
        <v>1</v>
      </c>
      <c r="G193" s="18">
        <f>'CDM Activity'!I125</f>
        <v>655617.81024101842</v>
      </c>
      <c r="H193" s="18">
        <f>'[11]CoS 2017 Load History'!F231</f>
        <v>45196.5078125</v>
      </c>
      <c r="I193" s="37"/>
      <c r="J193" s="18"/>
      <c r="K193" s="18">
        <f t="shared" si="54"/>
        <v>28503583.260306418</v>
      </c>
      <c r="L193" s="9"/>
    </row>
    <row r="194" spans="1:12">
      <c r="A194" s="34">
        <v>41974</v>
      </c>
      <c r="B194" s="94">
        <f>'[11]CoS 2017 Load History'!D232</f>
        <v>34191036.516999617</v>
      </c>
      <c r="C194" s="18">
        <f t="shared" ref="C194:D194" si="96">C182</f>
        <v>852.28999999999974</v>
      </c>
      <c r="D194" s="18">
        <f t="shared" si="96"/>
        <v>0</v>
      </c>
      <c r="E194" s="18">
        <v>31</v>
      </c>
      <c r="F194" s="18">
        <v>0</v>
      </c>
      <c r="G194" s="18">
        <f>'CDM Activity'!I126</f>
        <v>641758.44004850218</v>
      </c>
      <c r="H194" s="18">
        <f>'[11]CoS 2017 Load History'!F232</f>
        <v>45238.75390625</v>
      </c>
      <c r="I194" s="37"/>
      <c r="J194" s="18"/>
      <c r="K194" s="18">
        <f t="shared" si="54"/>
        <v>34257727.730691396</v>
      </c>
      <c r="L194" s="9"/>
    </row>
    <row r="195" spans="1:12">
      <c r="A195" s="34">
        <v>42005</v>
      </c>
      <c r="B195" s="94">
        <f>'[11]CoS 2017 Load History'!D233</f>
        <v>36508095.939999245</v>
      </c>
      <c r="C195" s="18">
        <f t="shared" ref="C195:D195" si="97">C183</f>
        <v>960.98000000000013</v>
      </c>
      <c r="D195" s="18">
        <f t="shared" si="97"/>
        <v>0</v>
      </c>
      <c r="E195" s="18">
        <v>31</v>
      </c>
      <c r="F195" s="18">
        <v>0</v>
      </c>
      <c r="G195" s="18">
        <f>'CDM Activity'!I127</f>
        <v>655765.02685902989</v>
      </c>
      <c r="H195" s="18">
        <f>'[11]CoS 2017 Load History'!F233</f>
        <v>45257.876953125</v>
      </c>
      <c r="I195" s="37"/>
      <c r="J195" s="18"/>
      <c r="K195" s="18">
        <f t="shared" si="54"/>
        <v>35688053.515106715</v>
      </c>
      <c r="L195" s="214"/>
    </row>
    <row r="196" spans="1:12">
      <c r="A196" s="34">
        <v>42036</v>
      </c>
      <c r="B196" s="94">
        <f>'[11]CoS 2017 Load History'!D234</f>
        <v>31660210.639999628</v>
      </c>
      <c r="C196" s="18">
        <f t="shared" ref="C196:D196" si="98">C184</f>
        <v>875.5899999999998</v>
      </c>
      <c r="D196" s="18">
        <f t="shared" si="98"/>
        <v>0</v>
      </c>
      <c r="E196" s="18">
        <v>28</v>
      </c>
      <c r="F196" s="18">
        <v>0</v>
      </c>
      <c r="G196" s="18">
        <f>'CDM Activity'!I128</f>
        <v>669771.61366955761</v>
      </c>
      <c r="H196" s="18">
        <f>'[11]CoS 2017 Load History'!F234</f>
        <v>45271.4384765625</v>
      </c>
      <c r="I196" s="37"/>
      <c r="J196" s="18"/>
      <c r="K196" s="18">
        <f t="shared" si="54"/>
        <v>31570296.601214927</v>
      </c>
      <c r="L196" s="214"/>
    </row>
    <row r="197" spans="1:12">
      <c r="A197" s="34">
        <v>42064</v>
      </c>
      <c r="B197" s="94">
        <f>'[11]CoS 2017 Load History'!D235</f>
        <v>30744805.542999852</v>
      </c>
      <c r="C197" s="18">
        <f t="shared" ref="C197:D197" si="99">C185</f>
        <v>702.91</v>
      </c>
      <c r="D197" s="18">
        <f t="shared" si="99"/>
        <v>0</v>
      </c>
      <c r="E197" s="18">
        <v>31</v>
      </c>
      <c r="F197" s="18">
        <v>1</v>
      </c>
      <c r="G197" s="18">
        <f>'CDM Activity'!I129</f>
        <v>683778.20048008533</v>
      </c>
      <c r="H197" s="18">
        <f>'[11]CoS 2017 Load History'!F235</f>
        <v>45270.21923828125</v>
      </c>
      <c r="I197" s="37"/>
      <c r="J197" s="18"/>
      <c r="K197" s="18">
        <f t="shared" si="54"/>
        <v>31247190.962884273</v>
      </c>
      <c r="L197" s="214"/>
    </row>
    <row r="198" spans="1:12">
      <c r="A198" s="34">
        <v>42095</v>
      </c>
      <c r="B198" s="94">
        <f>'[11]CoS 2017 Load History'!D236</f>
        <v>25623800.388999961</v>
      </c>
      <c r="C198" s="18">
        <f t="shared" ref="C198:D198" si="100">C186</f>
        <v>450.5200000000001</v>
      </c>
      <c r="D198" s="18">
        <f t="shared" si="100"/>
        <v>0</v>
      </c>
      <c r="E198" s="18">
        <v>30</v>
      </c>
      <c r="F198" s="18">
        <v>1</v>
      </c>
      <c r="G198" s="18">
        <f>'CDM Activity'!I130</f>
        <v>697784.78729061305</v>
      </c>
      <c r="H198" s="18">
        <f>'[11]CoS 2017 Load History'!F236</f>
        <v>45248.609619140625</v>
      </c>
      <c r="I198" s="37"/>
      <c r="J198" s="18"/>
      <c r="K198" s="18">
        <f t="shared" si="54"/>
        <v>26857841.764925126</v>
      </c>
      <c r="L198" s="214"/>
    </row>
    <row r="199" spans="1:12">
      <c r="A199" s="34">
        <v>42125</v>
      </c>
      <c r="B199" s="94">
        <f>'[11]CoS 2017 Load History'!D237</f>
        <v>23579601.63399975</v>
      </c>
      <c r="C199" s="18">
        <f t="shared" ref="C199:D199" si="101">C187</f>
        <v>271.46000000000004</v>
      </c>
      <c r="D199" s="18">
        <f t="shared" si="101"/>
        <v>0.47000000000000003</v>
      </c>
      <c r="E199" s="18">
        <v>31</v>
      </c>
      <c r="F199" s="18">
        <v>1</v>
      </c>
      <c r="G199" s="18">
        <f>'CDM Activity'!I131</f>
        <v>711791.37410114077</v>
      </c>
      <c r="H199" s="18">
        <f>'[11]CoS 2017 Load History'!F237</f>
        <v>45240.304809570313</v>
      </c>
      <c r="I199" s="37"/>
      <c r="J199" s="18"/>
      <c r="K199" s="18">
        <f t="shared" si="54"/>
        <v>25436801.532202087</v>
      </c>
      <c r="L199" s="214"/>
    </row>
    <row r="200" spans="1:12">
      <c r="A200" s="34">
        <v>42156</v>
      </c>
      <c r="B200" s="94">
        <f>'[11]CoS 2017 Load History'!D238</f>
        <v>22175635.396999881</v>
      </c>
      <c r="C200" s="18">
        <f t="shared" ref="C200:D200" si="102">C188</f>
        <v>109.59</v>
      </c>
      <c r="D200" s="18">
        <f t="shared" si="102"/>
        <v>6.7</v>
      </c>
      <c r="E200" s="18">
        <v>30</v>
      </c>
      <c r="F200" s="18">
        <v>0</v>
      </c>
      <c r="G200" s="18">
        <f>'CDM Activity'!I132</f>
        <v>725797.96091166849</v>
      </c>
      <c r="H200" s="18">
        <f>'[11]CoS 2017 Load History'!F238</f>
        <v>45233.152404785156</v>
      </c>
      <c r="I200" s="37"/>
      <c r="J200" s="18"/>
      <c r="K200" s="18">
        <f t="shared" si="54"/>
        <v>23464374.73275315</v>
      </c>
      <c r="L200" s="214"/>
    </row>
    <row r="201" spans="1:12">
      <c r="A201" s="34">
        <v>42186</v>
      </c>
      <c r="B201" s="94">
        <f>'[11]CoS 2017 Load History'!D239</f>
        <v>23881661.082999926</v>
      </c>
      <c r="C201" s="18">
        <f t="shared" ref="C201:D201" si="103">C189</f>
        <v>36.33</v>
      </c>
      <c r="D201" s="18">
        <f t="shared" si="103"/>
        <v>40.369999999999997</v>
      </c>
      <c r="E201" s="18">
        <v>31</v>
      </c>
      <c r="F201" s="18">
        <v>0</v>
      </c>
      <c r="G201" s="18">
        <f>'CDM Activity'!I133</f>
        <v>739804.54772219621</v>
      </c>
      <c r="H201" s="18">
        <f>'[11]CoS 2017 Load History'!F239</f>
        <v>45228.576202392578</v>
      </c>
      <c r="I201" s="37"/>
      <c r="J201" s="18"/>
      <c r="K201" s="18">
        <f t="shared" si="54"/>
        <v>24909169.002202272</v>
      </c>
      <c r="L201" s="214"/>
    </row>
    <row r="202" spans="1:12">
      <c r="A202" s="34">
        <v>42217</v>
      </c>
      <c r="B202" s="94">
        <f>'[11]CoS 2017 Load History'!D240</f>
        <v>24372893.72900008</v>
      </c>
      <c r="C202" s="18">
        <f t="shared" ref="C202:D202" si="104">C190</f>
        <v>51.55</v>
      </c>
      <c r="D202" s="18">
        <f t="shared" si="104"/>
        <v>29.669999999999998</v>
      </c>
      <c r="E202" s="18">
        <v>31</v>
      </c>
      <c r="F202" s="18">
        <v>0</v>
      </c>
      <c r="G202" s="18">
        <f>'CDM Activity'!I134</f>
        <v>753811.13453272393</v>
      </c>
      <c r="H202" s="18">
        <f>'[11]CoS 2017 Load History'!F240</f>
        <v>45233.288101196289</v>
      </c>
      <c r="I202" s="37"/>
      <c r="J202" s="18"/>
      <c r="K202" s="18">
        <f t="shared" si="54"/>
        <v>24620539.03903164</v>
      </c>
      <c r="L202" s="214"/>
    </row>
    <row r="203" spans="1:12">
      <c r="A203" s="34">
        <v>42248</v>
      </c>
      <c r="B203" s="94">
        <f>'[11]CoS 2017 Load History'!D241</f>
        <v>23562673.682000015</v>
      </c>
      <c r="C203" s="18">
        <f t="shared" ref="C203:D203" si="105">C191</f>
        <v>176.97</v>
      </c>
      <c r="D203" s="18">
        <f t="shared" si="105"/>
        <v>5.05</v>
      </c>
      <c r="E203" s="18">
        <v>30</v>
      </c>
      <c r="F203" s="18">
        <v>1</v>
      </c>
      <c r="G203" s="18">
        <f>'CDM Activity'!I135</f>
        <v>767817.72134325164</v>
      </c>
      <c r="H203" s="18">
        <f>'[11]CoS 2017 Load History'!F241</f>
        <v>45265.144050598145</v>
      </c>
      <c r="I203" s="37"/>
      <c r="J203" s="18"/>
      <c r="K203" s="18">
        <f t="shared" si="54"/>
        <v>23285503.143522907</v>
      </c>
      <c r="L203" s="214"/>
    </row>
    <row r="204" spans="1:12">
      <c r="A204" s="34">
        <v>42278</v>
      </c>
      <c r="B204" s="94">
        <f>'[11]CoS 2017 Load History'!D242</f>
        <v>24999074.480999615</v>
      </c>
      <c r="C204" s="18">
        <f t="shared" ref="C204:D204" si="106">C192</f>
        <v>372.15</v>
      </c>
      <c r="D204" s="18">
        <f t="shared" si="106"/>
        <v>0.54</v>
      </c>
      <c r="E204" s="18">
        <v>31</v>
      </c>
      <c r="F204" s="18">
        <v>1</v>
      </c>
      <c r="G204" s="18">
        <f>'CDM Activity'!I136</f>
        <v>781824.30815377936</v>
      </c>
      <c r="H204" s="18">
        <f>'[11]CoS 2017 Load History'!F242</f>
        <v>45305.572025299072</v>
      </c>
      <c r="I204" s="37"/>
      <c r="J204" s="18"/>
      <c r="K204" s="18">
        <f t="shared" si="54"/>
        <v>26660393.755409405</v>
      </c>
      <c r="L204" s="214"/>
    </row>
    <row r="205" spans="1:12">
      <c r="A205" s="34">
        <v>42309</v>
      </c>
      <c r="B205" s="94">
        <f>'[11]CoS 2017 Load History'!D243</f>
        <v>26870909.26699993</v>
      </c>
      <c r="C205" s="18">
        <f t="shared" ref="C205:D205" si="107">C193</f>
        <v>567.61000000000013</v>
      </c>
      <c r="D205" s="18">
        <f t="shared" si="107"/>
        <v>0</v>
      </c>
      <c r="E205" s="18">
        <v>30</v>
      </c>
      <c r="F205" s="18">
        <v>1</v>
      </c>
      <c r="G205" s="18">
        <f>'CDM Activity'!I137</f>
        <v>795830.89496430708</v>
      </c>
      <c r="H205" s="18">
        <f>'[11]CoS 2017 Load History'!F243</f>
        <v>45342.286012649536</v>
      </c>
      <c r="I205" s="37"/>
      <c r="J205" s="18"/>
      <c r="K205" s="18">
        <f t="shared" si="54"/>
        <v>28246758.673065417</v>
      </c>
      <c r="L205" s="214"/>
    </row>
    <row r="206" spans="1:12">
      <c r="A206" s="34">
        <v>42339</v>
      </c>
      <c r="B206" s="94">
        <f>'[11]CoS 2017 Load History'!D244</f>
        <v>30693907.412000064</v>
      </c>
      <c r="C206" s="18">
        <f t="shared" ref="C206:D206" si="108">C194</f>
        <v>852.28999999999974</v>
      </c>
      <c r="D206" s="18">
        <f t="shared" si="108"/>
        <v>0</v>
      </c>
      <c r="E206" s="18">
        <v>31</v>
      </c>
      <c r="F206" s="18">
        <v>0</v>
      </c>
      <c r="G206" s="18">
        <f>'CDM Activity'!I138</f>
        <v>809837.4817748348</v>
      </c>
      <c r="H206" s="18">
        <f>'[11]CoS 2017 Load History'!F244</f>
        <v>45374.643006324768</v>
      </c>
      <c r="I206" s="37"/>
      <c r="J206" s="18"/>
      <c r="K206" s="18">
        <f t="shared" si="54"/>
        <v>33949861.809330225</v>
      </c>
      <c r="L206" s="214"/>
    </row>
    <row r="207" spans="1:12">
      <c r="A207" s="34">
        <v>42370</v>
      </c>
      <c r="B207" s="28"/>
      <c r="C207" s="18">
        <f t="shared" ref="C207:D207" si="109">C195</f>
        <v>960.98000000000013</v>
      </c>
      <c r="D207" s="18">
        <f t="shared" si="109"/>
        <v>0</v>
      </c>
      <c r="E207" s="18">
        <v>31</v>
      </c>
      <c r="F207" s="18">
        <v>0</v>
      </c>
      <c r="G207" s="18">
        <f>'CDM Activity'!I139</f>
        <v>797617.58875044296</v>
      </c>
      <c r="H207" s="18"/>
      <c r="I207" s="37"/>
      <c r="J207" s="18"/>
      <c r="K207" s="18">
        <f>$O$103+C207*$O$104+D207*$O$105+E207*$O$106+F207*$O$107+G207*$O$108</f>
        <v>35428225.941034451</v>
      </c>
      <c r="L207" s="9"/>
    </row>
    <row r="208" spans="1:12">
      <c r="A208" s="34">
        <v>42401</v>
      </c>
      <c r="B208" s="28"/>
      <c r="C208" s="18">
        <f t="shared" ref="C208:D208" si="110">C196</f>
        <v>875.5899999999998</v>
      </c>
      <c r="D208" s="18">
        <f t="shared" si="110"/>
        <v>0</v>
      </c>
      <c r="E208" s="18">
        <v>29</v>
      </c>
      <c r="F208" s="18">
        <v>0</v>
      </c>
      <c r="G208" s="18">
        <f>'CDM Activity'!I140</f>
        <v>785397.69572605111</v>
      </c>
      <c r="H208" s="18"/>
      <c r="I208" s="37"/>
      <c r="J208" s="18"/>
      <c r="K208" s="18">
        <f t="shared" ref="K208:K230" si="111">$O$103+C208*$O$104+D208*$O$105+E208*$O$106+F208*$O$107+G208*$O$108</f>
        <v>32341254.214286603</v>
      </c>
      <c r="L208" s="9"/>
    </row>
    <row r="209" spans="1:12">
      <c r="A209" s="34">
        <v>42430</v>
      </c>
      <c r="B209" s="28"/>
      <c r="C209" s="18">
        <f t="shared" ref="C209:D209" si="112">C197</f>
        <v>702.91</v>
      </c>
      <c r="D209" s="18">
        <f t="shared" si="112"/>
        <v>0</v>
      </c>
      <c r="E209" s="18">
        <v>31</v>
      </c>
      <c r="F209" s="18">
        <v>1</v>
      </c>
      <c r="G209" s="18">
        <f>'CDM Activity'!I141</f>
        <v>773177.80270165927</v>
      </c>
      <c r="H209" s="18"/>
      <c r="I209" s="37"/>
      <c r="J209" s="18"/>
      <c r="K209" s="18">
        <f t="shared" si="111"/>
        <v>31083440.083389845</v>
      </c>
      <c r="L209" s="9"/>
    </row>
    <row r="210" spans="1:12">
      <c r="A210" s="34">
        <v>42461</v>
      </c>
      <c r="B210" s="28"/>
      <c r="C210" s="18">
        <f t="shared" ref="C210:D210" si="113">C198</f>
        <v>450.5200000000001</v>
      </c>
      <c r="D210" s="18">
        <f t="shared" si="113"/>
        <v>0</v>
      </c>
      <c r="E210" s="18">
        <v>30</v>
      </c>
      <c r="F210" s="18">
        <v>1</v>
      </c>
      <c r="G210" s="18">
        <f>'CDM Activity'!I142</f>
        <v>760957.90967726742</v>
      </c>
      <c r="H210" s="18"/>
      <c r="I210" s="37"/>
      <c r="J210" s="18"/>
      <c r="K210" s="18">
        <f t="shared" si="111"/>
        <v>26742129.232719615</v>
      </c>
      <c r="L210" s="9"/>
    </row>
    <row r="211" spans="1:12">
      <c r="A211" s="34">
        <v>42491</v>
      </c>
      <c r="B211" s="28"/>
      <c r="C211" s="18">
        <f t="shared" ref="C211:D211" si="114">C199</f>
        <v>271.46000000000004</v>
      </c>
      <c r="D211" s="18">
        <f t="shared" si="114"/>
        <v>0.47000000000000003</v>
      </c>
      <c r="E211" s="18">
        <v>31</v>
      </c>
      <c r="F211" s="18">
        <v>1</v>
      </c>
      <c r="G211" s="18">
        <f>'CDM Activity'!I143</f>
        <v>748738.01665287558</v>
      </c>
      <c r="H211" s="18"/>
      <c r="I211" s="37"/>
      <c r="J211" s="18"/>
      <c r="K211" s="18">
        <f t="shared" si="111"/>
        <v>25369127.347285494</v>
      </c>
      <c r="L211" s="9"/>
    </row>
    <row r="212" spans="1:12">
      <c r="A212" s="34">
        <v>42522</v>
      </c>
      <c r="B212" s="28"/>
      <c r="C212" s="18">
        <f t="shared" ref="C212:D212" si="115">C200</f>
        <v>109.59</v>
      </c>
      <c r="D212" s="18">
        <f t="shared" si="115"/>
        <v>6.7</v>
      </c>
      <c r="E212" s="18">
        <v>30</v>
      </c>
      <c r="F212" s="18">
        <v>0</v>
      </c>
      <c r="G212" s="18">
        <f>'CDM Activity'!I144</f>
        <v>736518.12362848374</v>
      </c>
      <c r="H212" s="18"/>
      <c r="I212" s="37"/>
      <c r="J212" s="18"/>
      <c r="K212" s="18">
        <f t="shared" si="111"/>
        <v>23444738.895125471</v>
      </c>
      <c r="L212" s="9"/>
    </row>
    <row r="213" spans="1:12">
      <c r="A213" s="34">
        <v>42552</v>
      </c>
      <c r="B213" s="28"/>
      <c r="C213" s="18">
        <f t="shared" ref="C213:D213" si="116">C201</f>
        <v>36.33</v>
      </c>
      <c r="D213" s="18">
        <f t="shared" si="116"/>
        <v>40.369999999999997</v>
      </c>
      <c r="E213" s="18">
        <v>31</v>
      </c>
      <c r="F213" s="18">
        <v>0</v>
      </c>
      <c r="G213" s="18">
        <f>'CDM Activity'!I145</f>
        <v>724298.23060409189</v>
      </c>
      <c r="H213" s="18"/>
      <c r="I213" s="37"/>
      <c r="J213" s="18"/>
      <c r="K213" s="18">
        <f t="shared" si="111"/>
        <v>24937571.511863507</v>
      </c>
      <c r="L213" s="9"/>
    </row>
    <row r="214" spans="1:12">
      <c r="A214" s="34">
        <v>42583</v>
      </c>
      <c r="B214" s="28"/>
      <c r="C214" s="18">
        <f t="shared" ref="C214:D214" si="117">C202</f>
        <v>51.55</v>
      </c>
      <c r="D214" s="18">
        <f t="shared" si="117"/>
        <v>29.669999999999998</v>
      </c>
      <c r="E214" s="18">
        <v>31</v>
      </c>
      <c r="F214" s="18">
        <v>0</v>
      </c>
      <c r="G214" s="18">
        <f>'CDM Activity'!I146</f>
        <v>712078.33757970005</v>
      </c>
      <c r="H214" s="18"/>
      <c r="I214" s="37"/>
      <c r="J214" s="18"/>
      <c r="K214" s="18">
        <f t="shared" si="111"/>
        <v>24696979.895981796</v>
      </c>
      <c r="L214" s="9"/>
    </row>
    <row r="215" spans="1:12">
      <c r="A215" s="34">
        <v>42614</v>
      </c>
      <c r="B215" s="28"/>
      <c r="C215" s="18">
        <f t="shared" ref="C215:D215" si="118">C203</f>
        <v>176.97</v>
      </c>
      <c r="D215" s="18">
        <f t="shared" si="118"/>
        <v>5.05</v>
      </c>
      <c r="E215" s="18">
        <v>30</v>
      </c>
      <c r="F215" s="18">
        <v>1</v>
      </c>
      <c r="G215" s="18">
        <f>'CDM Activity'!I147</f>
        <v>699858.4445553082</v>
      </c>
      <c r="H215" s="18"/>
      <c r="I215" s="37"/>
      <c r="J215" s="18"/>
      <c r="K215" s="18">
        <f t="shared" si="111"/>
        <v>23409982.347761977</v>
      </c>
      <c r="L215" s="9"/>
    </row>
    <row r="216" spans="1:12">
      <c r="A216" s="34">
        <v>42644</v>
      </c>
      <c r="B216" s="28"/>
      <c r="C216" s="18">
        <f t="shared" ref="C216:D216" si="119">C204</f>
        <v>372.15</v>
      </c>
      <c r="D216" s="18">
        <f t="shared" si="119"/>
        <v>0.54</v>
      </c>
      <c r="E216" s="18">
        <v>31</v>
      </c>
      <c r="F216" s="18">
        <v>1</v>
      </c>
      <c r="G216" s="18">
        <f>'CDM Activity'!I148</f>
        <v>687638.55153091636</v>
      </c>
      <c r="H216" s="18"/>
      <c r="I216" s="37"/>
      <c r="J216" s="18"/>
      <c r="K216" s="18">
        <f t="shared" si="111"/>
        <v>26832911.306937389</v>
      </c>
      <c r="L216" s="9"/>
    </row>
    <row r="217" spans="1:12">
      <c r="A217" s="34">
        <v>42675</v>
      </c>
      <c r="B217" s="28"/>
      <c r="C217" s="18">
        <f t="shared" ref="C217:D217" si="120">C205</f>
        <v>567.61000000000013</v>
      </c>
      <c r="D217" s="18">
        <f t="shared" si="120"/>
        <v>0</v>
      </c>
      <c r="E217" s="18">
        <v>30</v>
      </c>
      <c r="F217" s="18">
        <v>1</v>
      </c>
      <c r="G217" s="18">
        <f>'CDM Activity'!I149</f>
        <v>675418.65850652452</v>
      </c>
      <c r="H217" s="18"/>
      <c r="I217" s="37"/>
      <c r="J217" s="18"/>
      <c r="K217" s="18">
        <f t="shared" si="111"/>
        <v>28467314.571882322</v>
      </c>
      <c r="L217" s="9"/>
    </row>
    <row r="218" spans="1:12">
      <c r="A218" s="34">
        <v>42705</v>
      </c>
      <c r="B218" s="28"/>
      <c r="C218" s="18">
        <f t="shared" ref="C218:D218" si="121">C206</f>
        <v>852.28999999999974</v>
      </c>
      <c r="D218" s="18">
        <f t="shared" si="121"/>
        <v>0</v>
      </c>
      <c r="E218" s="18">
        <v>31</v>
      </c>
      <c r="F218" s="18">
        <v>0</v>
      </c>
      <c r="G218" s="18">
        <f>'CDM Activity'!I150</f>
        <v>663198.76548213267</v>
      </c>
      <c r="H218" s="18"/>
      <c r="I218" s="37"/>
      <c r="J218" s="18"/>
      <c r="K218" s="18">
        <f t="shared" si="111"/>
        <v>34218456.055436037</v>
      </c>
      <c r="L218" s="9"/>
    </row>
    <row r="219" spans="1:12">
      <c r="A219" s="34">
        <v>42736</v>
      </c>
      <c r="B219" s="28"/>
      <c r="C219" s="18">
        <f t="shared" ref="C219:D219" si="122">C207</f>
        <v>960.98000000000013</v>
      </c>
      <c r="D219" s="18">
        <f t="shared" si="122"/>
        <v>0</v>
      </c>
      <c r="E219" s="18">
        <v>31</v>
      </c>
      <c r="F219" s="18">
        <v>0</v>
      </c>
      <c r="G219" s="18">
        <f>'CDM Activity'!I151</f>
        <v>659124.91232896491</v>
      </c>
      <c r="H219" s="18"/>
      <c r="I219" s="37"/>
      <c r="J219" s="18"/>
      <c r="K219" s="18">
        <f t="shared" si="111"/>
        <v>35681899.302033834</v>
      </c>
      <c r="L219" s="9"/>
    </row>
    <row r="220" spans="1:12">
      <c r="A220" s="34">
        <v>42767</v>
      </c>
      <c r="B220" s="28"/>
      <c r="C220" s="18">
        <f t="shared" ref="C220:D220" si="123">C208</f>
        <v>875.5899999999998</v>
      </c>
      <c r="D220" s="18">
        <f t="shared" si="123"/>
        <v>0</v>
      </c>
      <c r="E220" s="18">
        <v>28</v>
      </c>
      <c r="F220" s="18">
        <v>0</v>
      </c>
      <c r="G220" s="18">
        <f>'CDM Activity'!I152</f>
        <v>655051.05917579716</v>
      </c>
      <c r="H220" s="18"/>
      <c r="I220" s="37"/>
      <c r="J220" s="18"/>
      <c r="K220" s="18">
        <f t="shared" si="111"/>
        <v>31597259.850324519</v>
      </c>
      <c r="L220" s="9"/>
    </row>
    <row r="221" spans="1:12">
      <c r="A221" s="34">
        <v>42795</v>
      </c>
      <c r="B221" s="28"/>
      <c r="C221" s="18">
        <f t="shared" ref="C221:D221" si="124">C209</f>
        <v>702.91</v>
      </c>
      <c r="D221" s="18">
        <f t="shared" si="124"/>
        <v>0</v>
      </c>
      <c r="E221" s="18">
        <v>31</v>
      </c>
      <c r="F221" s="18">
        <v>1</v>
      </c>
      <c r="G221" s="18">
        <f>'CDM Activity'!I153</f>
        <v>650977.2060226294</v>
      </c>
      <c r="H221" s="18"/>
      <c r="I221" s="37"/>
      <c r="J221" s="18"/>
      <c r="K221" s="18">
        <f t="shared" si="111"/>
        <v>31307271.674176343</v>
      </c>
      <c r="L221" s="9"/>
    </row>
    <row r="222" spans="1:12">
      <c r="A222" s="34">
        <v>42826</v>
      </c>
      <c r="B222" s="28"/>
      <c r="C222" s="18">
        <f t="shared" ref="C222:D222" si="125">C210</f>
        <v>450.5200000000001</v>
      </c>
      <c r="D222" s="18">
        <f t="shared" si="125"/>
        <v>0</v>
      </c>
      <c r="E222" s="18">
        <v>30</v>
      </c>
      <c r="F222" s="18">
        <v>1</v>
      </c>
      <c r="G222" s="18">
        <f>'CDM Activity'!I154</f>
        <v>646903.35286946164</v>
      </c>
      <c r="H222" s="18"/>
      <c r="I222" s="37"/>
      <c r="J222" s="18"/>
      <c r="K222" s="18">
        <f t="shared" si="111"/>
        <v>26951039.938399673</v>
      </c>
      <c r="L222" s="9"/>
    </row>
    <row r="223" spans="1:12">
      <c r="A223" s="34">
        <v>42856</v>
      </c>
      <c r="B223" s="28"/>
      <c r="C223" s="18">
        <f t="shared" ref="C223:D223" si="126">C211</f>
        <v>271.46000000000004</v>
      </c>
      <c r="D223" s="18">
        <f t="shared" si="126"/>
        <v>0.47000000000000003</v>
      </c>
      <c r="E223" s="18">
        <v>31</v>
      </c>
      <c r="F223" s="18">
        <v>1</v>
      </c>
      <c r="G223" s="18">
        <f>'CDM Activity'!I155</f>
        <v>642829.49971629388</v>
      </c>
      <c r="H223" s="18"/>
      <c r="I223" s="37"/>
      <c r="J223" s="18"/>
      <c r="K223" s="18">
        <f t="shared" si="111"/>
        <v>25563117.167859107</v>
      </c>
      <c r="L223" s="9"/>
    </row>
    <row r="224" spans="1:12">
      <c r="A224" s="34">
        <v>42887</v>
      </c>
      <c r="B224" s="28"/>
      <c r="C224" s="18">
        <f t="shared" ref="C224:D224" si="127">C212</f>
        <v>109.59</v>
      </c>
      <c r="D224" s="18">
        <f t="shared" si="127"/>
        <v>6.7</v>
      </c>
      <c r="E224" s="18">
        <v>30</v>
      </c>
      <c r="F224" s="18">
        <v>0</v>
      </c>
      <c r="G224" s="18">
        <f>'CDM Activity'!I156</f>
        <v>638755.64656312612</v>
      </c>
      <c r="H224" s="18"/>
      <c r="I224" s="37"/>
      <c r="J224" s="18"/>
      <c r="K224" s="18">
        <f t="shared" si="111"/>
        <v>23623807.830592647</v>
      </c>
      <c r="L224" s="9"/>
    </row>
    <row r="225" spans="1:13">
      <c r="A225" s="34">
        <v>42917</v>
      </c>
      <c r="B225" s="28"/>
      <c r="C225" s="18">
        <f t="shared" ref="C225:D225" si="128">C213</f>
        <v>36.33</v>
      </c>
      <c r="D225" s="18">
        <f t="shared" si="128"/>
        <v>40.369999999999997</v>
      </c>
      <c r="E225" s="18">
        <v>31</v>
      </c>
      <c r="F225" s="18">
        <v>0</v>
      </c>
      <c r="G225" s="18">
        <f>'CDM Activity'!I157</f>
        <v>634681.79340995837</v>
      </c>
      <c r="H225" s="18"/>
      <c r="I225" s="37"/>
      <c r="J225" s="18"/>
      <c r="K225" s="18">
        <f t="shared" si="111"/>
        <v>25101719.562224243</v>
      </c>
      <c r="L225" s="9"/>
    </row>
    <row r="226" spans="1:13">
      <c r="A226" s="34">
        <v>42948</v>
      </c>
      <c r="B226" s="28"/>
      <c r="C226" s="18">
        <f t="shared" ref="C226:D226" si="129">C214</f>
        <v>51.55</v>
      </c>
      <c r="D226" s="18">
        <f t="shared" si="129"/>
        <v>29.669999999999998</v>
      </c>
      <c r="E226" s="18">
        <v>31</v>
      </c>
      <c r="F226" s="18">
        <v>0</v>
      </c>
      <c r="G226" s="18">
        <f>'CDM Activity'!I158</f>
        <v>630607.94025679061</v>
      </c>
      <c r="H226" s="18"/>
      <c r="I226" s="37"/>
      <c r="J226" s="18"/>
      <c r="K226" s="18">
        <f t="shared" si="111"/>
        <v>24846207.061236087</v>
      </c>
      <c r="L226" s="9"/>
    </row>
    <row r="227" spans="1:13">
      <c r="A227" s="34">
        <v>42979</v>
      </c>
      <c r="B227" s="28"/>
      <c r="C227" s="18">
        <f t="shared" ref="C227:D227" si="130">C215</f>
        <v>176.97</v>
      </c>
      <c r="D227" s="18">
        <f t="shared" si="130"/>
        <v>5.05</v>
      </c>
      <c r="E227" s="18">
        <v>30</v>
      </c>
      <c r="F227" s="18">
        <v>1</v>
      </c>
      <c r="G227" s="18">
        <f>'CDM Activity'!I159</f>
        <v>626534.08710362285</v>
      </c>
      <c r="H227" s="18"/>
      <c r="I227" s="37"/>
      <c r="J227" s="18"/>
      <c r="K227" s="18">
        <f t="shared" si="111"/>
        <v>23544288.627909828</v>
      </c>
      <c r="L227" s="9"/>
    </row>
    <row r="228" spans="1:13">
      <c r="A228" s="34">
        <v>43009</v>
      </c>
      <c r="B228" s="28"/>
      <c r="C228" s="18">
        <f t="shared" ref="C228:D228" si="131">C216</f>
        <v>372.15</v>
      </c>
      <c r="D228" s="18">
        <f t="shared" si="131"/>
        <v>0.54</v>
      </c>
      <c r="E228" s="18">
        <v>31</v>
      </c>
      <c r="F228" s="18">
        <v>1</v>
      </c>
      <c r="G228" s="18">
        <f>'CDM Activity'!I160</f>
        <v>622460.23395045509</v>
      </c>
      <c r="H228" s="18"/>
      <c r="I228" s="37"/>
      <c r="J228" s="18"/>
      <c r="K228" s="18">
        <f t="shared" si="111"/>
        <v>26952296.701978803</v>
      </c>
      <c r="L228" s="9"/>
    </row>
    <row r="229" spans="1:13">
      <c r="A229" s="34">
        <v>43040</v>
      </c>
      <c r="B229" s="28"/>
      <c r="C229" s="18">
        <f t="shared" ref="C229:D229" si="132">C217</f>
        <v>567.61000000000013</v>
      </c>
      <c r="D229" s="18">
        <f t="shared" si="132"/>
        <v>0</v>
      </c>
      <c r="E229" s="18">
        <v>30</v>
      </c>
      <c r="F229" s="18">
        <v>1</v>
      </c>
      <c r="G229" s="18">
        <f>'CDM Activity'!I161</f>
        <v>618386.38079728733</v>
      </c>
      <c r="H229" s="18"/>
      <c r="I229" s="37"/>
      <c r="J229" s="18"/>
      <c r="K229" s="18">
        <f t="shared" si="111"/>
        <v>28571779.081817292</v>
      </c>
      <c r="L229" s="9"/>
    </row>
    <row r="230" spans="1:13">
      <c r="A230" s="34">
        <v>43070</v>
      </c>
      <c r="B230" s="28"/>
      <c r="C230" s="18">
        <f t="shared" ref="C230:D230" si="133">C218</f>
        <v>852.28999999999974</v>
      </c>
      <c r="D230" s="18">
        <f t="shared" si="133"/>
        <v>0</v>
      </c>
      <c r="E230" s="18">
        <v>31</v>
      </c>
      <c r="F230" s="18">
        <v>0</v>
      </c>
      <c r="G230" s="18">
        <f>'CDM Activity'!I162</f>
        <v>614312.52764411957</v>
      </c>
      <c r="H230" s="18"/>
      <c r="I230" s="37"/>
      <c r="J230" s="18"/>
      <c r="K230" s="18">
        <f t="shared" si="111"/>
        <v>34307999.68026457</v>
      </c>
      <c r="L230" s="9"/>
    </row>
    <row r="231" spans="1:13">
      <c r="A231" s="34"/>
      <c r="B231" s="28"/>
      <c r="C231" s="62"/>
      <c r="D231" s="62"/>
      <c r="E231" s="18"/>
      <c r="F231" s="18"/>
      <c r="G231" s="18"/>
      <c r="H231" s="18"/>
      <c r="I231" s="37"/>
      <c r="J231" s="18"/>
      <c r="K231" s="18"/>
      <c r="L231" s="9"/>
    </row>
    <row r="232" spans="1:13">
      <c r="A232" s="2"/>
      <c r="C232"/>
      <c r="D232"/>
      <c r="K232" s="49">
        <f>SUM(K87:K230)</f>
        <v>4071408400.9028225</v>
      </c>
    </row>
    <row r="233" spans="1:13">
      <c r="A233" s="2"/>
    </row>
    <row r="234" spans="1:13">
      <c r="A234">
        <v>2006</v>
      </c>
      <c r="B234" s="5">
        <f>SUM(B87:B98)</f>
        <v>344985670.16000092</v>
      </c>
      <c r="K234" s="5">
        <f>SUM(K87:K98)</f>
        <v>349070725.5750066</v>
      </c>
      <c r="L234" s="41">
        <f>K234-B234</f>
        <v>4085055.4150056839</v>
      </c>
      <c r="M234" s="4">
        <f>L234/B234</f>
        <v>1.1841232168023314E-2</v>
      </c>
    </row>
    <row r="235" spans="1:13">
      <c r="A235" s="17">
        <v>2007</v>
      </c>
      <c r="B235" s="5">
        <f>SUM(B99:B110)</f>
        <v>347356682.25000095</v>
      </c>
      <c r="K235" s="5">
        <f>SUM(K99:K110)</f>
        <v>343533530.24206108</v>
      </c>
      <c r="L235" s="41">
        <f t="shared" ref="L235:L243" si="134">K235-B235</f>
        <v>-3823152.0079398751</v>
      </c>
      <c r="M235" s="4">
        <f t="shared" ref="M235:M243" si="135">L235/B235</f>
        <v>-1.1006415604776708E-2</v>
      </c>
    </row>
    <row r="236" spans="1:13">
      <c r="A236">
        <v>2008</v>
      </c>
      <c r="B236" s="5">
        <f>SUM(B111:B122)</f>
        <v>349640195.36999899</v>
      </c>
      <c r="K236" s="5">
        <f>SUM(K111:K122)</f>
        <v>340541638.25969309</v>
      </c>
      <c r="L236" s="41">
        <f t="shared" si="134"/>
        <v>-9098557.1103059053</v>
      </c>
      <c r="M236" s="4">
        <f t="shared" si="135"/>
        <v>-2.6022629064937911E-2</v>
      </c>
    </row>
    <row r="237" spans="1:13">
      <c r="A237" s="17">
        <v>2009</v>
      </c>
      <c r="B237" s="5">
        <f>SUM(B123:B134)</f>
        <v>344727820.68999922</v>
      </c>
      <c r="K237" s="5">
        <f>SUM(K123:K134)</f>
        <v>336909767.78675658</v>
      </c>
      <c r="L237" s="41">
        <f t="shared" si="134"/>
        <v>-7818052.9032426476</v>
      </c>
      <c r="M237" s="4">
        <f t="shared" si="135"/>
        <v>-2.2678914883035011E-2</v>
      </c>
    </row>
    <row r="238" spans="1:13">
      <c r="A238">
        <v>2010</v>
      </c>
      <c r="B238" s="5">
        <f>SUM(B135:B146)</f>
        <v>335588529.46999955</v>
      </c>
      <c r="K238" s="5">
        <f>SUM(K135:K146)</f>
        <v>339757294.25584543</v>
      </c>
      <c r="L238" s="41">
        <f t="shared" si="134"/>
        <v>4168764.7858458757</v>
      </c>
      <c r="M238" s="4">
        <f t="shared" si="135"/>
        <v>1.2422250523370612E-2</v>
      </c>
    </row>
    <row r="239" spans="1:13">
      <c r="A239">
        <v>2011</v>
      </c>
      <c r="B239" s="5">
        <f>SUM(B147:B158)</f>
        <v>337212306.49999964</v>
      </c>
      <c r="K239" s="5">
        <f>SUM(K147:K158)</f>
        <v>338743371.87315863</v>
      </c>
      <c r="L239" s="41">
        <f t="shared" si="134"/>
        <v>1531065.3731589913</v>
      </c>
      <c r="M239" s="4">
        <f t="shared" si="135"/>
        <v>4.5403603120249495E-3</v>
      </c>
    </row>
    <row r="240" spans="1:13">
      <c r="A240">
        <v>2012</v>
      </c>
      <c r="B240" s="5">
        <f>SUM(B159:B170)</f>
        <v>331142424.8599996</v>
      </c>
      <c r="K240" s="5">
        <f>SUM(K159:K170)</f>
        <v>338705080.37724847</v>
      </c>
      <c r="L240" s="41">
        <f t="shared" si="134"/>
        <v>7562655.5172488689</v>
      </c>
      <c r="M240" s="4">
        <f t="shared" si="135"/>
        <v>2.283807494749792E-2</v>
      </c>
    </row>
    <row r="241" spans="1:13">
      <c r="A241">
        <v>2013</v>
      </c>
      <c r="B241" s="5">
        <f>SUM(B171:B182)</f>
        <v>341035888.63527828</v>
      </c>
      <c r="K241" s="5">
        <f>SUM(K171:K182)</f>
        <v>336926942.58283252</v>
      </c>
      <c r="L241" s="41">
        <f t="shared" si="134"/>
        <v>-4108946.0524457693</v>
      </c>
      <c r="M241" s="4">
        <f t="shared" si="135"/>
        <v>-1.2048427128559752E-2</v>
      </c>
    </row>
    <row r="242" spans="1:13">
      <c r="A242">
        <v>2014</v>
      </c>
      <c r="B242" s="5">
        <f>SUM(B183:B194)</f>
        <v>340024795.88802838</v>
      </c>
      <c r="K242" s="5">
        <f>SUM(K183:K194)</f>
        <v>336262447.5360505</v>
      </c>
      <c r="L242" s="41">
        <f t="shared" si="134"/>
        <v>-3762348.3519778848</v>
      </c>
      <c r="M242" s="4">
        <f t="shared" si="135"/>
        <v>-1.1064923492276257E-2</v>
      </c>
    </row>
    <row r="243" spans="1:13">
      <c r="A243" s="17">
        <v>2015</v>
      </c>
      <c r="B243" s="5">
        <f>SUM(B195:B206)</f>
        <v>324673269.19699794</v>
      </c>
      <c r="K243" s="5">
        <f>SUM(K195:K206)</f>
        <v>335936784.53164816</v>
      </c>
      <c r="L243" s="41">
        <f t="shared" si="134"/>
        <v>11263515.334650218</v>
      </c>
      <c r="M243" s="4">
        <f t="shared" si="135"/>
        <v>3.4691846860407827E-2</v>
      </c>
    </row>
    <row r="244" spans="1:13">
      <c r="A244">
        <v>2016</v>
      </c>
      <c r="K244" s="5">
        <f>SUM(K207:K218)</f>
        <v>336972131.40370446</v>
      </c>
    </row>
    <row r="245" spans="1:13">
      <c r="A245" s="17">
        <v>2017</v>
      </c>
      <c r="K245" s="5">
        <f>SUM(K219:K230)</f>
        <v>338048686.47881699</v>
      </c>
    </row>
    <row r="246" spans="1:13">
      <c r="K246" s="5"/>
    </row>
    <row r="247" spans="1:13">
      <c r="A247" s="72" t="s">
        <v>261</v>
      </c>
      <c r="B247" s="5">
        <f>SUM(B234:B243)</f>
        <v>3396387583.0203042</v>
      </c>
      <c r="K247" s="5">
        <f>SUM(K234:K243)</f>
        <v>3396387583.0203009</v>
      </c>
      <c r="L247" s="5">
        <f>K247-B247</f>
        <v>0</v>
      </c>
    </row>
    <row r="249" spans="1:13">
      <c r="K249" s="5">
        <f>SUM(K234:K245)</f>
        <v>4071408400.9028225</v>
      </c>
      <c r="L249" s="49">
        <f>K232-K249</f>
        <v>0</v>
      </c>
    </row>
    <row r="250" spans="1:13">
      <c r="K250" s="19"/>
      <c r="L250" s="19" t="s">
        <v>47</v>
      </c>
      <c r="M250" s="19"/>
    </row>
    <row r="254" spans="1:13">
      <c r="B254" s="90" t="s">
        <v>143</v>
      </c>
    </row>
    <row r="255" spans="1:13">
      <c r="A255" s="2">
        <v>42736</v>
      </c>
      <c r="C255" s="62">
        <f>'Weather Analysis - Thunder Bay'!AA8</f>
        <v>981.22443609022571</v>
      </c>
      <c r="D255" s="62">
        <f>'Weather Analysis - Thunder Bay'!AA28</f>
        <v>0</v>
      </c>
      <c r="E255" s="9">
        <f>E219</f>
        <v>31</v>
      </c>
      <c r="F255" s="9">
        <f t="shared" ref="F255:G255" si="136">F219</f>
        <v>0</v>
      </c>
      <c r="G255" s="9">
        <f t="shared" si="136"/>
        <v>659124.91232896491</v>
      </c>
      <c r="H255" s="18" t="e">
        <f>#REF!</f>
        <v>#REF!</v>
      </c>
      <c r="I255" s="37">
        <v>143.1291789570798</v>
      </c>
      <c r="J255" s="9">
        <v>352</v>
      </c>
      <c r="K255" s="18">
        <f t="shared" ref="K255:K266" si="137">$O$103+C255*$O$104+D255*$O$105+E255*$O$106+F255*$O$107+G255*$O$108</f>
        <v>35953088.187195703</v>
      </c>
    </row>
    <row r="256" spans="1:13">
      <c r="A256" s="2">
        <v>42767</v>
      </c>
      <c r="C256" s="62">
        <f>'Weather Analysis - Thunder Bay'!AA9</f>
        <v>920.49842105263269</v>
      </c>
      <c r="D256" s="62">
        <f>'Weather Analysis - Thunder Bay'!AA29</f>
        <v>0</v>
      </c>
      <c r="E256" s="9">
        <f t="shared" ref="E256:G266" si="138">E220</f>
        <v>28</v>
      </c>
      <c r="F256" s="9">
        <f t="shared" si="138"/>
        <v>0</v>
      </c>
      <c r="G256" s="9">
        <f t="shared" si="138"/>
        <v>655051.05917579716</v>
      </c>
      <c r="H256" s="18" t="e">
        <f>#REF!</f>
        <v>#REF!</v>
      </c>
      <c r="I256" s="37">
        <v>143.42400163116841</v>
      </c>
      <c r="J256" s="9">
        <v>304</v>
      </c>
      <c r="K256" s="18">
        <f t="shared" si="137"/>
        <v>32198840.679020636</v>
      </c>
    </row>
    <row r="257" spans="1:12">
      <c r="A257" s="2">
        <v>42795</v>
      </c>
      <c r="C257" s="62">
        <f>'Weather Analysis - Thunder Bay'!AA10</f>
        <v>728.65676691729323</v>
      </c>
      <c r="D257" s="62">
        <f>'Weather Analysis - Thunder Bay'!AA30</f>
        <v>0</v>
      </c>
      <c r="E257" s="9">
        <f t="shared" si="138"/>
        <v>31</v>
      </c>
      <c r="F257" s="9">
        <f t="shared" si="138"/>
        <v>1</v>
      </c>
      <c r="G257" s="9">
        <f t="shared" si="138"/>
        <v>650977.2060226294</v>
      </c>
      <c r="H257" s="18" t="e">
        <f>#REF!</f>
        <v>#REF!</v>
      </c>
      <c r="I257" s="37">
        <v>143.71943159169427</v>
      </c>
      <c r="J257" s="9">
        <v>320</v>
      </c>
      <c r="K257" s="18">
        <f t="shared" si="137"/>
        <v>31652168.266292058</v>
      </c>
    </row>
    <row r="258" spans="1:12">
      <c r="A258" s="2">
        <v>42826</v>
      </c>
      <c r="C258" s="62">
        <f>'Weather Analysis - Thunder Bay'!AA11</f>
        <v>457.84511278195487</v>
      </c>
      <c r="D258" s="62">
        <f>'Weather Analysis - Thunder Bay'!AA31</f>
        <v>0</v>
      </c>
      <c r="E258" s="9">
        <f t="shared" si="138"/>
        <v>30</v>
      </c>
      <c r="F258" s="9">
        <f t="shared" si="138"/>
        <v>1</v>
      </c>
      <c r="G258" s="9">
        <f t="shared" si="138"/>
        <v>646903.35286946164</v>
      </c>
      <c r="H258" s="18" t="e">
        <f>#REF!</f>
        <v>#REF!</v>
      </c>
      <c r="I258" s="37">
        <v>144.01547008956803</v>
      </c>
      <c r="J258" s="9">
        <v>352</v>
      </c>
      <c r="K258" s="18">
        <f t="shared" si="137"/>
        <v>27049165.129942171</v>
      </c>
    </row>
    <row r="259" spans="1:12">
      <c r="A259" s="2">
        <v>42856</v>
      </c>
      <c r="C259" s="62">
        <f>'Weather Analysis - Thunder Bay'!AA12</f>
        <v>271.64563909774438</v>
      </c>
      <c r="D259" s="62">
        <f>'Weather Analysis - Thunder Bay'!AA32</f>
        <v>0.20857142857142463</v>
      </c>
      <c r="E259" s="9">
        <f t="shared" si="138"/>
        <v>31</v>
      </c>
      <c r="F259" s="9">
        <f t="shared" si="138"/>
        <v>1</v>
      </c>
      <c r="G259" s="9">
        <f t="shared" si="138"/>
        <v>642829.49971629388</v>
      </c>
      <c r="H259" s="18" t="e">
        <f>#REF!</f>
        <v>#REF!</v>
      </c>
      <c r="I259" s="37">
        <v>144.31211837827698</v>
      </c>
      <c r="J259" s="9">
        <v>352</v>
      </c>
      <c r="K259" s="18">
        <f t="shared" si="137"/>
        <v>25554197.408916876</v>
      </c>
    </row>
    <row r="260" spans="1:12">
      <c r="A260" s="2">
        <v>42887</v>
      </c>
      <c r="C260" s="62">
        <f>'Weather Analysis - Thunder Bay'!AA13</f>
        <v>115.80518796992476</v>
      </c>
      <c r="D260" s="62">
        <f>'Weather Analysis - Thunder Bay'!AA33</f>
        <v>4.1052631578947967</v>
      </c>
      <c r="E260" s="9">
        <f t="shared" si="138"/>
        <v>30</v>
      </c>
      <c r="F260" s="9">
        <f t="shared" si="138"/>
        <v>0</v>
      </c>
      <c r="G260" s="9">
        <f t="shared" si="138"/>
        <v>638755.64656312612</v>
      </c>
      <c r="H260" s="18" t="e">
        <f>#REF!</f>
        <v>#REF!</v>
      </c>
      <c r="I260" s="37">
        <v>144.60937771389038</v>
      </c>
      <c r="J260" s="9">
        <v>320</v>
      </c>
      <c r="K260" s="18">
        <f t="shared" si="137"/>
        <v>23593852.431354675</v>
      </c>
    </row>
    <row r="261" spans="1:12">
      <c r="A261" s="2">
        <v>42917</v>
      </c>
      <c r="C261" s="62">
        <f>'Weather Analysis - Thunder Bay'!AA14</f>
        <v>34.996616541353319</v>
      </c>
      <c r="D261" s="62">
        <f>'Weather Analysis - Thunder Bay'!AA34</f>
        <v>41.516616541353415</v>
      </c>
      <c r="E261" s="9">
        <f t="shared" si="138"/>
        <v>31</v>
      </c>
      <c r="F261" s="9">
        <f t="shared" si="138"/>
        <v>0</v>
      </c>
      <c r="G261" s="9">
        <f t="shared" si="138"/>
        <v>634681.79340995837</v>
      </c>
      <c r="H261" s="18" t="e">
        <f>#REF!</f>
        <v>#REF!</v>
      </c>
      <c r="I261" s="37">
        <v>144.90724935506483</v>
      </c>
      <c r="J261" s="9">
        <v>352</v>
      </c>
      <c r="K261" s="18">
        <f t="shared" si="137"/>
        <v>25133886.561477304</v>
      </c>
    </row>
    <row r="262" spans="1:12">
      <c r="A262" s="2">
        <v>42948</v>
      </c>
      <c r="C262" s="62">
        <f>'Weather Analysis - Thunder Bay'!AA15</f>
        <v>48.162481203007474</v>
      </c>
      <c r="D262" s="62">
        <f>'Weather Analysis - Thunder Bay'!AA35</f>
        <v>33.181729323308446</v>
      </c>
      <c r="E262" s="9">
        <f t="shared" si="138"/>
        <v>31</v>
      </c>
      <c r="F262" s="9">
        <f t="shared" si="138"/>
        <v>0</v>
      </c>
      <c r="G262" s="9">
        <f t="shared" si="138"/>
        <v>630607.94025679061</v>
      </c>
      <c r="H262" s="18" t="e">
        <f>#REF!</f>
        <v>#REF!</v>
      </c>
      <c r="I262" s="37">
        <v>145.20573456304953</v>
      </c>
      <c r="J262" s="9">
        <v>336</v>
      </c>
      <c r="K262" s="18">
        <f t="shared" si="137"/>
        <v>24954050.924154382</v>
      </c>
    </row>
    <row r="263" spans="1:12">
      <c r="A263" s="2">
        <v>42979</v>
      </c>
      <c r="C263" s="62">
        <f>'Weather Analysis - Thunder Bay'!AA16</f>
        <v>175.57706766917295</v>
      </c>
      <c r="D263" s="62">
        <f>'Weather Analysis - Thunder Bay'!AA36</f>
        <v>5.6842857142857071</v>
      </c>
      <c r="E263" s="9">
        <f t="shared" si="138"/>
        <v>30</v>
      </c>
      <c r="F263" s="9">
        <f t="shared" si="138"/>
        <v>1</v>
      </c>
      <c r="G263" s="9">
        <f t="shared" si="138"/>
        <v>626534.08710362285</v>
      </c>
      <c r="H263" s="18" t="e">
        <f>#REF!</f>
        <v>#REF!</v>
      </c>
      <c r="I263" s="37">
        <v>145.50483460169167</v>
      </c>
      <c r="J263" s="9">
        <v>320</v>
      </c>
      <c r="K263" s="18">
        <f t="shared" si="137"/>
        <v>23553304.147930179</v>
      </c>
    </row>
    <row r="264" spans="1:12">
      <c r="A264" s="2">
        <v>43009</v>
      </c>
      <c r="C264" s="62">
        <f>'Weather Analysis - Thunder Bay'!AA17</f>
        <v>357.9927819548875</v>
      </c>
      <c r="D264" s="62">
        <f>'Weather Analysis - Thunder Bay'!AA37</f>
        <v>0.78360902255639076</v>
      </c>
      <c r="E264" s="9">
        <f t="shared" si="138"/>
        <v>31</v>
      </c>
      <c r="F264" s="9">
        <f t="shared" si="138"/>
        <v>1</v>
      </c>
      <c r="G264" s="9">
        <f t="shared" si="138"/>
        <v>622460.23395045509</v>
      </c>
      <c r="H264" s="18" t="e">
        <f>#REF!</f>
        <v>#REF!</v>
      </c>
      <c r="I264" s="37">
        <v>145.8045507374417</v>
      </c>
      <c r="J264" s="9">
        <v>352</v>
      </c>
      <c r="K264" s="18">
        <f t="shared" si="137"/>
        <v>26773279.546611771</v>
      </c>
    </row>
    <row r="265" spans="1:12">
      <c r="A265" s="2">
        <v>43040</v>
      </c>
      <c r="C265" s="62">
        <f>'Weather Analysis - Thunder Bay'!AA18</f>
        <v>558.62721804511284</v>
      </c>
      <c r="D265" s="62">
        <f>'Weather Analysis - Thunder Bay'!AA38</f>
        <v>0</v>
      </c>
      <c r="E265" s="9">
        <f t="shared" si="138"/>
        <v>30</v>
      </c>
      <c r="F265" s="9">
        <f t="shared" si="138"/>
        <v>1</v>
      </c>
      <c r="G265" s="9">
        <f t="shared" si="138"/>
        <v>618386.38079728733</v>
      </c>
      <c r="H265" s="18" t="e">
        <f>#REF!</f>
        <v>#REF!</v>
      </c>
      <c r="I265" s="37">
        <v>146.1048842393588</v>
      </c>
      <c r="J265" s="9">
        <v>336</v>
      </c>
      <c r="K265" s="18">
        <f t="shared" si="137"/>
        <v>28451448.210997224</v>
      </c>
    </row>
    <row r="266" spans="1:12">
      <c r="A266" s="2">
        <v>43070</v>
      </c>
      <c r="C266" s="62">
        <f>'Weather Analysis - Thunder Bay'!AA19</f>
        <v>843.2869924812029</v>
      </c>
      <c r="D266" s="62">
        <f>'Weather Analysis - Thunder Bay'!AA39</f>
        <v>0</v>
      </c>
      <c r="E266" s="9">
        <f t="shared" si="138"/>
        <v>31</v>
      </c>
      <c r="F266" s="9">
        <f t="shared" si="138"/>
        <v>0</v>
      </c>
      <c r="G266" s="9">
        <f t="shared" si="138"/>
        <v>614312.52764411957</v>
      </c>
      <c r="H266" s="18" t="e">
        <f>#REF!</f>
        <v>#REF!</v>
      </c>
      <c r="I266" s="37">
        <v>146.40583637911641</v>
      </c>
      <c r="J266" s="9">
        <v>320</v>
      </c>
      <c r="K266" s="18">
        <f t="shared" si="137"/>
        <v>34187397.873365864</v>
      </c>
      <c r="L266" s="49">
        <f>SUM(K255:K266)</f>
        <v>339054679.36725885</v>
      </c>
    </row>
  </sheetData>
  <mergeCells count="1">
    <mergeCell ref="H1:J1"/>
  </mergeCells>
  <pageMargins left="0.38" right="0.75" top="0.73" bottom="0.74" header="0.5" footer="0.5"/>
  <pageSetup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66"/>
  <sheetViews>
    <sheetView topLeftCell="E231" workbookViewId="0">
      <selection activeCell="N87" sqref="N87:T109"/>
    </sheetView>
  </sheetViews>
  <sheetFormatPr defaultRowHeight="12.75"/>
  <cols>
    <col min="1" max="1" width="11.85546875" customWidth="1"/>
    <col min="2" max="2" width="18" style="5" customWidth="1"/>
    <col min="3" max="3" width="11.7109375" style="219" customWidth="1"/>
    <col min="4" max="4" width="13.42578125" style="1" customWidth="1"/>
    <col min="5" max="5" width="10.140625" style="1" customWidth="1"/>
    <col min="6" max="7" width="12.42578125" style="1" customWidth="1"/>
    <col min="8" max="8" width="14.42578125" style="38" customWidth="1"/>
    <col min="9" max="10" width="12.42578125" style="1" hidden="1" customWidth="1"/>
    <col min="11" max="11" width="15.42578125" style="1" bestFit="1" customWidth="1"/>
    <col min="12" max="12" width="17" style="1" customWidth="1"/>
    <col min="13" max="13" width="12.42578125" style="1" customWidth="1"/>
    <col min="14" max="14" width="25.85546875" bestFit="1" customWidth="1"/>
    <col min="15" max="17" width="18" customWidth="1"/>
    <col min="18" max="18" width="17.140625" customWidth="1"/>
    <col min="19" max="20" width="15.7109375" customWidth="1"/>
    <col min="21" max="21" width="14.140625" bestFit="1" customWidth="1"/>
    <col min="22" max="22" width="25.85546875" bestFit="1" customWidth="1"/>
    <col min="23" max="23" width="12.140625" bestFit="1" customWidth="1"/>
    <col min="24" max="24" width="21" bestFit="1" customWidth="1"/>
    <col min="25" max="25" width="13.140625" bestFit="1" customWidth="1"/>
  </cols>
  <sheetData>
    <row r="1" spans="1:13">
      <c r="G1"/>
      <c r="I1" s="604" t="s">
        <v>76</v>
      </c>
      <c r="J1" s="604"/>
    </row>
    <row r="2" spans="1:13" ht="42" customHeight="1">
      <c r="A2" s="231"/>
      <c r="B2" s="264" t="s">
        <v>77</v>
      </c>
      <c r="C2" s="265" t="s">
        <v>1</v>
      </c>
      <c r="D2" s="266" t="s">
        <v>2</v>
      </c>
      <c r="E2" s="266" t="s">
        <v>3</v>
      </c>
      <c r="F2" s="266" t="s">
        <v>14</v>
      </c>
      <c r="G2" s="266" t="s">
        <v>56</v>
      </c>
      <c r="H2" s="267" t="s">
        <v>4</v>
      </c>
      <c r="I2" s="266" t="s">
        <v>49</v>
      </c>
      <c r="J2" s="266" t="s">
        <v>58</v>
      </c>
      <c r="K2" s="266" t="s">
        <v>78</v>
      </c>
      <c r="L2" s="11" t="s">
        <v>7</v>
      </c>
      <c r="M2" s="11" t="s">
        <v>348</v>
      </c>
    </row>
    <row r="3" spans="1:13" hidden="1">
      <c r="A3" s="268">
        <v>36161</v>
      </c>
      <c r="B3" s="249">
        <f>'[11]CoS 2017 Load History'!H41</f>
        <v>11167128.489999978</v>
      </c>
      <c r="C3" s="269">
        <f>'Weather Data'!B99</f>
        <v>994.7</v>
      </c>
      <c r="D3" s="270">
        <f>'Weather Data'!C99</f>
        <v>0</v>
      </c>
      <c r="E3" s="270">
        <v>31</v>
      </c>
      <c r="F3" s="270">
        <v>0</v>
      </c>
      <c r="G3" s="270">
        <v>0</v>
      </c>
      <c r="H3" s="271">
        <v>105.44819844915847</v>
      </c>
      <c r="I3" s="272">
        <f>'[11]CoS 2017 Load History'!J41</f>
        <v>4330</v>
      </c>
      <c r="J3" s="273">
        <v>319.87200000000001</v>
      </c>
      <c r="K3" s="266"/>
      <c r="L3" s="11"/>
      <c r="M3" s="11"/>
    </row>
    <row r="4" spans="1:13" hidden="1">
      <c r="A4" s="268">
        <v>36192</v>
      </c>
      <c r="B4" s="249">
        <f>'[11]CoS 2017 Load History'!H42</f>
        <v>17327915.790000074</v>
      </c>
      <c r="C4" s="269">
        <f>'Weather Data'!B100</f>
        <v>718.7</v>
      </c>
      <c r="D4" s="270">
        <f>'Weather Data'!C100</f>
        <v>0</v>
      </c>
      <c r="E4" s="273">
        <v>28</v>
      </c>
      <c r="F4" s="273">
        <v>0</v>
      </c>
      <c r="G4" s="256">
        <v>0</v>
      </c>
      <c r="H4" s="274">
        <v>106.08666118100913</v>
      </c>
      <c r="I4" s="272">
        <f>'[11]CoS 2017 Load History'!J42</f>
        <v>4397</v>
      </c>
      <c r="J4" s="273">
        <v>319.87200000000001</v>
      </c>
      <c r="K4" s="273"/>
      <c r="L4" s="9"/>
      <c r="M4" s="14"/>
    </row>
    <row r="5" spans="1:13" hidden="1">
      <c r="A5" s="268">
        <v>36220</v>
      </c>
      <c r="B5" s="249">
        <f>'[11]CoS 2017 Load History'!H43</f>
        <v>17359594.600000046</v>
      </c>
      <c r="C5" s="269">
        <f>'Weather Data'!B101</f>
        <v>710.1</v>
      </c>
      <c r="D5" s="270">
        <f>'Weather Data'!C101</f>
        <v>0</v>
      </c>
      <c r="E5" s="273">
        <v>31</v>
      </c>
      <c r="F5" s="273">
        <v>1</v>
      </c>
      <c r="G5" s="256">
        <v>0</v>
      </c>
      <c r="H5" s="274">
        <v>106.72898964661303</v>
      </c>
      <c r="I5" s="272">
        <f>'[11]CoS 2017 Load History'!J43</f>
        <v>4397</v>
      </c>
      <c r="J5" s="273">
        <v>368.28</v>
      </c>
      <c r="K5" s="273"/>
      <c r="L5" s="9"/>
      <c r="M5" s="14"/>
    </row>
    <row r="6" spans="1:13" hidden="1">
      <c r="A6" s="268">
        <v>36251</v>
      </c>
      <c r="B6" s="249">
        <f>'[11]CoS 2017 Load History'!H44</f>
        <v>15664134.650000088</v>
      </c>
      <c r="C6" s="269">
        <f>'Weather Data'!B102</f>
        <v>407.7</v>
      </c>
      <c r="D6" s="270">
        <f>'Weather Data'!C102</f>
        <v>0</v>
      </c>
      <c r="E6" s="273">
        <v>30</v>
      </c>
      <c r="F6" s="273">
        <v>1</v>
      </c>
      <c r="G6" s="256">
        <v>0</v>
      </c>
      <c r="H6" s="274">
        <v>107.37520725203085</v>
      </c>
      <c r="I6" s="272">
        <f>'[11]CoS 2017 Load History'!J44</f>
        <v>4373</v>
      </c>
      <c r="J6" s="273">
        <v>336.24</v>
      </c>
      <c r="K6" s="273"/>
      <c r="L6" s="9"/>
      <c r="M6" s="14"/>
    </row>
    <row r="7" spans="1:13" hidden="1">
      <c r="A7" s="268">
        <v>36281</v>
      </c>
      <c r="B7" s="249">
        <f>'[11]CoS 2017 Load History'!H45</f>
        <v>13519280.619999945</v>
      </c>
      <c r="C7" s="269">
        <f>'Weather Data'!B103</f>
        <v>224.7</v>
      </c>
      <c r="D7" s="270">
        <f>'Weather Data'!C103</f>
        <v>2.6</v>
      </c>
      <c r="E7" s="273">
        <v>31</v>
      </c>
      <c r="F7" s="273">
        <v>1</v>
      </c>
      <c r="G7" s="256">
        <v>0</v>
      </c>
      <c r="H7" s="274">
        <v>108.02533754504118</v>
      </c>
      <c r="I7" s="272">
        <f>'[11]CoS 2017 Load History'!J45</f>
        <v>4345</v>
      </c>
      <c r="J7" s="273">
        <v>319.92</v>
      </c>
      <c r="K7" s="273"/>
      <c r="L7" s="9"/>
      <c r="M7" s="14"/>
    </row>
    <row r="8" spans="1:13" hidden="1">
      <c r="A8" s="268">
        <v>36312</v>
      </c>
      <c r="B8" s="249">
        <f>'[11]CoS 2017 Load History'!H46</f>
        <v>11067497.459999962</v>
      </c>
      <c r="C8" s="269">
        <f>'Weather Data'!B104</f>
        <v>91.9</v>
      </c>
      <c r="D8" s="270">
        <f>'Weather Data'!C104</f>
        <v>11.4</v>
      </c>
      <c r="E8" s="273">
        <v>30</v>
      </c>
      <c r="F8" s="273">
        <v>0</v>
      </c>
      <c r="G8" s="256">
        <v>0</v>
      </c>
      <c r="H8" s="274">
        <v>108.6794042159986</v>
      </c>
      <c r="I8" s="272">
        <f>'[11]CoS 2017 Load History'!J46</f>
        <v>4345</v>
      </c>
      <c r="J8" s="273">
        <v>352.08</v>
      </c>
      <c r="K8" s="273"/>
      <c r="L8" s="9"/>
      <c r="M8" s="14"/>
    </row>
    <row r="9" spans="1:13" hidden="1">
      <c r="A9" s="268">
        <v>36342</v>
      </c>
      <c r="B9" s="249">
        <f>'[11]CoS 2017 Load History'!H47</f>
        <v>11931407.94000005</v>
      </c>
      <c r="C9" s="269">
        <f>'Weather Data'!B105</f>
        <v>24.2</v>
      </c>
      <c r="D9" s="270">
        <f>'Weather Data'!C105</f>
        <v>59.3</v>
      </c>
      <c r="E9" s="273">
        <v>31</v>
      </c>
      <c r="F9" s="273">
        <v>0</v>
      </c>
      <c r="G9" s="256">
        <v>0</v>
      </c>
      <c r="H9" s="274">
        <v>109.33743109869688</v>
      </c>
      <c r="I9" s="272">
        <f>'[11]CoS 2017 Load History'!J47</f>
        <v>4331</v>
      </c>
      <c r="J9" s="273">
        <v>336.28800000000001</v>
      </c>
      <c r="K9" s="273"/>
      <c r="L9" s="9"/>
      <c r="M9" s="14"/>
    </row>
    <row r="10" spans="1:13" hidden="1">
      <c r="A10" s="268">
        <v>36373</v>
      </c>
      <c r="B10" s="249">
        <f>'[11]CoS 2017 Load History'!H48</f>
        <v>11870804.780000113</v>
      </c>
      <c r="C10" s="269">
        <f>'Weather Data'!B106</f>
        <v>74</v>
      </c>
      <c r="D10" s="270">
        <f>'Weather Data'!C106</f>
        <v>12.2</v>
      </c>
      <c r="E10" s="273">
        <v>31</v>
      </c>
      <c r="F10" s="273">
        <v>0</v>
      </c>
      <c r="G10" s="256">
        <v>0</v>
      </c>
      <c r="H10" s="274">
        <v>109.99944217123755</v>
      </c>
      <c r="I10" s="272">
        <f>'[11]CoS 2017 Load History'!J48</f>
        <v>4354</v>
      </c>
      <c r="J10" s="273">
        <v>336.28800000000001</v>
      </c>
      <c r="K10" s="273"/>
      <c r="L10" s="9"/>
      <c r="M10" s="14"/>
    </row>
    <row r="11" spans="1:13" hidden="1">
      <c r="A11" s="268">
        <v>36404</v>
      </c>
      <c r="B11" s="249">
        <f>'[11]CoS 2017 Load History'!H49</f>
        <v>10678451.039999977</v>
      </c>
      <c r="C11" s="269">
        <f>'Weather Data'!B107</f>
        <v>194</v>
      </c>
      <c r="D11" s="270">
        <f>'Weather Data'!C107</f>
        <v>5.7</v>
      </c>
      <c r="E11" s="273">
        <v>30</v>
      </c>
      <c r="F11" s="273">
        <v>1</v>
      </c>
      <c r="G11" s="256">
        <v>0</v>
      </c>
      <c r="H11" s="274">
        <v>110.66546155690358</v>
      </c>
      <c r="I11" s="272">
        <f>'[11]CoS 2017 Load History'!J49</f>
        <v>4342</v>
      </c>
      <c r="J11" s="273">
        <v>336.24</v>
      </c>
      <c r="K11" s="273"/>
      <c r="L11" s="9"/>
      <c r="M11" s="14"/>
    </row>
    <row r="12" spans="1:13" hidden="1">
      <c r="A12" s="268">
        <v>36434</v>
      </c>
      <c r="B12" s="249">
        <f>'[11]CoS 2017 Load History'!H50</f>
        <v>11511565.809999987</v>
      </c>
      <c r="C12" s="269">
        <f>'Weather Data'!B108</f>
        <v>423.1</v>
      </c>
      <c r="D12" s="270">
        <f>'Weather Data'!C108</f>
        <v>0</v>
      </c>
      <c r="E12" s="273">
        <v>31</v>
      </c>
      <c r="F12" s="273">
        <v>1</v>
      </c>
      <c r="G12" s="256">
        <v>0</v>
      </c>
      <c r="H12" s="274">
        <v>111.33551352503846</v>
      </c>
      <c r="I12" s="272">
        <f>'[11]CoS 2017 Load History'!J50</f>
        <v>4301</v>
      </c>
      <c r="J12" s="273">
        <v>319.92</v>
      </c>
      <c r="K12" s="273"/>
      <c r="L12" s="9"/>
      <c r="M12" s="14"/>
    </row>
    <row r="13" spans="1:13" hidden="1">
      <c r="A13" s="268">
        <v>36465</v>
      </c>
      <c r="B13" s="249">
        <f>'[11]CoS 2017 Load History'!H51</f>
        <v>11957903.960000059</v>
      </c>
      <c r="C13" s="269">
        <f>'Weather Data'!B109</f>
        <v>500.7</v>
      </c>
      <c r="D13" s="270">
        <f>'Weather Data'!C109</f>
        <v>0</v>
      </c>
      <c r="E13" s="273">
        <v>30</v>
      </c>
      <c r="F13" s="273">
        <v>1</v>
      </c>
      <c r="G13" s="256">
        <v>0</v>
      </c>
      <c r="H13" s="274">
        <v>112.00962249193054</v>
      </c>
      <c r="I13" s="272">
        <f>'[11]CoS 2017 Load History'!J51</f>
        <v>4300</v>
      </c>
      <c r="J13" s="273">
        <v>352.08</v>
      </c>
      <c r="K13" s="273"/>
      <c r="L13" s="9"/>
      <c r="M13" s="14"/>
    </row>
    <row r="14" spans="1:13" hidden="1">
      <c r="A14" s="268">
        <v>36495</v>
      </c>
      <c r="B14" s="249">
        <f>'[11]CoS 2017 Load History'!H52</f>
        <v>13635988.280000184</v>
      </c>
      <c r="C14" s="269">
        <f>'Weather Data'!B110</f>
        <v>817.1</v>
      </c>
      <c r="D14" s="270">
        <f>'Weather Data'!C110</f>
        <v>0</v>
      </c>
      <c r="E14" s="273">
        <v>31</v>
      </c>
      <c r="F14" s="273">
        <v>0</v>
      </c>
      <c r="G14" s="256">
        <v>0</v>
      </c>
      <c r="H14" s="274">
        <v>112.68781302170287</v>
      </c>
      <c r="I14" s="272">
        <f>'[11]CoS 2017 Load History'!J52</f>
        <v>4280</v>
      </c>
      <c r="J14" s="273">
        <v>336.28800000000001</v>
      </c>
      <c r="K14" s="273"/>
      <c r="L14" s="9"/>
      <c r="M14" s="14"/>
    </row>
    <row r="15" spans="1:13" hidden="1">
      <c r="A15" s="268">
        <v>36526</v>
      </c>
      <c r="B15" s="249">
        <f>'[11]CoS 2017 Load History'!H53</f>
        <v>15330630.270000041</v>
      </c>
      <c r="C15" s="269">
        <f>'Weather Data'!B111</f>
        <v>963.5</v>
      </c>
      <c r="D15" s="270">
        <f>'Weather Data'!C111</f>
        <v>0</v>
      </c>
      <c r="E15" s="273">
        <v>31</v>
      </c>
      <c r="F15" s="273">
        <v>0</v>
      </c>
      <c r="G15" s="256">
        <v>0</v>
      </c>
      <c r="H15" s="274">
        <v>113.20550742744629</v>
      </c>
      <c r="I15" s="272">
        <f>'[11]CoS 2017 Load History'!J53</f>
        <v>4363</v>
      </c>
      <c r="J15" s="273">
        <v>319.92</v>
      </c>
      <c r="K15" s="273"/>
      <c r="L15" s="9"/>
      <c r="M15" s="14"/>
    </row>
    <row r="16" spans="1:13" hidden="1">
      <c r="A16" s="268">
        <v>36557</v>
      </c>
      <c r="B16" s="249">
        <f>'[11]CoS 2017 Load History'!H54</f>
        <v>13820223.840000024</v>
      </c>
      <c r="C16" s="269">
        <f>'Weather Data'!B112</f>
        <v>711.5</v>
      </c>
      <c r="D16" s="270">
        <f>'Weather Data'!C112</f>
        <v>0</v>
      </c>
      <c r="E16" s="273">
        <v>29</v>
      </c>
      <c r="F16" s="273">
        <v>0</v>
      </c>
      <c r="G16" s="256">
        <v>0</v>
      </c>
      <c r="H16" s="274">
        <v>113.72558015157706</v>
      </c>
      <c r="I16" s="272">
        <f>'[11]CoS 2017 Load History'!J54</f>
        <v>4394</v>
      </c>
      <c r="J16" s="273">
        <v>336.16799999999995</v>
      </c>
      <c r="K16" s="273"/>
      <c r="L16" s="9"/>
      <c r="M16" s="14"/>
    </row>
    <row r="17" spans="1:13" hidden="1">
      <c r="A17" s="268">
        <v>36586</v>
      </c>
      <c r="B17" s="249">
        <f>'[11]CoS 2017 Load History'!H55</f>
        <v>13391804.699999955</v>
      </c>
      <c r="C17" s="269">
        <f>'Weather Data'!B113</f>
        <v>574.6</v>
      </c>
      <c r="D17" s="270">
        <f>'Weather Data'!C113</f>
        <v>0</v>
      </c>
      <c r="E17" s="273">
        <v>31</v>
      </c>
      <c r="F17" s="273">
        <v>1</v>
      </c>
      <c r="G17" s="256">
        <v>0</v>
      </c>
      <c r="H17" s="274">
        <v>114.24804212022897</v>
      </c>
      <c r="I17" s="272">
        <f>'[11]CoS 2017 Load History'!J55</f>
        <v>4420</v>
      </c>
      <c r="J17" s="273">
        <v>368.28</v>
      </c>
      <c r="K17" s="273"/>
      <c r="L17" s="9"/>
      <c r="M17" s="14"/>
    </row>
    <row r="18" spans="1:13" ht="15" hidden="1" customHeight="1">
      <c r="A18" s="268">
        <v>36617</v>
      </c>
      <c r="B18" s="249">
        <f>'[11]CoS 2017 Load History'!H56</f>
        <v>12031969.870000001</v>
      </c>
      <c r="C18" s="269">
        <f>'Weather Data'!B114</f>
        <v>485.6</v>
      </c>
      <c r="D18" s="270">
        <f>'Weather Data'!C114</f>
        <v>0</v>
      </c>
      <c r="E18" s="273">
        <v>30</v>
      </c>
      <c r="F18" s="273">
        <v>1</v>
      </c>
      <c r="G18" s="256">
        <v>0</v>
      </c>
      <c r="H18" s="274">
        <v>114.77290430973115</v>
      </c>
      <c r="I18" s="272">
        <f>'[11]CoS 2017 Load History'!J56</f>
        <v>4465</v>
      </c>
      <c r="J18" s="273">
        <v>303.83999999999997</v>
      </c>
      <c r="K18" s="273"/>
      <c r="L18" s="9"/>
      <c r="M18" s="14"/>
    </row>
    <row r="19" spans="1:13" hidden="1">
      <c r="A19" s="268">
        <v>36647</v>
      </c>
      <c r="B19" s="249">
        <f>'[11]CoS 2017 Load History'!H57</f>
        <v>11503053.680000041</v>
      </c>
      <c r="C19" s="269">
        <f>'Weather Data'!B115</f>
        <v>260.5</v>
      </c>
      <c r="D19" s="270">
        <f>'Weather Data'!C115</f>
        <v>0</v>
      </c>
      <c r="E19" s="273">
        <v>31</v>
      </c>
      <c r="F19" s="273">
        <v>1</v>
      </c>
      <c r="G19" s="256">
        <v>0</v>
      </c>
      <c r="H19" s="274">
        <v>115.30017774683859</v>
      </c>
      <c r="I19" s="272">
        <f>'[11]CoS 2017 Load History'!J57</f>
        <v>4459</v>
      </c>
      <c r="J19" s="273">
        <v>351.91199999999998</v>
      </c>
      <c r="K19" s="273"/>
      <c r="L19" s="9"/>
      <c r="M19" s="14"/>
    </row>
    <row r="20" spans="1:13" hidden="1">
      <c r="A20" s="268">
        <v>36678</v>
      </c>
      <c r="B20" s="249">
        <f>'[11]CoS 2017 Load History'!H58</f>
        <v>11209215.519999966</v>
      </c>
      <c r="C20" s="269">
        <f>'Weather Data'!B116</f>
        <v>155.69999999999999</v>
      </c>
      <c r="D20" s="270">
        <f>'Weather Data'!C116</f>
        <v>2.2999999999999998</v>
      </c>
      <c r="E20" s="273">
        <v>30</v>
      </c>
      <c r="F20" s="273">
        <v>0</v>
      </c>
      <c r="G20" s="256">
        <v>0</v>
      </c>
      <c r="H20" s="274">
        <v>115.82987350896386</v>
      </c>
      <c r="I20" s="272">
        <f>'[11]CoS 2017 Load History'!J58</f>
        <v>4438</v>
      </c>
      <c r="J20" s="273">
        <v>352.08</v>
      </c>
      <c r="K20" s="273"/>
      <c r="L20" s="9"/>
      <c r="M20" s="14"/>
    </row>
    <row r="21" spans="1:13" hidden="1">
      <c r="A21" s="268">
        <v>36708</v>
      </c>
      <c r="B21" s="249">
        <f>'[11]CoS 2017 Load History'!H59</f>
        <v>11730066.360000063</v>
      </c>
      <c r="C21" s="269">
        <f>'Weather Data'!B117</f>
        <v>55.7</v>
      </c>
      <c r="D21" s="270">
        <f>'Weather Data'!C117</f>
        <v>20.8</v>
      </c>
      <c r="E21" s="273">
        <v>31</v>
      </c>
      <c r="F21" s="273">
        <v>0</v>
      </c>
      <c r="G21" s="256">
        <v>0</v>
      </c>
      <c r="H21" s="274">
        <v>116.36200272440982</v>
      </c>
      <c r="I21" s="272">
        <f>'[11]CoS 2017 Load History'!J59</f>
        <v>4493</v>
      </c>
      <c r="J21" s="273">
        <v>319.92</v>
      </c>
      <c r="K21" s="273"/>
      <c r="L21" s="9"/>
      <c r="M21" s="14"/>
    </row>
    <row r="22" spans="1:13" hidden="1">
      <c r="A22" s="268">
        <v>36739</v>
      </c>
      <c r="B22" s="249">
        <f>'[11]CoS 2017 Load History'!H60</f>
        <v>11661961.490000008</v>
      </c>
      <c r="C22" s="269">
        <f>'Weather Data'!B118</f>
        <v>63.4</v>
      </c>
      <c r="D22" s="270">
        <f>'Weather Data'!C118</f>
        <v>9.8000000000000007</v>
      </c>
      <c r="E22" s="273">
        <v>31</v>
      </c>
      <c r="F22" s="273">
        <v>0</v>
      </c>
      <c r="G22" s="256">
        <v>0</v>
      </c>
      <c r="H22" s="274">
        <v>116.89657657260338</v>
      </c>
      <c r="I22" s="272">
        <f>'[11]CoS 2017 Load History'!J60</f>
        <v>4491</v>
      </c>
      <c r="J22" s="273">
        <v>351.91199999999998</v>
      </c>
      <c r="K22" s="273"/>
      <c r="L22" s="9"/>
      <c r="M22" s="14"/>
    </row>
    <row r="23" spans="1:13" hidden="1">
      <c r="A23" s="268">
        <v>36770</v>
      </c>
      <c r="B23" s="249">
        <f>'[11]CoS 2017 Load History'!H61</f>
        <v>10980046.939999988</v>
      </c>
      <c r="C23" s="269">
        <f>'Weather Data'!B119</f>
        <v>223.3</v>
      </c>
      <c r="D23" s="270">
        <f>'Weather Data'!C119</f>
        <v>0</v>
      </c>
      <c r="E23" s="273">
        <v>30</v>
      </c>
      <c r="F23" s="273">
        <v>1</v>
      </c>
      <c r="G23" s="256">
        <v>0</v>
      </c>
      <c r="H23" s="274">
        <v>117.43360628433041</v>
      </c>
      <c r="I23" s="272">
        <f>'[11]CoS 2017 Load History'!J61</f>
        <v>4492</v>
      </c>
      <c r="J23" s="273">
        <v>319.68</v>
      </c>
      <c r="K23" s="273"/>
      <c r="L23" s="9"/>
      <c r="M23" s="14"/>
    </row>
    <row r="24" spans="1:13" hidden="1">
      <c r="A24" s="268">
        <v>36800</v>
      </c>
      <c r="B24" s="249">
        <f>'[11]CoS 2017 Load History'!H62</f>
        <v>11662354.17</v>
      </c>
      <c r="C24" s="269">
        <f>'Weather Data'!B120</f>
        <v>372.2</v>
      </c>
      <c r="D24" s="270">
        <f>'Weather Data'!C120</f>
        <v>0</v>
      </c>
      <c r="E24" s="273">
        <v>31</v>
      </c>
      <c r="F24" s="273">
        <v>1</v>
      </c>
      <c r="G24" s="256">
        <v>0</v>
      </c>
      <c r="H24" s="274">
        <v>117.97310314197166</v>
      </c>
      <c r="I24" s="272">
        <f>'[11]CoS 2017 Load History'!J62</f>
        <v>4507</v>
      </c>
      <c r="J24" s="273">
        <v>336.28800000000001</v>
      </c>
      <c r="K24" s="273"/>
      <c r="L24" s="9"/>
      <c r="M24" s="14"/>
    </row>
    <row r="25" spans="1:13" hidden="1">
      <c r="A25" s="268">
        <v>36831</v>
      </c>
      <c r="B25" s="249">
        <f>'[11]CoS 2017 Load History'!H63</f>
        <v>12675809.860000007</v>
      </c>
      <c r="C25" s="269">
        <f>'Weather Data'!B121</f>
        <v>561.6</v>
      </c>
      <c r="D25" s="270">
        <f>'Weather Data'!C121</f>
        <v>0</v>
      </c>
      <c r="E25" s="273">
        <v>30</v>
      </c>
      <c r="F25" s="273">
        <v>1</v>
      </c>
      <c r="G25" s="256">
        <v>0</v>
      </c>
      <c r="H25" s="274">
        <v>118.51507847973981</v>
      </c>
      <c r="I25" s="272">
        <f>'[11]CoS 2017 Load History'!J63</f>
        <v>4517</v>
      </c>
      <c r="J25" s="273">
        <v>352.08</v>
      </c>
      <c r="K25" s="273"/>
      <c r="L25" s="9"/>
      <c r="M25" s="14"/>
    </row>
    <row r="26" spans="1:13" hidden="1">
      <c r="A26" s="268">
        <v>36861</v>
      </c>
      <c r="B26" s="249">
        <f>'[11]CoS 2017 Load History'!H64</f>
        <v>15116274.879999993</v>
      </c>
      <c r="C26" s="269">
        <f>'Weather Data'!B122</f>
        <v>1041.3</v>
      </c>
      <c r="D26" s="270">
        <f>'Weather Data'!C122</f>
        <v>0</v>
      </c>
      <c r="E26" s="273">
        <v>31</v>
      </c>
      <c r="F26" s="273">
        <v>0</v>
      </c>
      <c r="G26" s="256">
        <v>0</v>
      </c>
      <c r="H26" s="274">
        <v>119.05954368391765</v>
      </c>
      <c r="I26" s="272">
        <f>'[11]CoS 2017 Load History'!J64</f>
        <v>4526</v>
      </c>
      <c r="J26" s="273">
        <v>304.29599999999999</v>
      </c>
      <c r="K26" s="273"/>
      <c r="L26" s="9"/>
      <c r="M26" s="14"/>
    </row>
    <row r="27" spans="1:13" hidden="1">
      <c r="A27" s="268">
        <v>36892</v>
      </c>
      <c r="B27" s="249">
        <f>'[11]CoS 2017 Load History'!H65</f>
        <v>15154298.049999971</v>
      </c>
      <c r="C27" s="269">
        <f>'Weather Data'!B123</f>
        <v>898.8</v>
      </c>
      <c r="D27" s="270">
        <f>'Weather Data'!C123</f>
        <v>0</v>
      </c>
      <c r="E27" s="273">
        <v>31</v>
      </c>
      <c r="F27" s="273">
        <v>0</v>
      </c>
      <c r="G27" s="256">
        <v>0</v>
      </c>
      <c r="H27" s="274">
        <v>119.23206305749976</v>
      </c>
      <c r="I27" s="272">
        <f>'[11]CoS 2017 Load History'!J65</f>
        <v>4498</v>
      </c>
      <c r="J27" s="273">
        <v>351.91199999999998</v>
      </c>
      <c r="K27" s="273"/>
      <c r="L27" s="9"/>
      <c r="M27" s="14"/>
    </row>
    <row r="28" spans="1:13" hidden="1">
      <c r="A28" s="268">
        <v>36925</v>
      </c>
      <c r="B28" s="249">
        <f>'[11]CoS 2017 Load History'!H66</f>
        <v>13641936.870000023</v>
      </c>
      <c r="C28" s="269">
        <f>'Weather Data'!B124</f>
        <v>918.9</v>
      </c>
      <c r="D28" s="270">
        <f>'Weather Data'!C124</f>
        <v>0</v>
      </c>
      <c r="E28" s="273">
        <v>28</v>
      </c>
      <c r="F28" s="273">
        <v>0</v>
      </c>
      <c r="G28" s="256">
        <v>0</v>
      </c>
      <c r="H28" s="274">
        <v>119.40483241468957</v>
      </c>
      <c r="I28" s="272">
        <f>'[11]CoS 2017 Load History'!J66</f>
        <v>4491</v>
      </c>
      <c r="J28" s="273">
        <v>319.87200000000001</v>
      </c>
      <c r="K28" s="273"/>
      <c r="L28" s="9"/>
      <c r="M28" s="14"/>
    </row>
    <row r="29" spans="1:13" hidden="1">
      <c r="A29" s="268">
        <v>36958</v>
      </c>
      <c r="B29" s="249">
        <f>'[11]CoS 2017 Load History'!H67</f>
        <v>13648088.129999986</v>
      </c>
      <c r="C29" s="269">
        <f>'Weather Data'!B125</f>
        <v>702.7</v>
      </c>
      <c r="D29" s="270">
        <f>'Weather Data'!C125</f>
        <v>0</v>
      </c>
      <c r="E29" s="273">
        <v>31</v>
      </c>
      <c r="F29" s="273">
        <v>1</v>
      </c>
      <c r="G29" s="256">
        <v>0</v>
      </c>
      <c r="H29" s="274">
        <v>119.57785211771773</v>
      </c>
      <c r="I29" s="272">
        <f>'[11]CoS 2017 Load History'!J67</f>
        <v>4480</v>
      </c>
      <c r="J29" s="273">
        <v>351.91199999999998</v>
      </c>
      <c r="K29" s="273"/>
      <c r="L29" s="9"/>
      <c r="M29" s="14"/>
    </row>
    <row r="30" spans="1:13" hidden="1">
      <c r="A30" s="268">
        <v>36991</v>
      </c>
      <c r="B30" s="249">
        <f>'[11]CoS 2017 Load History'!H68</f>
        <v>11856071.629999984</v>
      </c>
      <c r="C30" s="269">
        <f>'Weather Data'!B126</f>
        <v>430.7</v>
      </c>
      <c r="D30" s="270">
        <f>'Weather Data'!C126</f>
        <v>0</v>
      </c>
      <c r="E30" s="273">
        <v>30</v>
      </c>
      <c r="F30" s="273">
        <v>1</v>
      </c>
      <c r="G30" s="256">
        <v>0</v>
      </c>
      <c r="H30" s="274">
        <v>119.75112252933975</v>
      </c>
      <c r="I30" s="272">
        <f>'[11]CoS 2017 Load History'!J68</f>
        <v>4472</v>
      </c>
      <c r="J30" s="273">
        <v>319.68</v>
      </c>
      <c r="K30" s="273"/>
      <c r="L30" s="9"/>
      <c r="M30" s="14"/>
    </row>
    <row r="31" spans="1:13" hidden="1">
      <c r="A31" s="268">
        <v>37024</v>
      </c>
      <c r="B31" s="249">
        <f>'[11]CoS 2017 Load History'!H69</f>
        <v>11342214.670000011</v>
      </c>
      <c r="C31" s="269">
        <f>'Weather Data'!B127</f>
        <v>239.9</v>
      </c>
      <c r="D31" s="270">
        <f>'Weather Data'!C127</f>
        <v>0</v>
      </c>
      <c r="E31" s="273">
        <v>31</v>
      </c>
      <c r="F31" s="273">
        <v>1</v>
      </c>
      <c r="G31" s="256">
        <v>0</v>
      </c>
      <c r="H31" s="274">
        <v>119.92464401283681</v>
      </c>
      <c r="I31" s="272">
        <f>'[11]CoS 2017 Load History'!J69</f>
        <v>4445</v>
      </c>
      <c r="J31" s="273">
        <v>351.91199999999998</v>
      </c>
      <c r="K31" s="273"/>
      <c r="L31" s="9"/>
      <c r="M31" s="14"/>
    </row>
    <row r="32" spans="1:13" hidden="1">
      <c r="A32" s="268">
        <v>37057</v>
      </c>
      <c r="B32" s="249">
        <f>'[11]CoS 2017 Load History'!H70</f>
        <v>11131037.810000004</v>
      </c>
      <c r="C32" s="269">
        <f>'Weather Data'!B128</f>
        <v>114</v>
      </c>
      <c r="D32" s="270">
        <f>'Weather Data'!C128</f>
        <v>15.2</v>
      </c>
      <c r="E32" s="273">
        <v>30</v>
      </c>
      <c r="F32" s="273">
        <v>0</v>
      </c>
      <c r="G32" s="256">
        <v>0</v>
      </c>
      <c r="H32" s="274">
        <v>120.09841693201646</v>
      </c>
      <c r="I32" s="272">
        <f>'[11]CoS 2017 Load History'!J70</f>
        <v>4450</v>
      </c>
      <c r="J32" s="273">
        <v>336.24</v>
      </c>
      <c r="K32" s="273"/>
      <c r="L32" s="9"/>
      <c r="M32" s="14"/>
    </row>
    <row r="33" spans="1:13" hidden="1">
      <c r="A33" s="268">
        <v>37090</v>
      </c>
      <c r="B33" s="249">
        <f>'[11]CoS 2017 Load History'!H71</f>
        <v>11725874.649999997</v>
      </c>
      <c r="C33" s="269">
        <f>'Weather Data'!B129</f>
        <v>67.2</v>
      </c>
      <c r="D33" s="270">
        <f>'Weather Data'!C129</f>
        <v>29.7</v>
      </c>
      <c r="E33" s="273">
        <v>31</v>
      </c>
      <c r="F33" s="273">
        <v>0</v>
      </c>
      <c r="G33" s="256">
        <v>0</v>
      </c>
      <c r="H33" s="274">
        <v>120.27244165121344</v>
      </c>
      <c r="I33" s="272">
        <f>'[11]CoS 2017 Load History'!J71</f>
        <v>4422</v>
      </c>
      <c r="J33" s="273">
        <v>336.28800000000001</v>
      </c>
      <c r="K33" s="273"/>
      <c r="L33" s="9"/>
      <c r="M33" s="14"/>
    </row>
    <row r="34" spans="1:13" hidden="1">
      <c r="A34" s="268">
        <v>37123</v>
      </c>
      <c r="B34" s="249">
        <f>'[11]CoS 2017 Load History'!H72</f>
        <v>11877642.739999982</v>
      </c>
      <c r="C34" s="269">
        <f>'Weather Data'!B130</f>
        <v>40.200000000000003</v>
      </c>
      <c r="D34" s="270">
        <f>'Weather Data'!C130</f>
        <v>56.1</v>
      </c>
      <c r="E34" s="273">
        <v>31</v>
      </c>
      <c r="F34" s="273">
        <v>0</v>
      </c>
      <c r="G34" s="256">
        <v>0</v>
      </c>
      <c r="H34" s="274">
        <v>120.4467185352904</v>
      </c>
      <c r="I34" s="272">
        <f>'[11]CoS 2017 Load History'!J72</f>
        <v>4435</v>
      </c>
      <c r="J34" s="273">
        <v>351.91199999999998</v>
      </c>
      <c r="K34" s="273"/>
      <c r="L34" s="9"/>
      <c r="M34" s="14"/>
    </row>
    <row r="35" spans="1:13" hidden="1">
      <c r="A35" s="268">
        <v>37156</v>
      </c>
      <c r="B35" s="249">
        <f>'[11]CoS 2017 Load History'!H73</f>
        <v>11035991.490000013</v>
      </c>
      <c r="C35" s="269">
        <f>'Weather Data'!B131</f>
        <v>187.7</v>
      </c>
      <c r="D35" s="270">
        <f>'Weather Data'!C131</f>
        <v>6.8</v>
      </c>
      <c r="E35" s="273">
        <v>30</v>
      </c>
      <c r="F35" s="273">
        <v>1</v>
      </c>
      <c r="G35" s="256">
        <v>0</v>
      </c>
      <c r="H35" s="274">
        <v>120.62124794963869</v>
      </c>
      <c r="I35" s="272">
        <f>'[11]CoS 2017 Load History'!J73</f>
        <v>4439</v>
      </c>
      <c r="J35" s="273">
        <v>303.83999999999997</v>
      </c>
      <c r="K35" s="273"/>
      <c r="L35" s="9"/>
      <c r="M35" s="14"/>
    </row>
    <row r="36" spans="1:13" hidden="1">
      <c r="A36" s="268">
        <v>37189</v>
      </c>
      <c r="B36" s="249">
        <f>'[11]CoS 2017 Load History'!H74</f>
        <v>11725611.659999957</v>
      </c>
      <c r="C36" s="269">
        <f>'Weather Data'!B132</f>
        <v>408.6</v>
      </c>
      <c r="D36" s="270">
        <f>'Weather Data'!C132</f>
        <v>0</v>
      </c>
      <c r="E36" s="273">
        <v>31</v>
      </c>
      <c r="F36" s="273">
        <v>1</v>
      </c>
      <c r="G36" s="256">
        <v>0</v>
      </c>
      <c r="H36" s="274">
        <v>120.79603026017911</v>
      </c>
      <c r="I36" s="272">
        <f>'[11]CoS 2017 Load History'!J74</f>
        <v>4440</v>
      </c>
      <c r="J36" s="273">
        <v>351.91199999999998</v>
      </c>
      <c r="K36" s="273"/>
      <c r="L36" s="9"/>
      <c r="M36" s="14"/>
    </row>
    <row r="37" spans="1:13" hidden="1">
      <c r="A37" s="268">
        <v>37222</v>
      </c>
      <c r="B37" s="249">
        <f>'[11]CoS 2017 Load History'!H75</f>
        <v>12317932.960000003</v>
      </c>
      <c r="C37" s="269">
        <f>'Weather Data'!B133</f>
        <v>458.8</v>
      </c>
      <c r="D37" s="270">
        <f>'Weather Data'!C133</f>
        <v>0</v>
      </c>
      <c r="E37" s="273">
        <v>30</v>
      </c>
      <c r="F37" s="273">
        <v>1</v>
      </c>
      <c r="G37" s="256">
        <v>0</v>
      </c>
      <c r="H37" s="274">
        <v>120.9710658333627</v>
      </c>
      <c r="I37" s="272">
        <f>'[11]CoS 2017 Load History'!J75</f>
        <v>4465</v>
      </c>
      <c r="J37" s="273">
        <v>352.08</v>
      </c>
      <c r="K37" s="273"/>
      <c r="L37" s="9"/>
      <c r="M37" s="14"/>
    </row>
    <row r="38" spans="1:13" hidden="1">
      <c r="A38" s="268">
        <v>37255</v>
      </c>
      <c r="B38" s="249">
        <f>'[11]CoS 2017 Load History'!H76</f>
        <v>13753116.740000051</v>
      </c>
      <c r="C38" s="269">
        <f>'Weather Data'!B134</f>
        <v>716.4</v>
      </c>
      <c r="D38" s="270">
        <f>'Weather Data'!C134</f>
        <v>0</v>
      </c>
      <c r="E38" s="273">
        <v>31</v>
      </c>
      <c r="F38" s="273">
        <v>0</v>
      </c>
      <c r="G38" s="256">
        <v>0</v>
      </c>
      <c r="H38" s="274">
        <v>121.1463550361714</v>
      </c>
      <c r="I38" s="272">
        <f>'[11]CoS 2017 Load History'!J76</f>
        <v>4471</v>
      </c>
      <c r="J38" s="273">
        <v>304.29599999999999</v>
      </c>
      <c r="K38" s="273"/>
      <c r="L38" s="9"/>
      <c r="M38" s="14"/>
    </row>
    <row r="39" spans="1:13" hidden="1">
      <c r="A39" s="275">
        <v>37275</v>
      </c>
      <c r="B39" s="249">
        <f>'[11]CoS 2017 Load History'!H77</f>
        <v>14717580.350000001</v>
      </c>
      <c r="C39" s="269">
        <f>'Weather Data'!B135</f>
        <v>873.9</v>
      </c>
      <c r="D39" s="270">
        <f>'Weather Data'!C135</f>
        <v>0</v>
      </c>
      <c r="E39" s="273">
        <v>31</v>
      </c>
      <c r="F39" s="273">
        <v>0</v>
      </c>
      <c r="G39" s="256">
        <v>0</v>
      </c>
      <c r="H39" s="274">
        <v>121.50450639216388</v>
      </c>
      <c r="I39" s="272">
        <f>'[11]CoS 2017 Load History'!J77</f>
        <v>4441</v>
      </c>
      <c r="J39" s="273">
        <v>351.91199999999998</v>
      </c>
      <c r="K39" s="273"/>
      <c r="L39" s="9"/>
      <c r="M39" s="14"/>
    </row>
    <row r="40" spans="1:13" hidden="1">
      <c r="A40" s="268">
        <v>37308</v>
      </c>
      <c r="B40" s="249">
        <f>'[11]CoS 2017 Load History'!H78</f>
        <v>13558641.52</v>
      </c>
      <c r="C40" s="269">
        <f>'Weather Data'!B136</f>
        <v>733</v>
      </c>
      <c r="D40" s="270">
        <f>'Weather Data'!C136</f>
        <v>0</v>
      </c>
      <c r="E40" s="273">
        <v>28</v>
      </c>
      <c r="F40" s="273">
        <v>0</v>
      </c>
      <c r="G40" s="256">
        <v>0</v>
      </c>
      <c r="H40" s="274">
        <v>121.86371656989111</v>
      </c>
      <c r="I40" s="272">
        <f>'[11]CoS 2017 Load History'!J78</f>
        <v>4426</v>
      </c>
      <c r="J40" s="273">
        <v>319.87200000000001</v>
      </c>
      <c r="K40" s="273"/>
      <c r="L40" s="9"/>
      <c r="M40" s="14"/>
    </row>
    <row r="41" spans="1:13" hidden="1">
      <c r="A41" s="268">
        <v>37341</v>
      </c>
      <c r="B41" s="249">
        <f>'[11]CoS 2017 Load History'!H79</f>
        <v>14209911.489999987</v>
      </c>
      <c r="C41" s="269">
        <f>'Weather Data'!B137</f>
        <v>804.7</v>
      </c>
      <c r="D41" s="270">
        <f>'Weather Data'!C137</f>
        <v>0</v>
      </c>
      <c r="E41" s="273">
        <v>31</v>
      </c>
      <c r="F41" s="273">
        <v>1</v>
      </c>
      <c r="G41" s="256">
        <v>0</v>
      </c>
      <c r="H41" s="274">
        <v>122.22398869960362</v>
      </c>
      <c r="I41" s="272">
        <f>'[11]CoS 2017 Load History'!J79</f>
        <v>4441</v>
      </c>
      <c r="J41" s="273">
        <v>319.92</v>
      </c>
      <c r="K41" s="273"/>
      <c r="L41" s="9"/>
      <c r="M41" s="14"/>
    </row>
    <row r="42" spans="1:13" hidden="1">
      <c r="A42" s="268">
        <v>37374</v>
      </c>
      <c r="B42" s="249">
        <f>'[11]CoS 2017 Load History'!H80</f>
        <v>12272586.760000007</v>
      </c>
      <c r="C42" s="269">
        <f>'Weather Data'!B138</f>
        <v>462.3</v>
      </c>
      <c r="D42" s="270">
        <f>'Weather Data'!C138</f>
        <v>0</v>
      </c>
      <c r="E42" s="273">
        <v>30</v>
      </c>
      <c r="F42" s="273">
        <v>1</v>
      </c>
      <c r="G42" s="256">
        <v>0</v>
      </c>
      <c r="H42" s="274">
        <v>122.58532592080604</v>
      </c>
      <c r="I42" s="272">
        <f>'[11]CoS 2017 Load History'!J80</f>
        <v>4442</v>
      </c>
      <c r="J42" s="273">
        <v>352.08</v>
      </c>
      <c r="K42" s="273"/>
      <c r="L42" s="9"/>
      <c r="M42" s="14"/>
    </row>
    <row r="43" spans="1:13" hidden="1">
      <c r="A43" s="268">
        <v>37407</v>
      </c>
      <c r="B43" s="249">
        <f>'[11]CoS 2017 Load History'!H81</f>
        <v>11551602.899999985</v>
      </c>
      <c r="C43" s="269">
        <f>'Weather Data'!B139</f>
        <v>335</v>
      </c>
      <c r="D43" s="270">
        <f>'Weather Data'!C139</f>
        <v>0.5</v>
      </c>
      <c r="E43" s="273">
        <v>31</v>
      </c>
      <c r="F43" s="273">
        <v>1</v>
      </c>
      <c r="G43" s="256">
        <v>0</v>
      </c>
      <c r="H43" s="274">
        <v>122.9477313822845</v>
      </c>
      <c r="I43" s="272">
        <f>'[11]CoS 2017 Load History'!J81</f>
        <v>4426</v>
      </c>
      <c r="J43" s="273">
        <v>351.91199999999998</v>
      </c>
      <c r="K43" s="273"/>
      <c r="L43" s="9"/>
      <c r="M43" s="14"/>
    </row>
    <row r="44" spans="1:13" hidden="1">
      <c r="A44" s="268">
        <v>37408</v>
      </c>
      <c r="B44" s="249">
        <f>'[11]CoS 2017 Load History'!H82</f>
        <v>11122434.069999963</v>
      </c>
      <c r="C44" s="269">
        <f>'Weather Data'!B140</f>
        <v>114.4</v>
      </c>
      <c r="D44" s="270">
        <f>'Weather Data'!C140</f>
        <v>14.2</v>
      </c>
      <c r="E44" s="273">
        <v>30</v>
      </c>
      <c r="F44" s="273">
        <v>0</v>
      </c>
      <c r="G44" s="256">
        <v>0</v>
      </c>
      <c r="H44" s="274">
        <v>123.31120824213403</v>
      </c>
      <c r="I44" s="272">
        <f>'[11]CoS 2017 Load History'!J82</f>
        <v>4443</v>
      </c>
      <c r="J44" s="273">
        <v>319.68</v>
      </c>
      <c r="K44" s="273"/>
      <c r="L44" s="9"/>
      <c r="M44" s="14"/>
    </row>
    <row r="45" spans="1:13" hidden="1">
      <c r="A45" s="268">
        <v>37440</v>
      </c>
      <c r="B45" s="249">
        <f>'[11]CoS 2017 Load History'!H83</f>
        <v>12307378.490000024</v>
      </c>
      <c r="C45" s="269">
        <f>'Weather Data'!B141</f>
        <v>17.899999999999999</v>
      </c>
      <c r="D45" s="270">
        <f>'Weather Data'!C141</f>
        <v>79.3</v>
      </c>
      <c r="E45" s="273">
        <v>31</v>
      </c>
      <c r="F45" s="273">
        <v>0</v>
      </c>
      <c r="G45" s="256">
        <v>0</v>
      </c>
      <c r="H45" s="274">
        <v>123.67575966778612</v>
      </c>
      <c r="I45" s="272">
        <f>'[11]CoS 2017 Load History'!J83</f>
        <v>4432</v>
      </c>
      <c r="J45" s="273">
        <v>351.91199999999998</v>
      </c>
      <c r="K45" s="273"/>
      <c r="L45" s="9"/>
      <c r="M45" s="14"/>
    </row>
    <row r="46" spans="1:13" hidden="1">
      <c r="A46" s="268">
        <v>37473</v>
      </c>
      <c r="B46" s="249">
        <f>'[11]CoS 2017 Load History'!H84</f>
        <v>11929052.770000022</v>
      </c>
      <c r="C46" s="269">
        <f>'Weather Data'!B142</f>
        <v>49.7</v>
      </c>
      <c r="D46" s="270">
        <f>'Weather Data'!C142</f>
        <v>15.5</v>
      </c>
      <c r="E46" s="273">
        <v>31</v>
      </c>
      <c r="F46" s="273">
        <v>0</v>
      </c>
      <c r="G46" s="256">
        <v>0</v>
      </c>
      <c r="H46" s="274">
        <v>124.04138883603632</v>
      </c>
      <c r="I46" s="272">
        <f>'[11]CoS 2017 Load History'!J84</f>
        <v>4437</v>
      </c>
      <c r="J46" s="273">
        <v>336.28800000000001</v>
      </c>
      <c r="K46" s="273"/>
      <c r="L46" s="9"/>
      <c r="M46" s="14"/>
    </row>
    <row r="47" spans="1:13" hidden="1">
      <c r="A47" s="268">
        <v>37506</v>
      </c>
      <c r="B47" s="249">
        <f>'[11]CoS 2017 Load History'!H85</f>
        <v>11239412.900000025</v>
      </c>
      <c r="C47" s="269">
        <f>'Weather Data'!B143</f>
        <v>143.5</v>
      </c>
      <c r="D47" s="270">
        <f>'Weather Data'!C143</f>
        <v>20.9</v>
      </c>
      <c r="E47" s="273">
        <v>30</v>
      </c>
      <c r="F47" s="273">
        <v>1</v>
      </c>
      <c r="G47" s="256">
        <v>0</v>
      </c>
      <c r="H47" s="274">
        <v>124.40809893307186</v>
      </c>
      <c r="I47" s="272">
        <f>'[11]CoS 2017 Load History'!J85</f>
        <v>4403</v>
      </c>
      <c r="J47" s="273">
        <v>319.68</v>
      </c>
      <c r="K47" s="273"/>
      <c r="L47" s="9"/>
      <c r="M47" s="14"/>
    </row>
    <row r="48" spans="1:13" hidden="1">
      <c r="A48" s="268">
        <v>37539</v>
      </c>
      <c r="B48" s="249">
        <f>'[11]CoS 2017 Load History'!H86</f>
        <v>11801421.799999995</v>
      </c>
      <c r="C48" s="269">
        <f>'Weather Data'!B144</f>
        <v>510.1</v>
      </c>
      <c r="D48" s="270">
        <f>'Weather Data'!C144</f>
        <v>0</v>
      </c>
      <c r="E48" s="273">
        <v>31</v>
      </c>
      <c r="F48" s="273">
        <v>1</v>
      </c>
      <c r="G48" s="256">
        <v>0</v>
      </c>
      <c r="H48" s="274">
        <v>124.7758931544995</v>
      </c>
      <c r="I48" s="272">
        <f>'[11]CoS 2017 Load History'!J86</f>
        <v>4432</v>
      </c>
      <c r="J48" s="273">
        <v>351.91199999999998</v>
      </c>
      <c r="K48" s="273"/>
      <c r="L48" s="9"/>
      <c r="M48" s="14"/>
    </row>
    <row r="49" spans="1:13" hidden="1">
      <c r="A49" s="268">
        <v>37572</v>
      </c>
      <c r="B49" s="249">
        <f>'[11]CoS 2017 Load History'!H87</f>
        <v>12822028.619999986</v>
      </c>
      <c r="C49" s="269">
        <f>'Weather Data'!B145</f>
        <v>668</v>
      </c>
      <c r="D49" s="270">
        <f>'Weather Data'!C145</f>
        <v>0</v>
      </c>
      <c r="E49" s="273">
        <v>30</v>
      </c>
      <c r="F49" s="273">
        <v>1</v>
      </c>
      <c r="G49" s="256">
        <v>0</v>
      </c>
      <c r="H49" s="274">
        <v>125.14477470537335</v>
      </c>
      <c r="I49" s="272">
        <f>'[11]CoS 2017 Load History'!J87</f>
        <v>4430</v>
      </c>
      <c r="J49" s="273">
        <v>336.24</v>
      </c>
      <c r="K49" s="273"/>
      <c r="L49" s="9"/>
      <c r="M49" s="14"/>
    </row>
    <row r="50" spans="1:13" hidden="1">
      <c r="A50" s="254">
        <v>37605</v>
      </c>
      <c r="B50" s="249">
        <f>'[11]CoS 2017 Load History'!H88</f>
        <v>14078380.420000011</v>
      </c>
      <c r="C50" s="269">
        <f>'Weather Data'!B146</f>
        <v>785.6</v>
      </c>
      <c r="D50" s="270">
        <f>'Weather Data'!C146</f>
        <v>0</v>
      </c>
      <c r="E50" s="256">
        <v>31</v>
      </c>
      <c r="F50" s="256">
        <v>0</v>
      </c>
      <c r="G50" s="256">
        <v>0</v>
      </c>
      <c r="H50" s="257">
        <v>125.51474680022261</v>
      </c>
      <c r="I50" s="272">
        <f>'[11]CoS 2017 Load History'!J88</f>
        <v>4411</v>
      </c>
      <c r="J50" s="273">
        <v>319.92</v>
      </c>
      <c r="K50" s="273"/>
      <c r="L50" s="9"/>
      <c r="M50" s="33"/>
    </row>
    <row r="51" spans="1:13" hidden="1">
      <c r="A51" s="268">
        <v>37622</v>
      </c>
      <c r="B51" s="249">
        <f>'[11]CoS 2017 Load History'!H89</f>
        <v>14832051.379999967</v>
      </c>
      <c r="C51" s="269">
        <f>'Weather Data'!B147</f>
        <v>907.4</v>
      </c>
      <c r="D51" s="270">
        <f>'Weather Data'!C147</f>
        <v>0</v>
      </c>
      <c r="E51" s="273">
        <v>31</v>
      </c>
      <c r="F51" s="273">
        <v>0</v>
      </c>
      <c r="G51" s="256">
        <v>0</v>
      </c>
      <c r="H51" s="274">
        <v>125.66024937363977</v>
      </c>
      <c r="I51" s="272">
        <f>'[11]CoS 2017 Load History'!J89</f>
        <v>4415</v>
      </c>
      <c r="J51" s="273">
        <v>351.91199999999998</v>
      </c>
      <c r="K51" s="273"/>
      <c r="L51" s="9"/>
      <c r="M51" s="14"/>
    </row>
    <row r="52" spans="1:13" hidden="1">
      <c r="A52" s="268">
        <v>37653</v>
      </c>
      <c r="B52" s="249">
        <f>'[11]CoS 2017 Load History'!H90</f>
        <v>13779215.899999993</v>
      </c>
      <c r="C52" s="269">
        <f>'Weather Data'!B148</f>
        <v>969.6</v>
      </c>
      <c r="D52" s="270">
        <f>'Weather Data'!C148</f>
        <v>0</v>
      </c>
      <c r="E52" s="273">
        <v>28</v>
      </c>
      <c r="F52" s="273">
        <v>0</v>
      </c>
      <c r="G52" s="256">
        <v>0</v>
      </c>
      <c r="H52" s="274">
        <v>125.80592062045517</v>
      </c>
      <c r="I52" s="272">
        <f>'[11]CoS 2017 Load History'!J90</f>
        <v>4377</v>
      </c>
      <c r="J52" s="273">
        <v>319.87200000000001</v>
      </c>
      <c r="K52" s="273"/>
      <c r="L52" s="9"/>
      <c r="M52" s="14"/>
    </row>
    <row r="53" spans="1:13" hidden="1">
      <c r="A53" s="268">
        <v>37681</v>
      </c>
      <c r="B53" s="249">
        <f>'[11]CoS 2017 Load History'!H91</f>
        <v>13829301.070000036</v>
      </c>
      <c r="C53" s="269">
        <f>'Weather Data'!B149</f>
        <v>765.1</v>
      </c>
      <c r="D53" s="270">
        <f>'Weather Data'!C149</f>
        <v>0</v>
      </c>
      <c r="E53" s="273">
        <v>31</v>
      </c>
      <c r="F53" s="273">
        <v>1</v>
      </c>
      <c r="G53" s="256">
        <v>0</v>
      </c>
      <c r="H53" s="274">
        <v>125.9517607362029</v>
      </c>
      <c r="I53" s="272">
        <f>'[11]CoS 2017 Load History'!J91</f>
        <v>4394</v>
      </c>
      <c r="J53" s="273">
        <v>336.28800000000001</v>
      </c>
      <c r="K53" s="273"/>
      <c r="L53" s="9"/>
      <c r="M53" s="14"/>
    </row>
    <row r="54" spans="1:13" hidden="1">
      <c r="A54" s="268">
        <v>37712</v>
      </c>
      <c r="B54" s="249">
        <f>'[11]CoS 2017 Load History'!H92</f>
        <v>11430988.720000001</v>
      </c>
      <c r="C54" s="269">
        <f>'Weather Data'!B150</f>
        <v>499.3</v>
      </c>
      <c r="D54" s="270">
        <f>'Weather Data'!C150</f>
        <v>0</v>
      </c>
      <c r="E54" s="273">
        <v>30</v>
      </c>
      <c r="F54" s="273">
        <v>1</v>
      </c>
      <c r="G54" s="256">
        <v>0</v>
      </c>
      <c r="H54" s="274">
        <v>126.09776991664374</v>
      </c>
      <c r="I54" s="272">
        <f>'[11]CoS 2017 Load History'!J92</f>
        <v>4387</v>
      </c>
      <c r="J54" s="273">
        <v>336.24</v>
      </c>
      <c r="K54" s="273"/>
      <c r="L54" s="9"/>
      <c r="M54" s="14"/>
    </row>
    <row r="55" spans="1:13" hidden="1">
      <c r="A55" s="268">
        <v>37742</v>
      </c>
      <c r="B55" s="249">
        <f>'[11]CoS 2017 Load History'!H93</f>
        <v>10893804.240000037</v>
      </c>
      <c r="C55" s="269">
        <f>'Weather Data'!B151</f>
        <v>276.39999999999998</v>
      </c>
      <c r="D55" s="270">
        <f>'Weather Data'!C151</f>
        <v>0</v>
      </c>
      <c r="E55" s="273">
        <v>31</v>
      </c>
      <c r="F55" s="273">
        <v>1</v>
      </c>
      <c r="G55" s="256">
        <v>0</v>
      </c>
      <c r="H55" s="274">
        <v>126.2439483577654</v>
      </c>
      <c r="I55" s="272">
        <f>'[11]CoS 2017 Load History'!J93</f>
        <v>4398</v>
      </c>
      <c r="J55" s="273">
        <v>336.28800000000001</v>
      </c>
      <c r="K55" s="273"/>
      <c r="L55" s="9"/>
      <c r="M55" s="14"/>
    </row>
    <row r="56" spans="1:13" hidden="1">
      <c r="A56" s="268">
        <v>37773</v>
      </c>
      <c r="B56" s="249">
        <f>'[11]CoS 2017 Load History'!H94</f>
        <v>10521914.630000027</v>
      </c>
      <c r="C56" s="269">
        <f>'Weather Data'!B152</f>
        <v>129.30000000000001</v>
      </c>
      <c r="D56" s="270">
        <f>'Weather Data'!C152</f>
        <v>0</v>
      </c>
      <c r="E56" s="273">
        <v>30</v>
      </c>
      <c r="F56" s="273">
        <v>0</v>
      </c>
      <c r="G56" s="256">
        <v>0</v>
      </c>
      <c r="H56" s="274">
        <v>126.3902962557828</v>
      </c>
      <c r="I56" s="272">
        <f>'[11]CoS 2017 Load History'!J94</f>
        <v>4361</v>
      </c>
      <c r="J56" s="273">
        <v>336.24</v>
      </c>
      <c r="K56" s="273"/>
      <c r="L56" s="9"/>
      <c r="M56" s="14"/>
    </row>
    <row r="57" spans="1:13" hidden="1">
      <c r="A57" s="268">
        <v>37803</v>
      </c>
      <c r="B57" s="249">
        <f>'[11]CoS 2017 Load History'!H95</f>
        <v>11128406.430000007</v>
      </c>
      <c r="C57" s="269">
        <f>'Weather Data'!B153</f>
        <v>29.9</v>
      </c>
      <c r="D57" s="270">
        <f>'Weather Data'!C153</f>
        <v>18.2</v>
      </c>
      <c r="E57" s="273">
        <v>31</v>
      </c>
      <c r="F57" s="273">
        <v>0</v>
      </c>
      <c r="G57" s="256">
        <v>0</v>
      </c>
      <c r="H57" s="274">
        <v>126.5368138071383</v>
      </c>
      <c r="I57" s="272">
        <f>'[11]CoS 2017 Load History'!J95</f>
        <v>4354</v>
      </c>
      <c r="J57" s="273">
        <v>351.91199999999998</v>
      </c>
      <c r="K57" s="273"/>
      <c r="L57" s="9"/>
      <c r="M57" s="14"/>
    </row>
    <row r="58" spans="1:13" hidden="1">
      <c r="A58" s="268">
        <v>37834</v>
      </c>
      <c r="B58" s="249">
        <f>'[11]CoS 2017 Load History'!H96</f>
        <v>11424088.600000011</v>
      </c>
      <c r="C58" s="269">
        <f>'Weather Data'!B154</f>
        <v>35.6</v>
      </c>
      <c r="D58" s="270">
        <f>'Weather Data'!C154</f>
        <v>50.9</v>
      </c>
      <c r="E58" s="273">
        <v>31</v>
      </c>
      <c r="F58" s="273">
        <v>0</v>
      </c>
      <c r="G58" s="256">
        <v>0</v>
      </c>
      <c r="H58" s="274">
        <v>126.68350120850199</v>
      </c>
      <c r="I58" s="272">
        <f>'[11]CoS 2017 Load History'!J96</f>
        <v>4366</v>
      </c>
      <c r="J58" s="273">
        <v>319.92</v>
      </c>
      <c r="K58" s="273"/>
      <c r="L58" s="9"/>
      <c r="M58" s="14"/>
    </row>
    <row r="59" spans="1:13" hidden="1">
      <c r="A59" s="268">
        <v>37865</v>
      </c>
      <c r="B59" s="249">
        <f>'[11]CoS 2017 Load History'!H97</f>
        <v>10536500.330000013</v>
      </c>
      <c r="C59" s="269">
        <f>'Weather Data'!B155</f>
        <v>164</v>
      </c>
      <c r="D59" s="270">
        <f>'Weather Data'!C155</f>
        <v>6.7</v>
      </c>
      <c r="E59" s="273">
        <v>30</v>
      </c>
      <c r="F59" s="273">
        <v>1</v>
      </c>
      <c r="G59" s="256">
        <v>0</v>
      </c>
      <c r="H59" s="274">
        <v>126.83035865677196</v>
      </c>
      <c r="I59" s="272">
        <f>'[11]CoS 2017 Load History'!J97</f>
        <v>4384</v>
      </c>
      <c r="J59" s="273">
        <v>336.24</v>
      </c>
      <c r="K59" s="273"/>
      <c r="L59" s="9"/>
      <c r="M59" s="14"/>
    </row>
    <row r="60" spans="1:13" hidden="1">
      <c r="A60" s="268">
        <v>37895</v>
      </c>
      <c r="B60" s="249">
        <f>'[11]CoS 2017 Load History'!H98</f>
        <v>11282977.670000009</v>
      </c>
      <c r="C60" s="269">
        <f>'Weather Data'!B156</f>
        <v>414.2</v>
      </c>
      <c r="D60" s="270">
        <f>'Weather Data'!C156</f>
        <v>0</v>
      </c>
      <c r="E60" s="273">
        <v>31</v>
      </c>
      <c r="F60" s="273">
        <v>1</v>
      </c>
      <c r="G60" s="256">
        <v>0</v>
      </c>
      <c r="H60" s="274">
        <v>126.97738634907456</v>
      </c>
      <c r="I60" s="272">
        <f>'[11]CoS 2017 Load History'!J98</f>
        <v>4391</v>
      </c>
      <c r="J60" s="273">
        <v>351.91199999999998</v>
      </c>
      <c r="K60" s="273"/>
      <c r="L60" s="9"/>
      <c r="M60" s="14"/>
    </row>
    <row r="61" spans="1:13" hidden="1">
      <c r="A61" s="268">
        <v>37926</v>
      </c>
      <c r="B61" s="249">
        <f>'[11]CoS 2017 Load History'!H99</f>
        <v>12256111.299999986</v>
      </c>
      <c r="C61" s="269">
        <f>'Weather Data'!B157</f>
        <v>632.9</v>
      </c>
      <c r="D61" s="270">
        <f>'Weather Data'!C157</f>
        <v>0</v>
      </c>
      <c r="E61" s="273">
        <v>30</v>
      </c>
      <c r="F61" s="273">
        <v>1</v>
      </c>
      <c r="G61" s="256">
        <v>0</v>
      </c>
      <c r="H61" s="274">
        <v>127.12458448276465</v>
      </c>
      <c r="I61" s="272">
        <f>'[11]CoS 2017 Load History'!J99</f>
        <v>4392</v>
      </c>
      <c r="J61" s="273">
        <v>319.68</v>
      </c>
      <c r="K61" s="273"/>
      <c r="L61" s="9"/>
      <c r="M61" s="14"/>
    </row>
    <row r="62" spans="1:13" hidden="1">
      <c r="A62" s="268">
        <v>37956</v>
      </c>
      <c r="B62" s="249">
        <f>'[11]CoS 2017 Load History'!H100</f>
        <v>13505417.100000024</v>
      </c>
      <c r="C62" s="269">
        <f>'Weather Data'!B158</f>
        <v>785.9</v>
      </c>
      <c r="D62" s="270">
        <f>'Weather Data'!C158</f>
        <v>0</v>
      </c>
      <c r="E62" s="273">
        <v>31</v>
      </c>
      <c r="F62" s="273">
        <v>0</v>
      </c>
      <c r="G62" s="256">
        <v>0</v>
      </c>
      <c r="H62" s="274">
        <v>127.27195325542573</v>
      </c>
      <c r="I62" s="272">
        <f>'[11]CoS 2017 Load History'!J100</f>
        <v>4385</v>
      </c>
      <c r="J62" s="273">
        <v>336.28800000000001</v>
      </c>
      <c r="K62" s="273"/>
      <c r="L62" s="9"/>
      <c r="M62" s="14"/>
    </row>
    <row r="63" spans="1:13" hidden="1">
      <c r="A63" s="268">
        <v>37987</v>
      </c>
      <c r="B63" s="249">
        <f>'[11]CoS 2017 Load History'!H101</f>
        <v>14816217.600000024</v>
      </c>
      <c r="C63" s="269">
        <f>'Weather Data'!B159</f>
        <v>1140.5999999999999</v>
      </c>
      <c r="D63" s="270">
        <f>'Weather Data'!C159</f>
        <v>0</v>
      </c>
      <c r="E63" s="273">
        <v>31</v>
      </c>
      <c r="F63" s="273">
        <v>0</v>
      </c>
      <c r="G63" s="256">
        <v>0</v>
      </c>
      <c r="H63" s="274">
        <v>127.53411264087498</v>
      </c>
      <c r="I63" s="272">
        <f>'[11]CoS 2017 Load History'!J101</f>
        <v>4415</v>
      </c>
      <c r="J63" s="273">
        <v>336.28800000000001</v>
      </c>
      <c r="K63" s="273"/>
      <c r="L63" s="9"/>
      <c r="M63" s="14"/>
    </row>
    <row r="64" spans="1:13" hidden="1">
      <c r="A64" s="268">
        <v>38018</v>
      </c>
      <c r="B64" s="249">
        <f>'[11]CoS 2017 Load History'!H102</f>
        <v>13887023.500000006</v>
      </c>
      <c r="C64" s="269">
        <f>'Weather Data'!B160</f>
        <v>778.3</v>
      </c>
      <c r="D64" s="270">
        <f>'Weather Data'!C160</f>
        <v>0</v>
      </c>
      <c r="E64" s="273">
        <v>29</v>
      </c>
      <c r="F64" s="273">
        <v>0</v>
      </c>
      <c r="G64" s="256">
        <v>0</v>
      </c>
      <c r="H64" s="274">
        <v>127.79681203173486</v>
      </c>
      <c r="I64" s="272">
        <f>'[11]CoS 2017 Load History'!J102</f>
        <v>4423</v>
      </c>
      <c r="J64" s="273">
        <v>320.16000000000003</v>
      </c>
      <c r="K64" s="273"/>
      <c r="L64" s="9"/>
      <c r="M64" s="14"/>
    </row>
    <row r="65" spans="1:41" hidden="1">
      <c r="A65" s="268">
        <v>38047</v>
      </c>
      <c r="B65" s="249">
        <f>'[11]CoS 2017 Load History'!H103</f>
        <v>13418396.62999998</v>
      </c>
      <c r="C65" s="269">
        <f>'Weather Data'!B161</f>
        <v>684.3</v>
      </c>
      <c r="D65" s="270">
        <f>'Weather Data'!C161</f>
        <v>0</v>
      </c>
      <c r="E65" s="273">
        <v>31</v>
      </c>
      <c r="F65" s="273">
        <v>1</v>
      </c>
      <c r="G65" s="256">
        <v>0</v>
      </c>
      <c r="H65" s="274">
        <v>128.06005254032812</v>
      </c>
      <c r="I65" s="272">
        <f>'[11]CoS 2017 Load History'!J103</f>
        <v>4412</v>
      </c>
      <c r="J65" s="273">
        <v>368.28</v>
      </c>
      <c r="K65" s="273"/>
      <c r="L65" s="9"/>
      <c r="M65" s="14"/>
    </row>
    <row r="66" spans="1:41" hidden="1">
      <c r="A66" s="268">
        <v>38078</v>
      </c>
      <c r="B66" s="249">
        <f>'[11]CoS 2017 Load History'!H104</f>
        <v>11743989.460000006</v>
      </c>
      <c r="C66" s="269">
        <f>'Weather Data'!B162</f>
        <v>472.4</v>
      </c>
      <c r="D66" s="270">
        <f>'Weather Data'!C162</f>
        <v>0</v>
      </c>
      <c r="E66" s="273">
        <v>30</v>
      </c>
      <c r="F66" s="273">
        <v>1</v>
      </c>
      <c r="G66" s="256">
        <v>0</v>
      </c>
      <c r="H66" s="274">
        <v>128.32383528126866</v>
      </c>
      <c r="I66" s="272">
        <f>'[11]CoS 2017 Load History'!J104</f>
        <v>4398</v>
      </c>
      <c r="J66" s="273">
        <v>336.24</v>
      </c>
      <c r="K66" s="273"/>
      <c r="L66" s="9"/>
      <c r="M66" s="14"/>
    </row>
    <row r="67" spans="1:41" hidden="1">
      <c r="A67" s="268">
        <v>38108</v>
      </c>
      <c r="B67" s="249">
        <f>'[11]CoS 2017 Load History'!H105</f>
        <v>11392997.179999998</v>
      </c>
      <c r="C67" s="269">
        <f>'Weather Data'!B163</f>
        <v>333.2</v>
      </c>
      <c r="D67" s="270">
        <f>'Weather Data'!C163</f>
        <v>0</v>
      </c>
      <c r="E67" s="273">
        <v>31</v>
      </c>
      <c r="F67" s="273">
        <v>1</v>
      </c>
      <c r="G67" s="256">
        <v>0</v>
      </c>
      <c r="H67" s="274">
        <v>128.58816137146633</v>
      </c>
      <c r="I67" s="272">
        <f>'[11]CoS 2017 Load History'!J105</f>
        <v>4405</v>
      </c>
      <c r="J67" s="273">
        <v>319.92</v>
      </c>
      <c r="K67" s="273"/>
      <c r="L67" s="9"/>
      <c r="M67" s="14"/>
    </row>
    <row r="68" spans="1:41" hidden="1">
      <c r="A68" s="268">
        <v>38139</v>
      </c>
      <c r="B68" s="249">
        <f>'[11]CoS 2017 Load History'!H106</f>
        <v>10739165.880000006</v>
      </c>
      <c r="C68" s="269">
        <f>'Weather Data'!B164</f>
        <v>145.80000000000001</v>
      </c>
      <c r="D68" s="270">
        <f>'Weather Data'!C164</f>
        <v>3.1</v>
      </c>
      <c r="E68" s="273">
        <v>30</v>
      </c>
      <c r="F68" s="273">
        <v>0</v>
      </c>
      <c r="G68" s="256">
        <v>0</v>
      </c>
      <c r="H68" s="274">
        <v>128.85303193013166</v>
      </c>
      <c r="I68" s="272">
        <f>'[11]CoS 2017 Load History'!J106</f>
        <v>4421</v>
      </c>
      <c r="J68" s="273">
        <v>352.08</v>
      </c>
      <c r="K68" s="273"/>
      <c r="L68" s="9"/>
      <c r="M68" s="14"/>
    </row>
    <row r="69" spans="1:41" hidden="1">
      <c r="A69" s="268">
        <v>38169</v>
      </c>
      <c r="B69" s="249">
        <f>'[11]CoS 2017 Load History'!H107</f>
        <v>11518786.739999982</v>
      </c>
      <c r="C69" s="269">
        <f>'Weather Data'!B165</f>
        <v>67.400000000000006</v>
      </c>
      <c r="D69" s="270">
        <f>'Weather Data'!C165</f>
        <v>22</v>
      </c>
      <c r="E69" s="273">
        <v>31</v>
      </c>
      <c r="F69" s="273">
        <v>0</v>
      </c>
      <c r="G69" s="256">
        <v>0</v>
      </c>
      <c r="H69" s="274">
        <v>129.11844807878055</v>
      </c>
      <c r="I69" s="272">
        <f>'[11]CoS 2017 Load History'!J107</f>
        <v>4428</v>
      </c>
      <c r="J69" s="273">
        <v>336.28800000000001</v>
      </c>
      <c r="K69" s="273"/>
      <c r="L69" s="9"/>
      <c r="M69" s="14"/>
    </row>
    <row r="70" spans="1:41" hidden="1">
      <c r="A70" s="268">
        <v>38200</v>
      </c>
      <c r="B70" s="249">
        <f>'[11]CoS 2017 Load History'!H108</f>
        <v>11273129.019999975</v>
      </c>
      <c r="C70" s="269">
        <f>'Weather Data'!B166</f>
        <v>123</v>
      </c>
      <c r="D70" s="270">
        <f>'Weather Data'!C166</f>
        <v>1.8</v>
      </c>
      <c r="E70" s="273">
        <v>31</v>
      </c>
      <c r="F70" s="273">
        <v>0</v>
      </c>
      <c r="G70" s="256">
        <v>0</v>
      </c>
      <c r="H70" s="274">
        <v>129.38441094123903</v>
      </c>
      <c r="I70" s="272">
        <f>'[11]CoS 2017 Load History'!J108</f>
        <v>4394</v>
      </c>
      <c r="J70" s="273">
        <v>336.28800000000001</v>
      </c>
      <c r="K70" s="273"/>
      <c r="L70" s="9"/>
      <c r="M70" s="14"/>
    </row>
    <row r="71" spans="1:41" hidden="1">
      <c r="A71" s="268">
        <v>38231</v>
      </c>
      <c r="B71" s="249">
        <f>'[11]CoS 2017 Load History'!H109</f>
        <v>10874645.45999998</v>
      </c>
      <c r="C71" s="269">
        <f>'Weather Data'!B167</f>
        <v>132.9</v>
      </c>
      <c r="D71" s="270">
        <f>'Weather Data'!C167</f>
        <v>4.7</v>
      </c>
      <c r="E71" s="273">
        <v>30</v>
      </c>
      <c r="F71" s="273">
        <v>1</v>
      </c>
      <c r="G71" s="256">
        <v>0</v>
      </c>
      <c r="H71" s="274">
        <v>129.65092164364802</v>
      </c>
      <c r="I71" s="272">
        <f>'[11]CoS 2017 Load History'!J109</f>
        <v>4392</v>
      </c>
      <c r="J71" s="273">
        <v>336.24</v>
      </c>
      <c r="K71" s="273"/>
      <c r="L71" s="9"/>
      <c r="M71" s="14"/>
    </row>
    <row r="72" spans="1:41" hidden="1">
      <c r="A72" s="268">
        <v>38261</v>
      </c>
      <c r="B72" s="249">
        <f>'[11]CoS 2017 Load History'!H110</f>
        <v>11638624.420000004</v>
      </c>
      <c r="C72" s="269">
        <f>'Weather Data'!B168</f>
        <v>372.7</v>
      </c>
      <c r="D72" s="270">
        <f>'Weather Data'!C168</f>
        <v>0</v>
      </c>
      <c r="E72" s="273">
        <v>31</v>
      </c>
      <c r="F72" s="273">
        <v>1</v>
      </c>
      <c r="G72" s="256">
        <v>0</v>
      </c>
      <c r="H72" s="274">
        <v>129.91798131446814</v>
      </c>
      <c r="I72" s="272">
        <f>'[11]CoS 2017 Load History'!J110</f>
        <v>4412</v>
      </c>
      <c r="J72" s="273">
        <v>319.92</v>
      </c>
      <c r="K72" s="273"/>
      <c r="L72" s="9"/>
      <c r="M72" s="14"/>
    </row>
    <row r="73" spans="1:41" hidden="1">
      <c r="A73" s="268">
        <v>38292</v>
      </c>
      <c r="B73" s="249">
        <f>'[11]CoS 2017 Load History'!H111</f>
        <v>12406564.950000012</v>
      </c>
      <c r="C73" s="269">
        <f>'Weather Data'!B169</f>
        <v>554.9</v>
      </c>
      <c r="D73" s="270">
        <f>'Weather Data'!C169</f>
        <v>0</v>
      </c>
      <c r="E73" s="273">
        <v>30</v>
      </c>
      <c r="F73" s="273">
        <v>1</v>
      </c>
      <c r="G73" s="256">
        <v>0</v>
      </c>
      <c r="H73" s="274">
        <v>130.18559108448443</v>
      </c>
      <c r="I73" s="272">
        <f>'[11]CoS 2017 Load History'!J111</f>
        <v>4454</v>
      </c>
      <c r="J73" s="273">
        <v>352.08</v>
      </c>
      <c r="K73" s="273"/>
      <c r="L73" s="9"/>
      <c r="M73" s="14"/>
    </row>
    <row r="74" spans="1:41" hidden="1">
      <c r="A74" s="268">
        <v>38322</v>
      </c>
      <c r="B74" s="249">
        <f>'[11]CoS 2017 Load History'!H112</f>
        <v>14682121.650000013</v>
      </c>
      <c r="C74" s="269">
        <f>'Weather Data'!B170</f>
        <v>926.6</v>
      </c>
      <c r="D74" s="270">
        <f>'Weather Data'!C170</f>
        <v>0</v>
      </c>
      <c r="E74" s="273">
        <v>31</v>
      </c>
      <c r="F74" s="273">
        <v>0</v>
      </c>
      <c r="G74" s="256">
        <v>0</v>
      </c>
      <c r="H74" s="274">
        <v>130.45375208681136</v>
      </c>
      <c r="I74" s="272">
        <f>'[11]CoS 2017 Load History'!J112</f>
        <v>4439</v>
      </c>
      <c r="J74" s="273">
        <v>336.28800000000001</v>
      </c>
      <c r="K74" s="273"/>
      <c r="L74" s="9"/>
      <c r="M74" s="14"/>
    </row>
    <row r="75" spans="1:41" hidden="1">
      <c r="A75" s="268">
        <v>38353</v>
      </c>
      <c r="B75" s="249">
        <f>'[11]CoS 2017 Load History'!H113</f>
        <v>15490461.069999997</v>
      </c>
      <c r="C75" s="269">
        <f>'Weather Data'!B171</f>
        <v>1084.3</v>
      </c>
      <c r="D75" s="270">
        <f>'Weather Data'!C171</f>
        <v>0</v>
      </c>
      <c r="E75" s="273">
        <v>31</v>
      </c>
      <c r="F75" s="273">
        <v>0</v>
      </c>
      <c r="G75" s="256">
        <v>0</v>
      </c>
      <c r="H75" s="274">
        <v>130.74370215685079</v>
      </c>
      <c r="I75" s="272">
        <f>'[11]CoS 2017 Load History'!J113</f>
        <v>4449</v>
      </c>
      <c r="J75" s="273">
        <v>319.92</v>
      </c>
      <c r="K75" s="273"/>
      <c r="L75" s="9"/>
      <c r="M75" s="14"/>
    </row>
    <row r="76" spans="1:41" s="15" customFormat="1" hidden="1">
      <c r="A76" s="268">
        <v>38384</v>
      </c>
      <c r="B76" s="249">
        <f>'[11]CoS 2017 Load History'!H114</f>
        <v>13456927.609999986</v>
      </c>
      <c r="C76" s="269">
        <f>'Weather Data'!B172</f>
        <v>755.9</v>
      </c>
      <c r="D76" s="270">
        <f>'Weather Data'!C172</f>
        <v>0</v>
      </c>
      <c r="E76" s="273">
        <v>28</v>
      </c>
      <c r="F76" s="273">
        <v>0</v>
      </c>
      <c r="G76" s="256">
        <v>0</v>
      </c>
      <c r="H76" s="274">
        <v>131.0342966778299</v>
      </c>
      <c r="I76" s="272">
        <f>'[11]CoS 2017 Load History'!J114</f>
        <v>4434</v>
      </c>
      <c r="J76" s="273">
        <v>319.87200000000001</v>
      </c>
      <c r="K76" s="273"/>
      <c r="L76" s="9"/>
      <c r="M76" s="14"/>
      <c r="N76"/>
      <c r="O76"/>
      <c r="P76"/>
      <c r="Q76"/>
      <c r="R76"/>
      <c r="S76"/>
      <c r="T76"/>
      <c r="U76"/>
      <c r="V76"/>
      <c r="W76"/>
      <c r="X76"/>
      <c r="Y76"/>
      <c r="Z76"/>
      <c r="AA76"/>
      <c r="AB76"/>
      <c r="AC76"/>
      <c r="AD76"/>
      <c r="AE76"/>
      <c r="AF76"/>
      <c r="AG76"/>
      <c r="AH76"/>
      <c r="AI76"/>
      <c r="AJ76"/>
      <c r="AK76"/>
      <c r="AL76"/>
      <c r="AM76"/>
      <c r="AN76"/>
      <c r="AO76"/>
    </row>
    <row r="77" spans="1:41" hidden="1">
      <c r="A77" s="268">
        <v>38412</v>
      </c>
      <c r="B77" s="249">
        <f>'[11]CoS 2017 Load History'!H115</f>
        <v>13345813.870000025</v>
      </c>
      <c r="C77" s="269">
        <f>'Weather Data'!B173</f>
        <v>814.1</v>
      </c>
      <c r="D77" s="270">
        <f>'Weather Data'!C173</f>
        <v>0</v>
      </c>
      <c r="E77" s="273">
        <v>31</v>
      </c>
      <c r="F77" s="273">
        <v>1</v>
      </c>
      <c r="G77" s="256">
        <v>0</v>
      </c>
      <c r="H77" s="274">
        <v>131.32553708212293</v>
      </c>
      <c r="I77" s="272">
        <f>'[11]CoS 2017 Load History'!J115</f>
        <v>4422</v>
      </c>
      <c r="J77" s="273">
        <v>351.91199999999998</v>
      </c>
      <c r="K77" s="273"/>
      <c r="L77" s="9"/>
      <c r="M77" s="14"/>
    </row>
    <row r="78" spans="1:41" hidden="1">
      <c r="A78" s="268">
        <v>38443</v>
      </c>
      <c r="B78" s="249">
        <f>'[11]CoS 2017 Load History'!H116</f>
        <v>11242470.140000001</v>
      </c>
      <c r="C78" s="269">
        <f>'Weather Data'!B174</f>
        <v>408.1</v>
      </c>
      <c r="D78" s="270">
        <f>'Weather Data'!C174</f>
        <v>0</v>
      </c>
      <c r="E78" s="273">
        <v>30</v>
      </c>
      <c r="F78" s="273">
        <v>1</v>
      </c>
      <c r="G78" s="256">
        <v>0</v>
      </c>
      <c r="H78" s="274">
        <v>131.61742480528775</v>
      </c>
      <c r="I78" s="272">
        <f>'[11]CoS 2017 Load History'!J116</f>
        <v>4429</v>
      </c>
      <c r="J78" s="273">
        <v>336.24</v>
      </c>
      <c r="K78" s="273"/>
      <c r="L78" s="9"/>
      <c r="M78" s="14"/>
    </row>
    <row r="79" spans="1:41" hidden="1">
      <c r="A79" s="268">
        <v>38473</v>
      </c>
      <c r="B79" s="249">
        <f>'[11]CoS 2017 Load History'!H117</f>
        <v>11077309.790000007</v>
      </c>
      <c r="C79" s="269">
        <f>'Weather Data'!B175</f>
        <v>306.2</v>
      </c>
      <c r="D79" s="270">
        <f>'Weather Data'!C175</f>
        <v>0</v>
      </c>
      <c r="E79" s="273">
        <v>31</v>
      </c>
      <c r="F79" s="273">
        <v>1</v>
      </c>
      <c r="G79" s="256">
        <v>0</v>
      </c>
      <c r="H79" s="274">
        <v>131.90996128607298</v>
      </c>
      <c r="I79" s="272">
        <f>'[11]CoS 2017 Load History'!J117</f>
        <v>4381</v>
      </c>
      <c r="J79" s="273">
        <v>336.28800000000001</v>
      </c>
      <c r="K79" s="273"/>
      <c r="L79" s="9"/>
      <c r="M79" s="14"/>
    </row>
    <row r="80" spans="1:41" hidden="1">
      <c r="A80" s="268">
        <v>38504</v>
      </c>
      <c r="B80" s="249">
        <f>'[11]CoS 2017 Load History'!H118</f>
        <v>10921396.540000018</v>
      </c>
      <c r="C80" s="269">
        <f>'Weather Data'!B176</f>
        <v>72.599999999999994</v>
      </c>
      <c r="D80" s="270">
        <f>'Weather Data'!C176</f>
        <v>16.8</v>
      </c>
      <c r="E80" s="273">
        <v>30</v>
      </c>
      <c r="F80" s="273">
        <v>0</v>
      </c>
      <c r="G80" s="256">
        <v>0</v>
      </c>
      <c r="H80" s="274">
        <v>132.20314796642501</v>
      </c>
      <c r="I80" s="272">
        <f>'[11]CoS 2017 Load History'!J118</f>
        <v>4385</v>
      </c>
      <c r="J80" s="273">
        <v>352.08</v>
      </c>
      <c r="K80" s="273"/>
      <c r="L80" s="9"/>
      <c r="M80" s="14"/>
    </row>
    <row r="81" spans="1:41" hidden="1">
      <c r="A81" s="268">
        <v>38534</v>
      </c>
      <c r="B81" s="249">
        <f>'[11]CoS 2017 Load History'!H119</f>
        <v>11811198.419999963</v>
      </c>
      <c r="C81" s="269">
        <f>'Weather Data'!B177</f>
        <v>45.3</v>
      </c>
      <c r="D81" s="270">
        <f>'Weather Data'!C177</f>
        <v>53</v>
      </c>
      <c r="E81" s="273">
        <v>31</v>
      </c>
      <c r="F81" s="273">
        <v>0</v>
      </c>
      <c r="G81" s="256">
        <v>0</v>
      </c>
      <c r="H81" s="274">
        <v>132.49698629149512</v>
      </c>
      <c r="I81" s="272">
        <f>'[11]CoS 2017 Load History'!J119</f>
        <v>4385</v>
      </c>
      <c r="J81" s="273">
        <v>319.92</v>
      </c>
      <c r="K81" s="273"/>
      <c r="L81" s="9"/>
      <c r="M81" s="14"/>
    </row>
    <row r="82" spans="1:41" hidden="1">
      <c r="A82" s="268">
        <v>38565</v>
      </c>
      <c r="B82" s="249">
        <f>'[11]CoS 2017 Load History'!H120</f>
        <v>11621455.870000014</v>
      </c>
      <c r="C82" s="269">
        <f>'Weather Data'!B178</f>
        <v>46.3</v>
      </c>
      <c r="D82" s="270">
        <f>'Weather Data'!C178</f>
        <v>29.6</v>
      </c>
      <c r="E82" s="273">
        <v>31</v>
      </c>
      <c r="F82" s="273">
        <v>0</v>
      </c>
      <c r="G82" s="256">
        <v>0</v>
      </c>
      <c r="H82" s="274">
        <v>132.79147770964664</v>
      </c>
      <c r="I82" s="272">
        <f>'[11]CoS 2017 Load History'!J120</f>
        <v>4374</v>
      </c>
      <c r="J82" s="273">
        <v>351.91199999999998</v>
      </c>
      <c r="K82" s="273"/>
      <c r="L82" s="9"/>
      <c r="M82" s="14"/>
    </row>
    <row r="83" spans="1:41" hidden="1">
      <c r="A83" s="268">
        <v>38596</v>
      </c>
      <c r="B83" s="249">
        <f>'[11]CoS 2017 Load History'!H121</f>
        <v>10756551.00999997</v>
      </c>
      <c r="C83" s="269">
        <f>'Weather Data'!B179</f>
        <v>148.80000000000001</v>
      </c>
      <c r="D83" s="270">
        <f>'Weather Data'!C179</f>
        <v>15.2</v>
      </c>
      <c r="E83" s="273">
        <v>30</v>
      </c>
      <c r="F83" s="273">
        <v>1</v>
      </c>
      <c r="G83" s="256">
        <v>0</v>
      </c>
      <c r="H83" s="274">
        <v>133.08662367246211</v>
      </c>
      <c r="I83" s="272">
        <f>'[11]CoS 2017 Load History'!J121</f>
        <v>4400</v>
      </c>
      <c r="J83" s="273">
        <v>336.24</v>
      </c>
      <c r="K83" s="273"/>
      <c r="L83" s="9"/>
      <c r="M83" s="14"/>
    </row>
    <row r="84" spans="1:41" hidden="1">
      <c r="A84" s="268">
        <v>38626</v>
      </c>
      <c r="B84" s="249">
        <f>'[11]CoS 2017 Load History'!H122</f>
        <v>11210250.469999989</v>
      </c>
      <c r="C84" s="269">
        <f>'Weather Data'!B180</f>
        <v>347.3</v>
      </c>
      <c r="D84" s="270">
        <f>'Weather Data'!C180</f>
        <v>0</v>
      </c>
      <c r="E84" s="273">
        <v>31</v>
      </c>
      <c r="F84" s="273">
        <v>1</v>
      </c>
      <c r="G84" s="256">
        <v>0</v>
      </c>
      <c r="H84" s="274">
        <v>133.38242563475035</v>
      </c>
      <c r="I84" s="272">
        <f>'[11]CoS 2017 Load History'!J122</f>
        <v>4427</v>
      </c>
      <c r="J84" s="273">
        <v>319.92</v>
      </c>
      <c r="K84" s="273"/>
      <c r="L84" s="9"/>
      <c r="M84" s="14"/>
    </row>
    <row r="85" spans="1:41" hidden="1">
      <c r="A85" s="268">
        <v>38657</v>
      </c>
      <c r="B85" s="249">
        <f>'[11]CoS 2017 Load History'!H123</f>
        <v>12421436.97000001</v>
      </c>
      <c r="C85" s="269">
        <f>'Weather Data'!B181</f>
        <v>606.9</v>
      </c>
      <c r="D85" s="270">
        <f>'Weather Data'!C181</f>
        <v>0</v>
      </c>
      <c r="E85" s="273">
        <v>30</v>
      </c>
      <c r="F85" s="273">
        <v>1</v>
      </c>
      <c r="G85" s="256">
        <v>0</v>
      </c>
      <c r="H85" s="274">
        <v>133.67888505455369</v>
      </c>
      <c r="I85" s="272">
        <f>'[11]CoS 2017 Load History'!J123</f>
        <v>4431</v>
      </c>
      <c r="J85" s="273">
        <v>352.08</v>
      </c>
      <c r="K85" s="273"/>
      <c r="L85" s="9"/>
      <c r="M85" s="14"/>
    </row>
    <row r="86" spans="1:41" hidden="1">
      <c r="A86" s="268">
        <v>38687</v>
      </c>
      <c r="B86" s="249">
        <f>'[11]CoS 2017 Load History'!H124</f>
        <v>14062601.490000019</v>
      </c>
      <c r="C86" s="269">
        <f>'Weather Data'!B182</f>
        <v>833.4</v>
      </c>
      <c r="D86" s="270">
        <f>'Weather Data'!C182</f>
        <v>0</v>
      </c>
      <c r="E86" s="273">
        <v>31</v>
      </c>
      <c r="F86" s="273">
        <v>0</v>
      </c>
      <c r="G86" s="256">
        <v>0</v>
      </c>
      <c r="H86" s="274">
        <v>133.97600339315525</v>
      </c>
      <c r="I86" s="272">
        <f>'[11]CoS 2017 Load History'!J124</f>
        <v>4434</v>
      </c>
      <c r="J86" s="273">
        <v>319.92</v>
      </c>
      <c r="K86" s="273"/>
      <c r="L86" s="9"/>
      <c r="M86" s="14"/>
    </row>
    <row r="87" spans="1:41" s="35" customFormat="1">
      <c r="A87" s="268">
        <v>38718</v>
      </c>
      <c r="B87" s="249">
        <f>'[11]CoS 2017 Load History'!H125</f>
        <v>14009855.030000025</v>
      </c>
      <c r="C87" s="269">
        <f>'Weather Data'!B183</f>
        <v>797</v>
      </c>
      <c r="D87" s="270">
        <f>'Weather Data'!C183</f>
        <v>0</v>
      </c>
      <c r="E87" s="273">
        <v>31</v>
      </c>
      <c r="F87" s="273">
        <v>0</v>
      </c>
      <c r="G87" s="256">
        <f>'CDM Activity'!O19</f>
        <v>0</v>
      </c>
      <c r="H87" s="274">
        <v>134.25197202423305</v>
      </c>
      <c r="I87" s="272">
        <f>'[11]CoS 2017 Load History'!J125</f>
        <v>4433</v>
      </c>
      <c r="J87" s="273">
        <v>336.28800000000001</v>
      </c>
      <c r="K87" s="273">
        <f>$O$103+C87*$O$104+D87*$O$105+E87*$O$106+F87*$O$107+G87*$O$108+H87*$O$109</f>
        <v>13240271.55022509</v>
      </c>
      <c r="L87" s="232">
        <f>K87-B87</f>
        <v>-769583.47977493517</v>
      </c>
      <c r="M87" s="233">
        <f>ABS(L87/B87)</f>
        <v>5.4931580528634047E-2</v>
      </c>
      <c r="N87" t="s">
        <v>15</v>
      </c>
      <c r="O87"/>
      <c r="P87"/>
      <c r="Q87"/>
      <c r="R87"/>
      <c r="S87"/>
      <c r="T87"/>
      <c r="U87"/>
      <c r="V87"/>
      <c r="W87"/>
      <c r="X87"/>
      <c r="Y87"/>
      <c r="Z87"/>
      <c r="AA87"/>
      <c r="AB87"/>
      <c r="AC87"/>
      <c r="AD87"/>
      <c r="AE87"/>
      <c r="AF87"/>
      <c r="AG87"/>
      <c r="AH87"/>
      <c r="AI87"/>
      <c r="AJ87"/>
      <c r="AK87"/>
      <c r="AL87"/>
      <c r="AM87"/>
      <c r="AN87"/>
      <c r="AO87"/>
    </row>
    <row r="88" spans="1:41" ht="13.5" thickBot="1">
      <c r="A88" s="268">
        <v>38749</v>
      </c>
      <c r="B88" s="249">
        <f>'[11]CoS 2017 Load History'!H126</f>
        <v>12948095.099999985</v>
      </c>
      <c r="C88" s="269">
        <f>'Weather Data'!B184</f>
        <v>873.4</v>
      </c>
      <c r="D88" s="270">
        <f>'Weather Data'!C184</f>
        <v>0</v>
      </c>
      <c r="E88" s="273">
        <v>28</v>
      </c>
      <c r="F88" s="273">
        <v>0</v>
      </c>
      <c r="G88" s="256">
        <f>'CDM Activity'!O20</f>
        <v>0</v>
      </c>
      <c r="H88" s="274">
        <v>134.52850910550649</v>
      </c>
      <c r="I88" s="272">
        <f>'[11]CoS 2017 Load History'!J126</f>
        <v>4414</v>
      </c>
      <c r="J88" s="273">
        <v>319.87200000000001</v>
      </c>
      <c r="K88" s="273">
        <f t="shared" ref="K88:K151" si="0">$O$103+C88*$O$104+D88*$O$105+E88*$O$106+F88*$O$107+G88*$O$108+H88*$O$109</f>
        <v>12742018.742917214</v>
      </c>
      <c r="L88" s="232">
        <f t="shared" ref="L88:L151" si="1">K88-B88</f>
        <v>-206076.35708277114</v>
      </c>
      <c r="M88" s="233">
        <f t="shared" ref="M88:M151" si="2">ABS(L88/B88)</f>
        <v>1.591557333269597E-2</v>
      </c>
    </row>
    <row r="89" spans="1:41">
      <c r="A89" s="268">
        <v>38777</v>
      </c>
      <c r="B89" s="249">
        <f>'[11]CoS 2017 Load History'!H127</f>
        <v>13054109.160000017</v>
      </c>
      <c r="C89" s="269">
        <f>'Weather Data'!B185</f>
        <v>659</v>
      </c>
      <c r="D89" s="270">
        <f>'Weather Data'!C185</f>
        <v>0</v>
      </c>
      <c r="E89" s="273">
        <v>31</v>
      </c>
      <c r="F89" s="273">
        <v>1</v>
      </c>
      <c r="G89" s="256">
        <f>'CDM Activity'!O21</f>
        <v>0</v>
      </c>
      <c r="H89" s="274">
        <v>134.80561580788986</v>
      </c>
      <c r="I89" s="272">
        <f>'[11]CoS 2017 Load History'!J127</f>
        <v>4391</v>
      </c>
      <c r="J89" s="273">
        <v>368.28</v>
      </c>
      <c r="K89" s="273">
        <f t="shared" si="0"/>
        <v>12146687.199596506</v>
      </c>
      <c r="L89" s="232">
        <f t="shared" si="1"/>
        <v>-907421.9604035113</v>
      </c>
      <c r="M89" s="233">
        <f t="shared" si="2"/>
        <v>6.9512361914668572E-2</v>
      </c>
      <c r="N89" s="53" t="s">
        <v>16</v>
      </c>
      <c r="O89" s="53"/>
    </row>
    <row r="90" spans="1:41">
      <c r="A90" s="268">
        <v>38808</v>
      </c>
      <c r="B90" s="249">
        <f>'[11]CoS 2017 Load History'!H128</f>
        <v>10956512.820000019</v>
      </c>
      <c r="C90" s="269">
        <f>'Weather Data'!B186</f>
        <v>366</v>
      </c>
      <c r="D90" s="270">
        <f>'Weather Data'!C186</f>
        <v>0</v>
      </c>
      <c r="E90" s="273">
        <v>30</v>
      </c>
      <c r="F90" s="273">
        <v>1</v>
      </c>
      <c r="G90" s="256">
        <f>'CDM Activity'!O22</f>
        <v>0</v>
      </c>
      <c r="H90" s="274">
        <v>135.08329330470943</v>
      </c>
      <c r="I90" s="272">
        <f>'[11]CoS 2017 Load History'!J128</f>
        <v>4406</v>
      </c>
      <c r="J90" s="273">
        <v>303.83999999999997</v>
      </c>
      <c r="K90" s="273">
        <f t="shared" si="0"/>
        <v>10595530.780699946</v>
      </c>
      <c r="L90" s="232">
        <f t="shared" si="1"/>
        <v>-360982.03930007294</v>
      </c>
      <c r="M90" s="233">
        <f t="shared" si="2"/>
        <v>3.2946800248445499E-2</v>
      </c>
      <c r="N90" s="40" t="s">
        <v>17</v>
      </c>
      <c r="O90" s="56">
        <v>0.97301341788933604</v>
      </c>
    </row>
    <row r="91" spans="1:41">
      <c r="A91" s="268">
        <v>38838</v>
      </c>
      <c r="B91" s="249">
        <f>'[11]CoS 2017 Load History'!H129</f>
        <v>10855268.19999999</v>
      </c>
      <c r="C91" s="269">
        <f>'Weather Data'!B187</f>
        <v>241.5</v>
      </c>
      <c r="D91" s="270">
        <f>'Weather Data'!C187</f>
        <v>2.4</v>
      </c>
      <c r="E91" s="273">
        <v>31</v>
      </c>
      <c r="F91" s="273">
        <v>1</v>
      </c>
      <c r="G91" s="256">
        <f>'CDM Activity'!O23</f>
        <v>0</v>
      </c>
      <c r="H91" s="274">
        <v>135.36154277170829</v>
      </c>
      <c r="I91" s="272">
        <f>'[11]CoS 2017 Load History'!J129</f>
        <v>4345</v>
      </c>
      <c r="J91" s="273">
        <v>351.91199999999998</v>
      </c>
      <c r="K91" s="273">
        <f t="shared" si="0"/>
        <v>10395627.493639525</v>
      </c>
      <c r="L91" s="232">
        <f t="shared" si="1"/>
        <v>-459640.70636046492</v>
      </c>
      <c r="M91" s="233">
        <f t="shared" si="2"/>
        <v>4.2342639342661782E-2</v>
      </c>
      <c r="N91" s="40" t="s">
        <v>18</v>
      </c>
      <c r="O91" s="56">
        <v>0.94675511139268775</v>
      </c>
    </row>
    <row r="92" spans="1:41">
      <c r="A92" s="268">
        <v>38869</v>
      </c>
      <c r="B92" s="249">
        <f>'[11]CoS 2017 Load History'!H130</f>
        <v>10708123.620000008</v>
      </c>
      <c r="C92" s="269">
        <f>'Weather Data'!B188</f>
        <v>81.5</v>
      </c>
      <c r="D92" s="270">
        <f>'Weather Data'!C188</f>
        <v>9.3000000000000007</v>
      </c>
      <c r="E92" s="273">
        <v>30</v>
      </c>
      <c r="F92" s="273">
        <v>0</v>
      </c>
      <c r="G92" s="256">
        <f>'CDM Activity'!O24</f>
        <v>0</v>
      </c>
      <c r="H92" s="274">
        <v>135.64036538705133</v>
      </c>
      <c r="I92" s="272">
        <f>'[11]CoS 2017 Load History'!J130</f>
        <v>4313</v>
      </c>
      <c r="J92" s="273">
        <v>352.08</v>
      </c>
      <c r="K92" s="273">
        <f t="shared" si="0"/>
        <v>10086193.495979201</v>
      </c>
      <c r="L92" s="232">
        <f t="shared" si="1"/>
        <v>-621930.12402080745</v>
      </c>
      <c r="M92" s="233">
        <f t="shared" si="2"/>
        <v>5.8080215179735377E-2</v>
      </c>
      <c r="N92" s="40" t="s">
        <v>19</v>
      </c>
      <c r="O92" s="56">
        <v>0.94392794916575085</v>
      </c>
    </row>
    <row r="93" spans="1:41">
      <c r="A93" s="268">
        <v>38899</v>
      </c>
      <c r="B93" s="249">
        <f>'[11]CoS 2017 Load History'!H131</f>
        <v>11588558.24</v>
      </c>
      <c r="C93" s="269">
        <f>'Weather Data'!B189</f>
        <v>23.2</v>
      </c>
      <c r="D93" s="270">
        <f>'Weather Data'!C189</f>
        <v>70.099999999999994</v>
      </c>
      <c r="E93" s="273">
        <v>31</v>
      </c>
      <c r="F93" s="273">
        <v>0</v>
      </c>
      <c r="G93" s="256">
        <f>'CDM Activity'!O25</f>
        <v>0</v>
      </c>
      <c r="H93" s="274">
        <v>135.9197623313303</v>
      </c>
      <c r="I93" s="272">
        <f>'[11]CoS 2017 Load History'!J131</f>
        <v>4283</v>
      </c>
      <c r="J93" s="273">
        <v>319.92</v>
      </c>
      <c r="K93" s="273">
        <f t="shared" si="0"/>
        <v>11395924.073682938</v>
      </c>
      <c r="L93" s="232">
        <f t="shared" si="1"/>
        <v>-192634.16631706245</v>
      </c>
      <c r="M93" s="233">
        <f t="shared" si="2"/>
        <v>1.6622789679923328E-2</v>
      </c>
      <c r="N93" s="40" t="s">
        <v>20</v>
      </c>
      <c r="O93" s="63">
        <v>330790.06672669796</v>
      </c>
    </row>
    <row r="94" spans="1:41" ht="13.5" thickBot="1">
      <c r="A94" s="268">
        <v>38930</v>
      </c>
      <c r="B94" s="249">
        <f>'[11]CoS 2017 Load History'!H132</f>
        <v>11264379.980000004</v>
      </c>
      <c r="C94" s="269">
        <f>'Weather Data'!B190</f>
        <v>57.7</v>
      </c>
      <c r="D94" s="270">
        <f>'Weather Data'!C190</f>
        <v>31.7</v>
      </c>
      <c r="E94" s="273">
        <v>31</v>
      </c>
      <c r="F94" s="273">
        <v>0</v>
      </c>
      <c r="G94" s="256">
        <f>'CDM Activity'!O26</f>
        <v>0</v>
      </c>
      <c r="H94" s="274">
        <v>136.19973478756879</v>
      </c>
      <c r="I94" s="272">
        <f>'[11]CoS 2017 Load History'!J132</f>
        <v>4211</v>
      </c>
      <c r="J94" s="273">
        <v>351.91199999999998</v>
      </c>
      <c r="K94" s="273">
        <f t="shared" si="0"/>
        <v>10757872.815727945</v>
      </c>
      <c r="L94" s="232">
        <f t="shared" si="1"/>
        <v>-506507.16427205876</v>
      </c>
      <c r="M94" s="233">
        <f t="shared" si="2"/>
        <v>4.4965383374084171E-2</v>
      </c>
      <c r="N94" s="51" t="s">
        <v>21</v>
      </c>
      <c r="O94" s="51">
        <v>120</v>
      </c>
    </row>
    <row r="95" spans="1:41">
      <c r="A95" s="268">
        <v>38961</v>
      </c>
      <c r="B95" s="249">
        <f>'[11]CoS 2017 Load History'!H133</f>
        <v>10343203.63999998</v>
      </c>
      <c r="C95" s="269">
        <f>'Weather Data'!B191</f>
        <v>210.5</v>
      </c>
      <c r="D95" s="270">
        <f>'Weather Data'!C191</f>
        <v>1.2</v>
      </c>
      <c r="E95" s="273">
        <v>30</v>
      </c>
      <c r="F95" s="273">
        <v>1</v>
      </c>
      <c r="G95" s="256">
        <f>'CDM Activity'!O27</f>
        <v>0</v>
      </c>
      <c r="H95" s="274">
        <v>136.48028394122719</v>
      </c>
      <c r="I95" s="272">
        <f>'[11]CoS 2017 Load History'!J133</f>
        <v>4237</v>
      </c>
      <c r="J95" s="273">
        <v>319.68</v>
      </c>
      <c r="K95" s="273">
        <f t="shared" si="0"/>
        <v>10005268.152609698</v>
      </c>
      <c r="L95" s="232">
        <f t="shared" si="1"/>
        <v>-337935.48739028163</v>
      </c>
      <c r="M95" s="233">
        <f t="shared" si="2"/>
        <v>3.2672226048358288E-2</v>
      </c>
    </row>
    <row r="96" spans="1:41" ht="13.5" thickBot="1">
      <c r="A96" s="268">
        <v>38991</v>
      </c>
      <c r="B96" s="249">
        <f>'[11]CoS 2017 Load History'!H134</f>
        <v>11071073.29999999</v>
      </c>
      <c r="C96" s="269">
        <f>'Weather Data'!B192</f>
        <v>440.9</v>
      </c>
      <c r="D96" s="270">
        <f>'Weather Data'!C192</f>
        <v>0</v>
      </c>
      <c r="E96" s="273">
        <v>31</v>
      </c>
      <c r="F96" s="273">
        <v>1</v>
      </c>
      <c r="G96" s="256">
        <f>'CDM Activity'!O28</f>
        <v>0</v>
      </c>
      <c r="H96" s="274">
        <v>136.76141098020776</v>
      </c>
      <c r="I96" s="272">
        <f>'[11]CoS 2017 Load History'!J134</f>
        <v>4240</v>
      </c>
      <c r="J96" s="273">
        <v>336.28800000000001</v>
      </c>
      <c r="K96" s="273">
        <f t="shared" si="0"/>
        <v>11283477.369726673</v>
      </c>
      <c r="L96" s="232">
        <f t="shared" si="1"/>
        <v>212404.0697266832</v>
      </c>
      <c r="M96" s="233">
        <f t="shared" si="2"/>
        <v>1.9185499361356717E-2</v>
      </c>
      <c r="N96" t="s">
        <v>22</v>
      </c>
    </row>
    <row r="97" spans="1:20">
      <c r="A97" s="268">
        <v>39022</v>
      </c>
      <c r="B97" s="249">
        <f>'[11]CoS 2017 Load History'!H135</f>
        <v>11834500.279999968</v>
      </c>
      <c r="C97" s="269">
        <f>'Weather Data'!B193</f>
        <v>540.4</v>
      </c>
      <c r="D97" s="270">
        <f>'Weather Data'!C193</f>
        <v>0</v>
      </c>
      <c r="E97" s="273">
        <v>30</v>
      </c>
      <c r="F97" s="273">
        <v>1</v>
      </c>
      <c r="G97" s="256">
        <f>'CDM Activity'!O29</f>
        <v>0</v>
      </c>
      <c r="H97" s="274">
        <v>137.04311709485967</v>
      </c>
      <c r="I97" s="272">
        <f>'[11]CoS 2017 Load History'!J135</f>
        <v>4239</v>
      </c>
      <c r="J97" s="273">
        <v>352.08</v>
      </c>
      <c r="K97" s="273">
        <f t="shared" si="0"/>
        <v>11450235.972601246</v>
      </c>
      <c r="L97" s="232">
        <f t="shared" si="1"/>
        <v>-384264.30739872158</v>
      </c>
      <c r="M97" s="233">
        <f t="shared" si="2"/>
        <v>3.2469838041925554E-2</v>
      </c>
      <c r="N97" s="52"/>
      <c r="O97" s="52" t="s">
        <v>26</v>
      </c>
      <c r="P97" s="52" t="s">
        <v>27</v>
      </c>
      <c r="Q97" s="52" t="s">
        <v>28</v>
      </c>
      <c r="R97" s="52" t="s">
        <v>29</v>
      </c>
      <c r="S97" s="52" t="s">
        <v>30</v>
      </c>
    </row>
    <row r="98" spans="1:20">
      <c r="A98" s="268">
        <v>39052</v>
      </c>
      <c r="B98" s="249">
        <f>'[11]CoS 2017 Load History'!H136</f>
        <v>12997339.17999999</v>
      </c>
      <c r="C98" s="269">
        <f>'Weather Data'!B194</f>
        <v>747.4</v>
      </c>
      <c r="D98" s="270">
        <f>'Weather Data'!C194</f>
        <v>0</v>
      </c>
      <c r="E98" s="273">
        <v>31</v>
      </c>
      <c r="F98" s="273">
        <v>0</v>
      </c>
      <c r="G98" s="256">
        <f>'CDM Activity'!O30</f>
        <v>0</v>
      </c>
      <c r="H98" s="274">
        <v>137.32540347798411</v>
      </c>
      <c r="I98" s="272">
        <f>'[11]CoS 2017 Load History'!J136</f>
        <v>4254</v>
      </c>
      <c r="J98" s="273">
        <v>304.29599999999999</v>
      </c>
      <c r="K98" s="273">
        <f t="shared" si="0"/>
        <v>13166641.19804818</v>
      </c>
      <c r="L98" s="232">
        <f t="shared" si="1"/>
        <v>169302.01804818958</v>
      </c>
      <c r="M98" s="233">
        <f t="shared" si="2"/>
        <v>1.3025898278372828E-2</v>
      </c>
      <c r="N98" s="40" t="s">
        <v>23</v>
      </c>
      <c r="O98" s="40">
        <v>6</v>
      </c>
      <c r="P98" s="40">
        <v>219858417935367.06</v>
      </c>
      <c r="Q98" s="40">
        <v>36643069655894.508</v>
      </c>
      <c r="R98" s="40">
        <v>334.8782402269303</v>
      </c>
      <c r="S98" s="40">
        <v>1.6361427822500591E-69</v>
      </c>
    </row>
    <row r="99" spans="1:20">
      <c r="A99" s="268">
        <v>39083</v>
      </c>
      <c r="B99" s="249">
        <f>'[11]CoS 2017 Load History'!H137</f>
        <v>14031526.530000027</v>
      </c>
      <c r="C99" s="269">
        <f>'Weather Data'!B195</f>
        <v>913.4</v>
      </c>
      <c r="D99" s="270">
        <f>'Weather Data'!C195</f>
        <v>0</v>
      </c>
      <c r="E99" s="273">
        <v>31</v>
      </c>
      <c r="F99" s="273">
        <v>0</v>
      </c>
      <c r="G99" s="256">
        <f>'CDM Activity'!O31</f>
        <v>0</v>
      </c>
      <c r="H99" s="274">
        <v>137.552207546647</v>
      </c>
      <c r="I99" s="272">
        <f>'[11]CoS 2017 Load History'!J137</f>
        <v>4297</v>
      </c>
      <c r="J99" s="273">
        <v>351.91199999999998</v>
      </c>
      <c r="K99" s="273">
        <f t="shared" si="0"/>
        <v>13903704.374288037</v>
      </c>
      <c r="L99" s="232">
        <f t="shared" si="1"/>
        <v>-127822.15571198985</v>
      </c>
      <c r="M99" s="233">
        <f t="shared" si="2"/>
        <v>9.1096400266001288E-3</v>
      </c>
      <c r="N99" s="40" t="s">
        <v>24</v>
      </c>
      <c r="O99" s="40">
        <v>113</v>
      </c>
      <c r="P99" s="40">
        <v>12364693711691.02</v>
      </c>
      <c r="Q99" s="40">
        <v>109422068245.05327</v>
      </c>
      <c r="R99" s="40"/>
      <c r="S99" s="40"/>
    </row>
    <row r="100" spans="1:20" ht="13.5" thickBot="1">
      <c r="A100" s="268">
        <v>39114</v>
      </c>
      <c r="B100" s="249">
        <f>'[11]CoS 2017 Load History'!H138</f>
        <v>13413294.690000024</v>
      </c>
      <c r="C100" s="269">
        <f>'Weather Data'!B196</f>
        <v>924.7</v>
      </c>
      <c r="D100" s="270">
        <f>'Weather Data'!C196</f>
        <v>0</v>
      </c>
      <c r="E100" s="273">
        <v>28</v>
      </c>
      <c r="F100" s="273">
        <v>0</v>
      </c>
      <c r="G100" s="256">
        <f>'CDM Activity'!O32</f>
        <v>0</v>
      </c>
      <c r="H100" s="274">
        <v>137.77938620066888</v>
      </c>
      <c r="I100" s="272">
        <f>'[11]CoS 2017 Load History'!J138</f>
        <v>4295</v>
      </c>
      <c r="J100" s="273">
        <v>319.87200000000001</v>
      </c>
      <c r="K100" s="273">
        <f t="shared" si="0"/>
        <v>13118246.014416032</v>
      </c>
      <c r="L100" s="232">
        <f t="shared" si="1"/>
        <v>-295048.67558399215</v>
      </c>
      <c r="M100" s="233">
        <f t="shared" si="2"/>
        <v>2.1996734016733337E-2</v>
      </c>
      <c r="N100" s="51" t="s">
        <v>5</v>
      </c>
      <c r="O100" s="51">
        <v>119</v>
      </c>
      <c r="P100" s="51">
        <v>232223111647058.09</v>
      </c>
      <c r="Q100" s="51"/>
      <c r="R100" s="51"/>
      <c r="S100" s="51"/>
    </row>
    <row r="101" spans="1:20" ht="13.5" thickBot="1">
      <c r="A101" s="268">
        <v>39142</v>
      </c>
      <c r="B101" s="249">
        <f>'[11]CoS 2017 Load History'!H139</f>
        <v>13148947.050000003</v>
      </c>
      <c r="C101" s="269">
        <f>'Weather Data'!B197</f>
        <v>665</v>
      </c>
      <c r="D101" s="270">
        <f>'Weather Data'!C197</f>
        <v>0</v>
      </c>
      <c r="E101" s="273">
        <v>31</v>
      </c>
      <c r="F101" s="273">
        <v>1</v>
      </c>
      <c r="G101" s="256">
        <f>'CDM Activity'!O33</f>
        <v>0</v>
      </c>
      <c r="H101" s="274">
        <v>138.00694005870795</v>
      </c>
      <c r="I101" s="272">
        <f>'[11]CoS 2017 Load History'!J139</f>
        <v>4289</v>
      </c>
      <c r="J101" s="273">
        <v>351.91199999999998</v>
      </c>
      <c r="K101" s="273">
        <f t="shared" si="0"/>
        <v>12322352.060837712</v>
      </c>
      <c r="L101" s="232">
        <f t="shared" si="1"/>
        <v>-826594.98916229047</v>
      </c>
      <c r="M101" s="233">
        <f t="shared" si="2"/>
        <v>6.2863968196015391E-2</v>
      </c>
    </row>
    <row r="102" spans="1:20">
      <c r="A102" s="268">
        <v>39173</v>
      </c>
      <c r="B102" s="249">
        <f>'[11]CoS 2017 Load History'!H140</f>
        <v>11132064.210000025</v>
      </c>
      <c r="C102" s="269">
        <f>'Weather Data'!B198</f>
        <v>474.1</v>
      </c>
      <c r="D102" s="270">
        <f>'Weather Data'!C198</f>
        <v>0</v>
      </c>
      <c r="E102" s="273">
        <v>30</v>
      </c>
      <c r="F102" s="273">
        <v>1</v>
      </c>
      <c r="G102" s="256">
        <f>'CDM Activity'!O34</f>
        <v>0</v>
      </c>
      <c r="H102" s="274">
        <v>138.23486974044414</v>
      </c>
      <c r="I102" s="272">
        <f>'[11]CoS 2017 Load History'!J140</f>
        <v>4308</v>
      </c>
      <c r="J102" s="273">
        <v>319.68</v>
      </c>
      <c r="K102" s="273">
        <f t="shared" si="0"/>
        <v>11215701.738872023</v>
      </c>
      <c r="L102" s="232">
        <f t="shared" si="1"/>
        <v>83637.528871998191</v>
      </c>
      <c r="M102" s="233">
        <f t="shared" si="2"/>
        <v>7.5132093468222999E-3</v>
      </c>
      <c r="N102" s="52"/>
      <c r="O102" s="52" t="s">
        <v>31</v>
      </c>
      <c r="P102" s="52" t="s">
        <v>20</v>
      </c>
      <c r="Q102" s="52" t="s">
        <v>32</v>
      </c>
      <c r="R102" s="52" t="s">
        <v>33</v>
      </c>
      <c r="S102" s="52" t="s">
        <v>34</v>
      </c>
      <c r="T102" s="52" t="s">
        <v>35</v>
      </c>
    </row>
    <row r="103" spans="1:20">
      <c r="A103" s="268">
        <v>39203</v>
      </c>
      <c r="B103" s="249">
        <f>'[11]CoS 2017 Load History'!H141</f>
        <v>10476503.350000001</v>
      </c>
      <c r="C103" s="269">
        <f>'Weather Data'!B199</f>
        <v>250.9</v>
      </c>
      <c r="D103" s="270">
        <f>'Weather Data'!C199</f>
        <v>0.6</v>
      </c>
      <c r="E103" s="273">
        <v>31</v>
      </c>
      <c r="F103" s="273">
        <v>1</v>
      </c>
      <c r="G103" s="256">
        <f>'CDM Activity'!O35</f>
        <v>0</v>
      </c>
      <c r="H103" s="274">
        <v>138.46317586658083</v>
      </c>
      <c r="I103" s="272">
        <f>'[11]CoS 2017 Load History'!J141</f>
        <v>4288</v>
      </c>
      <c r="J103" s="273">
        <v>351.91199999999998</v>
      </c>
      <c r="K103" s="273">
        <f t="shared" si="0"/>
        <v>10543920.859060587</v>
      </c>
      <c r="L103" s="232">
        <f t="shared" si="1"/>
        <v>67417.509060585871</v>
      </c>
      <c r="M103" s="233">
        <f t="shared" si="2"/>
        <v>6.4351154968690831E-3</v>
      </c>
      <c r="N103" s="40" t="s">
        <v>25</v>
      </c>
      <c r="O103" s="63">
        <v>-5250249.2433850924</v>
      </c>
      <c r="P103" s="63">
        <v>2355840.157850489</v>
      </c>
      <c r="Q103" s="54">
        <v>-2.2286101312474078</v>
      </c>
      <c r="R103" s="40">
        <v>2.7818731031661947E-2</v>
      </c>
      <c r="S103" s="63">
        <v>-9917593.4940388184</v>
      </c>
      <c r="T103" s="63">
        <v>-582904.99273136631</v>
      </c>
    </row>
    <row r="104" spans="1:20">
      <c r="A104" s="268">
        <v>39234</v>
      </c>
      <c r="B104" s="249">
        <f>'[11]CoS 2017 Load History'!H142</f>
        <v>10397828.820000019</v>
      </c>
      <c r="C104" s="269">
        <f>'Weather Data'!B200</f>
        <v>96.7</v>
      </c>
      <c r="D104" s="270">
        <f>'Weather Data'!C200</f>
        <v>6.5</v>
      </c>
      <c r="E104" s="273">
        <v>30</v>
      </c>
      <c r="F104" s="273">
        <v>0</v>
      </c>
      <c r="G104" s="256">
        <f>'CDM Activity'!O36</f>
        <v>0</v>
      </c>
      <c r="H104" s="274">
        <v>138.69185905884657</v>
      </c>
      <c r="I104" s="272">
        <f>'[11]CoS 2017 Load History'!J142</f>
        <v>4266</v>
      </c>
      <c r="J104" s="273">
        <v>336.24</v>
      </c>
      <c r="K104" s="273">
        <f t="shared" si="0"/>
        <v>10236641.726497181</v>
      </c>
      <c r="L104" s="232">
        <f t="shared" si="1"/>
        <v>-161187.09350283816</v>
      </c>
      <c r="M104" s="233">
        <f t="shared" si="2"/>
        <v>1.5501995300480227E-2</v>
      </c>
      <c r="N104" s="40" t="s">
        <v>1</v>
      </c>
      <c r="O104" s="63">
        <v>4376.3745354293342</v>
      </c>
      <c r="P104" s="63">
        <v>119.55562838413557</v>
      </c>
      <c r="Q104" s="54">
        <v>36.605340916012089</v>
      </c>
      <c r="R104" s="40">
        <v>1.6728452792159149E-64</v>
      </c>
      <c r="S104" s="63">
        <v>4139.5132726172069</v>
      </c>
      <c r="T104" s="63">
        <v>4613.2357982414615</v>
      </c>
    </row>
    <row r="105" spans="1:20">
      <c r="A105" s="268">
        <v>39264</v>
      </c>
      <c r="B105" s="249">
        <f>'[11]CoS 2017 Load History'!H143</f>
        <v>11107289.329999989</v>
      </c>
      <c r="C105" s="269">
        <f>'Weather Data'!B201</f>
        <v>40.200000000000003</v>
      </c>
      <c r="D105" s="270">
        <f>'Weather Data'!C201</f>
        <v>51.8</v>
      </c>
      <c r="E105" s="273">
        <v>31</v>
      </c>
      <c r="F105" s="273">
        <v>0</v>
      </c>
      <c r="G105" s="256">
        <f>'CDM Activity'!O37</f>
        <v>0</v>
      </c>
      <c r="H105" s="274">
        <v>138.92091993999671</v>
      </c>
      <c r="I105" s="272">
        <f>'[11]CoS 2017 Load History'!J143</f>
        <v>4253</v>
      </c>
      <c r="J105" s="273">
        <v>336.28800000000001</v>
      </c>
      <c r="K105" s="273">
        <f t="shared" si="0"/>
        <v>11228135.223312041</v>
      </c>
      <c r="L105" s="232">
        <f t="shared" si="1"/>
        <v>120845.89331205189</v>
      </c>
      <c r="M105" s="233">
        <f t="shared" si="2"/>
        <v>1.0879872642342704E-2</v>
      </c>
      <c r="N105" s="40" t="s">
        <v>2</v>
      </c>
      <c r="O105" s="63">
        <v>20888.087627796107</v>
      </c>
      <c r="P105" s="63">
        <v>2872.5956194790565</v>
      </c>
      <c r="Q105" s="54">
        <v>7.2715029871082759</v>
      </c>
      <c r="R105" s="40">
        <v>4.9695708781407311E-11</v>
      </c>
      <c r="S105" s="63">
        <v>15196.957605943606</v>
      </c>
      <c r="T105" s="63">
        <v>26579.217649648606</v>
      </c>
    </row>
    <row r="106" spans="1:20">
      <c r="A106" s="268">
        <v>39295</v>
      </c>
      <c r="B106" s="249">
        <f>'[11]CoS 2017 Load History'!H144</f>
        <v>10981653.73</v>
      </c>
      <c r="C106" s="269">
        <f>'Weather Data'!B202</f>
        <v>62.9</v>
      </c>
      <c r="D106" s="270">
        <f>'Weather Data'!C202</f>
        <v>22.1</v>
      </c>
      <c r="E106" s="273">
        <v>31</v>
      </c>
      <c r="F106" s="273">
        <v>0</v>
      </c>
      <c r="G106" s="256">
        <f>'CDM Activity'!O38</f>
        <v>0</v>
      </c>
      <c r="H106" s="274">
        <v>139.15035913381516</v>
      </c>
      <c r="I106" s="272">
        <f>'[11]CoS 2017 Load History'!J144</f>
        <v>4241</v>
      </c>
      <c r="J106" s="273">
        <v>351.91199999999998</v>
      </c>
      <c r="K106" s="273">
        <f t="shared" si="0"/>
        <v>10717810.708038103</v>
      </c>
      <c r="L106" s="232">
        <f t="shared" si="1"/>
        <v>-263843.02196189761</v>
      </c>
      <c r="M106" s="233">
        <f t="shared" si="2"/>
        <v>2.4025800525937509E-2</v>
      </c>
      <c r="N106" s="40" t="s">
        <v>3</v>
      </c>
      <c r="O106" s="63">
        <v>281837.9591581907</v>
      </c>
      <c r="P106" s="63">
        <v>38469.496421458032</v>
      </c>
      <c r="Q106" s="54">
        <v>7.3262710816506385</v>
      </c>
      <c r="R106" s="40">
        <v>3.7690424341523553E-11</v>
      </c>
      <c r="S106" s="63">
        <v>205622.9484114254</v>
      </c>
      <c r="T106" s="63">
        <v>358052.969904956</v>
      </c>
    </row>
    <row r="107" spans="1:20">
      <c r="A107" s="268">
        <v>39326</v>
      </c>
      <c r="B107" s="249">
        <f>'[11]CoS 2017 Load History'!H145</f>
        <v>10221738.110000003</v>
      </c>
      <c r="C107" s="269">
        <f>'Weather Data'!B203</f>
        <v>164.7</v>
      </c>
      <c r="D107" s="270">
        <f>'Weather Data'!C203</f>
        <v>9.6</v>
      </c>
      <c r="E107" s="273">
        <v>30</v>
      </c>
      <c r="F107" s="273">
        <v>1</v>
      </c>
      <c r="G107" s="256">
        <f>'CDM Activity'!O39</f>
        <v>0</v>
      </c>
      <c r="H107" s="274">
        <v>139.38017726511606</v>
      </c>
      <c r="I107" s="272">
        <f>'[11]CoS 2017 Load History'!J145</f>
        <v>4242</v>
      </c>
      <c r="J107" s="273">
        <v>303.83999999999997</v>
      </c>
      <c r="K107" s="273">
        <f t="shared" si="0"/>
        <v>10115628.891244192</v>
      </c>
      <c r="L107" s="232">
        <f t="shared" si="1"/>
        <v>-106109.21875581145</v>
      </c>
      <c r="M107" s="233">
        <f t="shared" si="2"/>
        <v>1.0380741280389879E-2</v>
      </c>
      <c r="N107" s="40" t="s">
        <v>14</v>
      </c>
      <c r="O107" s="63">
        <v>-515483.36042067053</v>
      </c>
      <c r="P107" s="63">
        <v>72266.191994987195</v>
      </c>
      <c r="Q107" s="54">
        <v>-7.1331191832610674</v>
      </c>
      <c r="R107" s="40">
        <v>9.9634620503398702E-11</v>
      </c>
      <c r="S107" s="63">
        <v>-658655.72065082821</v>
      </c>
      <c r="T107" s="63">
        <v>-372311.00019051286</v>
      </c>
    </row>
    <row r="108" spans="1:20">
      <c r="A108" s="268">
        <v>39356</v>
      </c>
      <c r="B108" s="249">
        <f>'[11]CoS 2017 Load History'!H146</f>
        <v>10659311.449999996</v>
      </c>
      <c r="C108" s="269">
        <f>'Weather Data'!B204</f>
        <v>310.60000000000002</v>
      </c>
      <c r="D108" s="270">
        <f>'Weather Data'!C204</f>
        <v>0</v>
      </c>
      <c r="E108" s="273">
        <v>31</v>
      </c>
      <c r="F108" s="273">
        <v>1</v>
      </c>
      <c r="G108" s="256">
        <f>'CDM Activity'!O40</f>
        <v>0</v>
      </c>
      <c r="H108" s="274">
        <v>139.61037495974546</v>
      </c>
      <c r="I108" s="272">
        <f>'[11]CoS 2017 Load History'!J146</f>
        <v>4267</v>
      </c>
      <c r="J108" s="273">
        <v>351.91199999999998</v>
      </c>
      <c r="K108" s="273">
        <f t="shared" si="0"/>
        <v>10846197.638637099</v>
      </c>
      <c r="L108" s="232">
        <f t="shared" si="1"/>
        <v>186886.18863710389</v>
      </c>
      <c r="M108" s="233">
        <f t="shared" si="2"/>
        <v>1.7532669864628449E-2</v>
      </c>
      <c r="N108" s="40" t="s">
        <v>56</v>
      </c>
      <c r="O108" s="54">
        <v>-1.566795284531681</v>
      </c>
      <c r="P108" s="54">
        <v>0.39813811195632459</v>
      </c>
      <c r="Q108" s="54">
        <v>-3.9353059591128949</v>
      </c>
      <c r="R108" s="40">
        <v>1.4392995092215157E-4</v>
      </c>
      <c r="S108" s="54">
        <v>-2.355578692273987</v>
      </c>
      <c r="T108" s="54">
        <v>-0.77801187678937489</v>
      </c>
    </row>
    <row r="109" spans="1:20" ht="13.5" thickBot="1">
      <c r="A109" s="268">
        <v>39387</v>
      </c>
      <c r="B109" s="249">
        <f>'[11]CoS 2017 Load History'!H147</f>
        <v>11710992.839999968</v>
      </c>
      <c r="C109" s="269">
        <f>'Weather Data'!B205</f>
        <v>620.29999999999995</v>
      </c>
      <c r="D109" s="270">
        <f>'Weather Data'!C205</f>
        <v>0</v>
      </c>
      <c r="E109" s="273">
        <v>30</v>
      </c>
      <c r="F109" s="273">
        <v>1</v>
      </c>
      <c r="G109" s="256">
        <f>'CDM Activity'!O41</f>
        <v>0</v>
      </c>
      <c r="H109" s="274">
        <v>139.84095284458306</v>
      </c>
      <c r="I109" s="272">
        <f>'[11]CoS 2017 Load History'!J147</f>
        <v>4274</v>
      </c>
      <c r="J109" s="273">
        <v>352.08</v>
      </c>
      <c r="K109" s="273">
        <f t="shared" si="0"/>
        <v>11930484.001417153</v>
      </c>
      <c r="L109" s="232">
        <f t="shared" si="1"/>
        <v>219491.1614171844</v>
      </c>
      <c r="M109" s="233">
        <f t="shared" si="2"/>
        <v>1.8742318812414626E-2</v>
      </c>
      <c r="N109" s="51" t="s">
        <v>4</v>
      </c>
      <c r="O109" s="55">
        <v>46670.253408554257</v>
      </c>
      <c r="P109" s="55">
        <v>15354.277813255383</v>
      </c>
      <c r="Q109" s="55">
        <v>3.0395603086107847</v>
      </c>
      <c r="R109" s="51">
        <v>2.9442654268642806E-3</v>
      </c>
      <c r="S109" s="55">
        <v>16250.659771936385</v>
      </c>
      <c r="T109" s="55">
        <v>77089.847045172122</v>
      </c>
    </row>
    <row r="110" spans="1:20">
      <c r="A110" s="268">
        <v>39417</v>
      </c>
      <c r="B110" s="249">
        <f>'[11]CoS 2017 Load History'!H148</f>
        <v>13514465.429999996</v>
      </c>
      <c r="C110" s="269">
        <f>'Weather Data'!B206</f>
        <v>925.8</v>
      </c>
      <c r="D110" s="270">
        <f>'Weather Data'!C206</f>
        <v>0</v>
      </c>
      <c r="E110" s="273">
        <v>31</v>
      </c>
      <c r="F110" s="273">
        <v>0</v>
      </c>
      <c r="G110" s="256">
        <f>'CDM Activity'!O42</f>
        <v>0</v>
      </c>
      <c r="H110" s="274">
        <v>140.07191154754381</v>
      </c>
      <c r="I110" s="272">
        <f>'[11]CoS 2017 Load History'!J148</f>
        <v>4259</v>
      </c>
      <c r="J110" s="273">
        <v>304.29599999999999</v>
      </c>
      <c r="K110" s="273">
        <f t="shared" si="0"/>
        <v>14075566.642763764</v>
      </c>
      <c r="L110" s="232">
        <f t="shared" si="1"/>
        <v>561101.21276376769</v>
      </c>
      <c r="M110" s="233">
        <f t="shared" si="2"/>
        <v>4.1518565101229303E-2</v>
      </c>
    </row>
    <row r="111" spans="1:20">
      <c r="A111" s="268">
        <v>39448</v>
      </c>
      <c r="B111" s="249">
        <f>'[11]CoS 2017 Load History'!H149</f>
        <v>14087644.269999996</v>
      </c>
      <c r="C111" s="269">
        <f>'Weather Data'!B207</f>
        <v>934.70000000000016</v>
      </c>
      <c r="D111" s="270">
        <f>'Weather Data'!C207</f>
        <v>0</v>
      </c>
      <c r="E111" s="273">
        <v>31</v>
      </c>
      <c r="F111" s="273">
        <v>0</v>
      </c>
      <c r="G111" s="256">
        <f>'CDM Activity'!O43</f>
        <v>641.43816707100723</v>
      </c>
      <c r="H111" s="259">
        <v>139.96642175819056</v>
      </c>
      <c r="I111" s="272">
        <f>'[11]CoS 2017 Load History'!J149</f>
        <v>4276</v>
      </c>
      <c r="J111" s="58">
        <v>352</v>
      </c>
      <c r="K111" s="273">
        <f t="shared" si="0"/>
        <v>14108588.138632469</v>
      </c>
      <c r="L111" s="232">
        <f t="shared" si="1"/>
        <v>20943.868632473052</v>
      </c>
      <c r="M111" s="233">
        <f t="shared" si="2"/>
        <v>1.4866835243045966E-3</v>
      </c>
    </row>
    <row r="112" spans="1:20">
      <c r="A112" s="268">
        <v>39479</v>
      </c>
      <c r="B112" s="249">
        <f>'[11]CoS 2017 Load History'!H150</f>
        <v>13323309.449999977</v>
      </c>
      <c r="C112" s="269">
        <f>'Weather Data'!B208</f>
        <v>921.50000000000011</v>
      </c>
      <c r="D112" s="270">
        <f>'Weather Data'!C208</f>
        <v>0</v>
      </c>
      <c r="E112" s="273">
        <v>29</v>
      </c>
      <c r="F112" s="273">
        <v>0</v>
      </c>
      <c r="G112" s="256">
        <f>'CDM Activity'!O44</f>
        <v>1282.8763341420145</v>
      </c>
      <c r="H112" s="259">
        <v>139.86101141442734</v>
      </c>
      <c r="I112" s="272">
        <f>'[11]CoS 2017 Load History'!J150</f>
        <v>4253</v>
      </c>
      <c r="J112" s="58">
        <v>320</v>
      </c>
      <c r="K112" s="273">
        <f t="shared" si="0"/>
        <v>13481219.54669762</v>
      </c>
      <c r="L112" s="232">
        <f t="shared" si="1"/>
        <v>157910.0966976434</v>
      </c>
      <c r="M112" s="233">
        <f t="shared" si="2"/>
        <v>1.1852167608224672E-2</v>
      </c>
    </row>
    <row r="113" spans="1:13">
      <c r="A113" s="268">
        <v>39508</v>
      </c>
      <c r="B113" s="249">
        <f>'[11]CoS 2017 Load History'!H151</f>
        <v>12857263.979999973</v>
      </c>
      <c r="C113" s="269">
        <f>'Weather Data'!B209</f>
        <v>791.9</v>
      </c>
      <c r="D113" s="270">
        <f>'Weather Data'!C209</f>
        <v>0</v>
      </c>
      <c r="E113" s="273">
        <v>31</v>
      </c>
      <c r="F113" s="273">
        <v>1</v>
      </c>
      <c r="G113" s="256">
        <f>'CDM Activity'!O45</f>
        <v>1924.3145012130217</v>
      </c>
      <c r="H113" s="259">
        <v>139.75568045642274</v>
      </c>
      <c r="I113" s="272">
        <f>'[11]CoS 2017 Load History'!J151</f>
        <v>4240</v>
      </c>
      <c r="J113" s="58">
        <v>304</v>
      </c>
      <c r="K113" s="273">
        <f t="shared" si="0"/>
        <v>12956313.140004365</v>
      </c>
      <c r="L113" s="232">
        <f t="shared" si="1"/>
        <v>99049.160004392266</v>
      </c>
      <c r="M113" s="233">
        <f t="shared" si="2"/>
        <v>7.7037509814271137E-3</v>
      </c>
    </row>
    <row r="114" spans="1:13">
      <c r="A114" s="268">
        <v>39539</v>
      </c>
      <c r="B114" s="249">
        <f>'[11]CoS 2017 Load History'!H152</f>
        <v>11209729.860000009</v>
      </c>
      <c r="C114" s="269">
        <f>'Weather Data'!B210</f>
        <v>456.89999999999986</v>
      </c>
      <c r="D114" s="270">
        <f>'Weather Data'!C210</f>
        <v>0</v>
      </c>
      <c r="E114" s="273">
        <v>30</v>
      </c>
      <c r="F114" s="273">
        <v>1</v>
      </c>
      <c r="G114" s="256">
        <f>'CDM Activity'!O46</f>
        <v>2565.7526682840289</v>
      </c>
      <c r="H114" s="259">
        <v>139.65042882439042</v>
      </c>
      <c r="I114" s="272">
        <f>'[11]CoS 2017 Load History'!J152</f>
        <v>4255</v>
      </c>
      <c r="J114" s="58">
        <v>352</v>
      </c>
      <c r="K114" s="273">
        <f t="shared" si="0"/>
        <v>11202472.588843249</v>
      </c>
      <c r="L114" s="232">
        <f t="shared" si="1"/>
        <v>-7257.2711567599326</v>
      </c>
      <c r="M114" s="233">
        <f t="shared" si="2"/>
        <v>6.4740821120553985E-4</v>
      </c>
    </row>
    <row r="115" spans="1:13">
      <c r="A115" s="268">
        <v>39569</v>
      </c>
      <c r="B115" s="249">
        <f>'[11]CoS 2017 Load History'!H153</f>
        <v>10641515.859999977</v>
      </c>
      <c r="C115" s="269">
        <f>'Weather Data'!B211</f>
        <v>327.7</v>
      </c>
      <c r="D115" s="270">
        <f>'Weather Data'!C211</f>
        <v>0</v>
      </c>
      <c r="E115" s="273">
        <v>31</v>
      </c>
      <c r="F115" s="273">
        <v>1</v>
      </c>
      <c r="G115" s="256">
        <f>'CDM Activity'!O47</f>
        <v>3207.1908353550361</v>
      </c>
      <c r="H115" s="259">
        <v>139.54525645858905</v>
      </c>
      <c r="I115" s="272">
        <f>'[11]CoS 2017 Load History'!J153</f>
        <v>4261</v>
      </c>
      <c r="J115" s="58">
        <v>336</v>
      </c>
      <c r="K115" s="273">
        <f t="shared" si="0"/>
        <v>10912969.534764957</v>
      </c>
      <c r="L115" s="232">
        <f t="shared" si="1"/>
        <v>271453.67476497963</v>
      </c>
      <c r="M115" s="233">
        <f t="shared" si="2"/>
        <v>2.5508929210483762E-2</v>
      </c>
    </row>
    <row r="116" spans="1:13">
      <c r="A116" s="268">
        <v>39600</v>
      </c>
      <c r="B116" s="249">
        <f>'[11]CoS 2017 Load History'!H154</f>
        <v>10314120.790000018</v>
      </c>
      <c r="C116" s="269">
        <f>'Weather Data'!B212</f>
        <v>109.89999999999998</v>
      </c>
      <c r="D116" s="270">
        <f>'Weather Data'!C212</f>
        <v>4.5999999999999996</v>
      </c>
      <c r="E116" s="273">
        <v>30</v>
      </c>
      <c r="F116" s="273">
        <v>0</v>
      </c>
      <c r="G116" s="256">
        <f>'CDM Activity'!O48</f>
        <v>3848.6290024260434</v>
      </c>
      <c r="H116" s="259">
        <v>139.44016329932234</v>
      </c>
      <c r="I116" s="272">
        <f>'[11]CoS 2017 Load History'!J154</f>
        <v>4242</v>
      </c>
      <c r="J116" s="58">
        <v>336</v>
      </c>
      <c r="K116" s="273">
        <f t="shared" si="0"/>
        <v>10283616.038628822</v>
      </c>
      <c r="L116" s="232">
        <f t="shared" si="1"/>
        <v>-30504.75137119554</v>
      </c>
      <c r="M116" s="233">
        <f t="shared" si="2"/>
        <v>2.9575716624117105E-3</v>
      </c>
    </row>
    <row r="117" spans="1:13">
      <c r="A117" s="268">
        <v>39630</v>
      </c>
      <c r="B117" s="249">
        <f>'[11]CoS 2017 Load History'!H155</f>
        <v>11042847.349999966</v>
      </c>
      <c r="C117" s="269">
        <f>'Weather Data'!B213</f>
        <v>34.700000000000003</v>
      </c>
      <c r="D117" s="270">
        <f>'Weather Data'!C213</f>
        <v>22.1</v>
      </c>
      <c r="E117" s="273">
        <v>31</v>
      </c>
      <c r="F117" s="273">
        <v>0</v>
      </c>
      <c r="G117" s="256">
        <f>'CDM Activity'!O49</f>
        <v>4490.0671694970506</v>
      </c>
      <c r="H117" s="259">
        <v>139.3351492869389</v>
      </c>
      <c r="I117" s="272">
        <f>'[11]CoS 2017 Load History'!J155</f>
        <v>4223</v>
      </c>
      <c r="J117" s="58">
        <v>352</v>
      </c>
      <c r="K117" s="273">
        <f t="shared" si="0"/>
        <v>10595986.133344289</v>
      </c>
      <c r="L117" s="232">
        <f t="shared" si="1"/>
        <v>-446861.21665567718</v>
      </c>
      <c r="M117" s="233">
        <f t="shared" si="2"/>
        <v>4.0466122775452341E-2</v>
      </c>
    </row>
    <row r="118" spans="1:13">
      <c r="A118" s="268">
        <v>39661</v>
      </c>
      <c r="B118" s="249">
        <f>'[11]CoS 2017 Load History'!H156</f>
        <v>10916451.01</v>
      </c>
      <c r="C118" s="269">
        <f>'Weather Data'!B214</f>
        <v>50.400000000000006</v>
      </c>
      <c r="D118" s="270">
        <f>'Weather Data'!C214</f>
        <v>22.200000000000003</v>
      </c>
      <c r="E118" s="273">
        <v>31</v>
      </c>
      <c r="F118" s="273">
        <v>0</v>
      </c>
      <c r="G118" s="256">
        <f>'CDM Activity'!O50</f>
        <v>5131.5053365680578</v>
      </c>
      <c r="H118" s="259">
        <v>139.23021436183228</v>
      </c>
      <c r="I118" s="272">
        <f>'[11]CoS 2017 Load History'!J156</f>
        <v>4227</v>
      </c>
      <c r="J118" s="58">
        <v>320</v>
      </c>
      <c r="K118" s="273">
        <f t="shared" si="0"/>
        <v>10660881.680471689</v>
      </c>
      <c r="L118" s="232">
        <f t="shared" si="1"/>
        <v>-255569.32952831127</v>
      </c>
      <c r="M118" s="233">
        <f t="shared" si="2"/>
        <v>2.3411393436767805E-2</v>
      </c>
    </row>
    <row r="119" spans="1:13">
      <c r="A119" s="268">
        <v>39692</v>
      </c>
      <c r="B119" s="249">
        <f>'[11]CoS 2017 Load History'!H157</f>
        <v>10097320.279999997</v>
      </c>
      <c r="C119" s="269">
        <f>'Weather Data'!B215</f>
        <v>193.29999999999998</v>
      </c>
      <c r="D119" s="270">
        <f>'Weather Data'!C215</f>
        <v>7</v>
      </c>
      <c r="E119" s="273">
        <v>30</v>
      </c>
      <c r="F119" s="273">
        <v>1</v>
      </c>
      <c r="G119" s="256">
        <f>'CDM Activity'!O51</f>
        <v>5772.9435036390651</v>
      </c>
      <c r="H119" s="259">
        <v>139.12535846444095</v>
      </c>
      <c r="I119" s="272">
        <f>'[11]CoS 2017 Load History'!J157</f>
        <v>4233</v>
      </c>
      <c r="J119" s="58">
        <v>336</v>
      </c>
      <c r="K119" s="273">
        <f t="shared" si="0"/>
        <v>10165546.69646506</v>
      </c>
      <c r="L119" s="232">
        <f t="shared" si="1"/>
        <v>68226.416465062648</v>
      </c>
      <c r="M119" s="233">
        <f t="shared" si="2"/>
        <v>6.7568834674087081E-3</v>
      </c>
    </row>
    <row r="120" spans="1:13">
      <c r="A120" s="268">
        <v>39722</v>
      </c>
      <c r="B120" s="249">
        <f>'[11]CoS 2017 Load History'!H158</f>
        <v>10600173.260000022</v>
      </c>
      <c r="C120" s="269">
        <f>'Weather Data'!B216</f>
        <v>373.09999999999997</v>
      </c>
      <c r="D120" s="270">
        <f>'Weather Data'!C216</f>
        <v>0</v>
      </c>
      <c r="E120" s="273">
        <v>31</v>
      </c>
      <c r="F120" s="273">
        <v>1</v>
      </c>
      <c r="G120" s="256">
        <f>'CDM Activity'!O52</f>
        <v>6414.3816707100723</v>
      </c>
      <c r="H120" s="259">
        <v>139.02058153524823</v>
      </c>
      <c r="I120" s="272">
        <f>'[11]CoS 2017 Load History'!J158</f>
        <v>4277</v>
      </c>
      <c r="J120" s="58">
        <v>352</v>
      </c>
      <c r="K120" s="273">
        <f t="shared" si="0"/>
        <v>11082145.21556659</v>
      </c>
      <c r="L120" s="232">
        <f t="shared" si="1"/>
        <v>481971.9555665683</v>
      </c>
      <c r="M120" s="233">
        <f t="shared" si="2"/>
        <v>4.5468309219557725E-2</v>
      </c>
    </row>
    <row r="121" spans="1:13">
      <c r="A121" s="268">
        <v>39753</v>
      </c>
      <c r="B121" s="249">
        <f>'[11]CoS 2017 Load History'!H159</f>
        <v>11883390.629999967</v>
      </c>
      <c r="C121" s="269">
        <f>'Weather Data'!B217</f>
        <v>591.00000000000011</v>
      </c>
      <c r="D121" s="270">
        <f>'Weather Data'!C217</f>
        <v>0</v>
      </c>
      <c r="E121" s="273">
        <v>30</v>
      </c>
      <c r="F121" s="273">
        <v>1</v>
      </c>
      <c r="G121" s="256">
        <f>'CDM Activity'!O53</f>
        <v>7055.8198377810795</v>
      </c>
      <c r="H121" s="259">
        <v>138.91588351478222</v>
      </c>
      <c r="I121" s="272">
        <f>'[11]CoS 2017 Load History'!J159</f>
        <v>4304</v>
      </c>
      <c r="J121" s="58">
        <v>304</v>
      </c>
      <c r="K121" s="273">
        <f t="shared" si="0"/>
        <v>11748027.982236447</v>
      </c>
      <c r="L121" s="232">
        <f t="shared" si="1"/>
        <v>-135362.64776352048</v>
      </c>
      <c r="M121" s="233">
        <f t="shared" si="2"/>
        <v>1.1390911228803126E-2</v>
      </c>
    </row>
    <row r="122" spans="1:13">
      <c r="A122" s="268">
        <v>39783</v>
      </c>
      <c r="B122" s="249">
        <f>'[11]CoS 2017 Load History'!H160</f>
        <v>13928152.380000029</v>
      </c>
      <c r="C122" s="269">
        <f>'Weather Data'!B218</f>
        <v>1033.7999999999997</v>
      </c>
      <c r="D122" s="270">
        <f>'Weather Data'!C218</f>
        <v>0</v>
      </c>
      <c r="E122" s="273">
        <v>31</v>
      </c>
      <c r="F122" s="273">
        <v>0</v>
      </c>
      <c r="G122" s="256">
        <f>'CDM Activity'!O54</f>
        <v>7697.2580048520867</v>
      </c>
      <c r="H122" s="259">
        <v>138.8112643436159</v>
      </c>
      <c r="I122" s="272">
        <f>'[11]CoS 2017 Load History'!J160</f>
        <v>4292</v>
      </c>
      <c r="J122" s="58">
        <v>336</v>
      </c>
      <c r="K122" s="273">
        <f t="shared" si="0"/>
        <v>14477320.340578202</v>
      </c>
      <c r="L122" s="232">
        <f t="shared" si="1"/>
        <v>549167.9605781734</v>
      </c>
      <c r="M122" s="233">
        <f t="shared" si="2"/>
        <v>3.9428629555112053E-2</v>
      </c>
    </row>
    <row r="123" spans="1:13">
      <c r="A123" s="268">
        <v>39814</v>
      </c>
      <c r="B123" s="249">
        <f>'[11]CoS 2017 Load History'!H161</f>
        <v>14782282.100000059</v>
      </c>
      <c r="C123" s="269">
        <f>'Weather Data'!B219</f>
        <v>1093.3999999999996</v>
      </c>
      <c r="D123" s="270">
        <f>'Weather Data'!C219</f>
        <v>0</v>
      </c>
      <c r="E123" s="273">
        <v>31</v>
      </c>
      <c r="F123" s="273">
        <v>0</v>
      </c>
      <c r="G123" s="256">
        <f>'CDM Activity'!O55</f>
        <v>15658.760164996896</v>
      </c>
      <c r="H123" s="259">
        <v>138.43555825854429</v>
      </c>
      <c r="I123" s="272">
        <f>'[11]CoS 2017 Load History'!J161</f>
        <v>4287</v>
      </c>
      <c r="J123" s="58">
        <v>336</v>
      </c>
      <c r="K123" s="273">
        <f t="shared" si="0"/>
        <v>14708143.920650059</v>
      </c>
      <c r="L123" s="232">
        <f t="shared" si="1"/>
        <v>-74138.179349999875</v>
      </c>
      <c r="M123" s="233">
        <f t="shared" si="2"/>
        <v>5.015340584658412E-3</v>
      </c>
    </row>
    <row r="124" spans="1:13">
      <c r="A124" s="268">
        <v>39845</v>
      </c>
      <c r="B124" s="249">
        <f>'[11]CoS 2017 Load History'!H162</f>
        <v>12729982.000000009</v>
      </c>
      <c r="C124" s="269">
        <f>'Weather Data'!B220</f>
        <v>838.90000000000009</v>
      </c>
      <c r="D124" s="270">
        <f>'Weather Data'!C220</f>
        <v>0</v>
      </c>
      <c r="E124" s="273">
        <v>28</v>
      </c>
      <c r="F124" s="273">
        <v>0</v>
      </c>
      <c r="G124" s="256">
        <f>'CDM Activity'!O56</f>
        <v>23620.262325141706</v>
      </c>
      <c r="H124" s="259">
        <v>138.06086905825526</v>
      </c>
      <c r="I124" s="272">
        <f>'[11]CoS 2017 Load History'!J162</f>
        <v>4283</v>
      </c>
      <c r="J124" s="58">
        <v>304</v>
      </c>
      <c r="K124" s="273">
        <f t="shared" si="0"/>
        <v>12718881.839939483</v>
      </c>
      <c r="L124" s="232">
        <f t="shared" si="1"/>
        <v>-11100.160060526803</v>
      </c>
      <c r="M124" s="233">
        <f t="shared" si="2"/>
        <v>8.7196981586673062E-4</v>
      </c>
    </row>
    <row r="125" spans="1:13">
      <c r="A125" s="268">
        <v>39873</v>
      </c>
      <c r="B125" s="249">
        <f>'[11]CoS 2017 Load History'!H163</f>
        <v>12895508.210000023</v>
      </c>
      <c r="C125" s="269">
        <f>'Weather Data'!B221</f>
        <v>762.3</v>
      </c>
      <c r="D125" s="270">
        <f>'Weather Data'!C221</f>
        <v>0</v>
      </c>
      <c r="E125" s="273">
        <v>31</v>
      </c>
      <c r="F125" s="273">
        <v>1</v>
      </c>
      <c r="G125" s="256">
        <f>'CDM Activity'!O57</f>
        <v>31581.764485286516</v>
      </c>
      <c r="H125" s="259">
        <v>137.68719399045199</v>
      </c>
      <c r="I125" s="272">
        <f>'[11]CoS 2017 Load History'!J163</f>
        <v>4262</v>
      </c>
      <c r="J125" s="58">
        <v>352</v>
      </c>
      <c r="K125" s="273">
        <f t="shared" si="0"/>
        <v>12683768.513430357</v>
      </c>
      <c r="L125" s="232">
        <f t="shared" si="1"/>
        <v>-211739.69656966627</v>
      </c>
      <c r="M125" s="233">
        <f t="shared" si="2"/>
        <v>1.6419647300559229E-2</v>
      </c>
    </row>
    <row r="126" spans="1:13">
      <c r="A126" s="268">
        <v>39904</v>
      </c>
      <c r="B126" s="249">
        <f>'[11]CoS 2017 Load History'!H164</f>
        <v>10958049.76999999</v>
      </c>
      <c r="C126" s="269">
        <f>'Weather Data'!B222</f>
        <v>453.2</v>
      </c>
      <c r="D126" s="270">
        <f>'Weather Data'!C222</f>
        <v>0</v>
      </c>
      <c r="E126" s="273">
        <v>30</v>
      </c>
      <c r="F126" s="273">
        <v>1</v>
      </c>
      <c r="G126" s="256">
        <f>'CDM Activity'!O58</f>
        <v>39543.266645431322</v>
      </c>
      <c r="H126" s="259">
        <v>137.31453031028698</v>
      </c>
      <c r="I126" s="272">
        <f>'[11]CoS 2017 Load History'!J164</f>
        <v>4267</v>
      </c>
      <c r="J126" s="58">
        <v>320</v>
      </c>
      <c r="K126" s="273">
        <f t="shared" si="0"/>
        <v>11019326.832939189</v>
      </c>
      <c r="L126" s="232">
        <f t="shared" si="1"/>
        <v>61277.062939198688</v>
      </c>
      <c r="M126" s="233">
        <f t="shared" si="2"/>
        <v>5.5919679345642122E-3</v>
      </c>
    </row>
    <row r="127" spans="1:13">
      <c r="A127" s="268">
        <v>39934</v>
      </c>
      <c r="B127" s="249">
        <f>'[11]CoS 2017 Load History'!H165</f>
        <v>10456056.380000023</v>
      </c>
      <c r="C127" s="269">
        <f>'Weather Data'!B223</f>
        <v>319.8</v>
      </c>
      <c r="D127" s="270">
        <f>'Weather Data'!C223</f>
        <v>0</v>
      </c>
      <c r="E127" s="273">
        <v>31</v>
      </c>
      <c r="F127" s="273">
        <v>1</v>
      </c>
      <c r="G127" s="256">
        <f>'CDM Activity'!O59</f>
        <v>47504.768805576132</v>
      </c>
      <c r="H127" s="259">
        <v>136.94287528034204</v>
      </c>
      <c r="I127" s="272">
        <f>'[11]CoS 2017 Load History'!J165</f>
        <v>4262</v>
      </c>
      <c r="J127" s="58">
        <v>320</v>
      </c>
      <c r="K127" s="273">
        <f t="shared" si="0"/>
        <v>10687537.150600709</v>
      </c>
      <c r="L127" s="232">
        <f t="shared" si="1"/>
        <v>231480.77060068585</v>
      </c>
      <c r="M127" s="233">
        <f t="shared" si="2"/>
        <v>2.2138439406605929E-2</v>
      </c>
    </row>
    <row r="128" spans="1:13">
      <c r="A128" s="268">
        <v>39965</v>
      </c>
      <c r="B128" s="249">
        <f>'[11]CoS 2017 Load History'!H166</f>
        <v>9998205.9600000195</v>
      </c>
      <c r="C128" s="269">
        <f>'Weather Data'!B224</f>
        <v>141.80000000000001</v>
      </c>
      <c r="D128" s="270">
        <f>'Weather Data'!C224</f>
        <v>13.7</v>
      </c>
      <c r="E128" s="273">
        <v>30</v>
      </c>
      <c r="F128" s="273">
        <v>0</v>
      </c>
      <c r="G128" s="256">
        <f>'CDM Activity'!O60</f>
        <v>55466.270965720942</v>
      </c>
      <c r="H128" s="259">
        <v>136.57222617060793</v>
      </c>
      <c r="I128" s="272">
        <f>'[11]CoS 2017 Load History'!J166</f>
        <v>4231</v>
      </c>
      <c r="J128" s="58">
        <v>352</v>
      </c>
      <c r="K128" s="273">
        <f t="shared" si="0"/>
        <v>10398582.353138326</v>
      </c>
      <c r="L128" s="232">
        <f t="shared" si="1"/>
        <v>400376.39313830622</v>
      </c>
      <c r="M128" s="233">
        <f t="shared" si="2"/>
        <v>4.0044823515348493E-2</v>
      </c>
    </row>
    <row r="129" spans="1:13">
      <c r="A129" s="268">
        <v>39995</v>
      </c>
      <c r="B129" s="249">
        <f>'[11]CoS 2017 Load History'!H167</f>
        <v>10339691.300000004</v>
      </c>
      <c r="C129" s="269">
        <f>'Weather Data'!B225</f>
        <v>74.5</v>
      </c>
      <c r="D129" s="270">
        <f>'Weather Data'!C225</f>
        <v>2</v>
      </c>
      <c r="E129" s="273">
        <v>31</v>
      </c>
      <c r="F129" s="273">
        <v>0</v>
      </c>
      <c r="G129" s="256">
        <f>'CDM Activity'!O61</f>
        <v>63427.773125865751</v>
      </c>
      <c r="H129" s="259">
        <v>136.20258025846454</v>
      </c>
      <c r="I129" s="272">
        <f>'[11]CoS 2017 Load History'!J167</f>
        <v>4236</v>
      </c>
      <c r="J129" s="58">
        <v>352</v>
      </c>
      <c r="K129" s="273">
        <f t="shared" si="0"/>
        <v>10111774.168383434</v>
      </c>
      <c r="L129" s="232">
        <f t="shared" si="1"/>
        <v>-227917.13161657006</v>
      </c>
      <c r="M129" s="233">
        <f t="shared" si="2"/>
        <v>2.2042933875266658E-2</v>
      </c>
    </row>
    <row r="130" spans="1:13">
      <c r="A130" s="268">
        <v>40026</v>
      </c>
      <c r="B130" s="249">
        <f>'[11]CoS 2017 Load History'!H168</f>
        <v>10369728.639999986</v>
      </c>
      <c r="C130" s="269">
        <f>'Weather Data'!B226</f>
        <v>84.2</v>
      </c>
      <c r="D130" s="270">
        <f>'Weather Data'!C226</f>
        <v>14.2</v>
      </c>
      <c r="E130" s="273">
        <v>31</v>
      </c>
      <c r="F130" s="273">
        <v>0</v>
      </c>
      <c r="G130" s="256">
        <f>'CDM Activity'!O62</f>
        <v>71389.275286010554</v>
      </c>
      <c r="H130" s="259">
        <v>135.83393482866074</v>
      </c>
      <c r="I130" s="272">
        <f>'[11]CoS 2017 Load History'!J168</f>
        <v>4236</v>
      </c>
      <c r="J130" s="58">
        <v>320</v>
      </c>
      <c r="K130" s="273">
        <f t="shared" si="0"/>
        <v>10379380.850767059</v>
      </c>
      <c r="L130" s="232">
        <f t="shared" si="1"/>
        <v>9652.2107670735568</v>
      </c>
      <c r="M130" s="233">
        <f t="shared" si="2"/>
        <v>9.308064947660549E-4</v>
      </c>
    </row>
    <row r="131" spans="1:13">
      <c r="A131" s="268">
        <v>40057</v>
      </c>
      <c r="B131" s="249">
        <f>'[11]CoS 2017 Load History'!H169</f>
        <v>10093112.910000011</v>
      </c>
      <c r="C131" s="269">
        <f>'Weather Data'!B227</f>
        <v>102.8</v>
      </c>
      <c r="D131" s="270">
        <f>'Weather Data'!C227</f>
        <v>3.5</v>
      </c>
      <c r="E131" s="273">
        <v>30</v>
      </c>
      <c r="F131" s="273">
        <v>1</v>
      </c>
      <c r="G131" s="256">
        <f>'CDM Activity'!O63</f>
        <v>79350.777446155364</v>
      </c>
      <c r="H131" s="259">
        <v>135.46628717329455</v>
      </c>
      <c r="I131" s="272">
        <f>'[11]CoS 2017 Load History'!J169</f>
        <v>4245</v>
      </c>
      <c r="J131" s="58">
        <v>336</v>
      </c>
      <c r="K131" s="273">
        <f t="shared" si="0"/>
        <v>9410325.3066464625</v>
      </c>
      <c r="L131" s="232">
        <f t="shared" si="1"/>
        <v>-682787.60335354879</v>
      </c>
      <c r="M131" s="233">
        <f t="shared" si="2"/>
        <v>6.7648862094573367E-2</v>
      </c>
    </row>
    <row r="132" spans="1:13">
      <c r="A132" s="268">
        <v>40087</v>
      </c>
      <c r="B132" s="249">
        <f>'[11]CoS 2017 Load History'!H170</f>
        <v>10535420.810000017</v>
      </c>
      <c r="C132" s="269">
        <f>'Weather Data'!B228</f>
        <v>451.40000000000003</v>
      </c>
      <c r="D132" s="270">
        <f>'Weather Data'!C228</f>
        <v>0</v>
      </c>
      <c r="E132" s="273">
        <v>31</v>
      </c>
      <c r="F132" s="273">
        <v>1</v>
      </c>
      <c r="G132" s="256">
        <f>'CDM Activity'!O64</f>
        <v>87312.279606300173</v>
      </c>
      <c r="H132" s="259">
        <v>135.09963459179312</v>
      </c>
      <c r="I132" s="272">
        <f>'[11]CoS 2017 Load History'!J170</f>
        <v>4272</v>
      </c>
      <c r="J132" s="58">
        <v>336</v>
      </c>
      <c r="K132" s="273">
        <f t="shared" si="0"/>
        <v>11115073.309224155</v>
      </c>
      <c r="L132" s="232">
        <f t="shared" si="1"/>
        <v>579652.49922413751</v>
      </c>
      <c r="M132" s="233">
        <f t="shared" si="2"/>
        <v>5.5019396916157599E-2</v>
      </c>
    </row>
    <row r="133" spans="1:13">
      <c r="A133" s="268">
        <v>40118</v>
      </c>
      <c r="B133" s="249">
        <f>'[11]CoS 2017 Load History'!H171</f>
        <v>11117076.040000018</v>
      </c>
      <c r="C133" s="269">
        <f>'Weather Data'!B229</f>
        <v>473.49999999999994</v>
      </c>
      <c r="D133" s="270">
        <f>'Weather Data'!C229</f>
        <v>0</v>
      </c>
      <c r="E133" s="273">
        <v>30</v>
      </c>
      <c r="F133" s="273">
        <v>1</v>
      </c>
      <c r="G133" s="256">
        <f>'CDM Activity'!O65</f>
        <v>95273.781766444983</v>
      </c>
      <c r="H133" s="259">
        <v>134.733974390893</v>
      </c>
      <c r="I133" s="272">
        <f>'[11]CoS 2017 Load History'!J171</f>
        <v>4285</v>
      </c>
      <c r="J133" s="58">
        <v>320</v>
      </c>
      <c r="K133" s="273">
        <f t="shared" si="0"/>
        <v>10900413.729019217</v>
      </c>
      <c r="L133" s="232">
        <f t="shared" si="1"/>
        <v>-216662.31098080054</v>
      </c>
      <c r="M133" s="233">
        <f t="shared" si="2"/>
        <v>1.9489145365313178E-2</v>
      </c>
    </row>
    <row r="134" spans="1:13">
      <c r="A134" s="268">
        <v>40148</v>
      </c>
      <c r="B134" s="249">
        <f>'[11]CoS 2017 Load History'!H172</f>
        <v>13231701.560000025</v>
      </c>
      <c r="C134" s="269">
        <f>'Weather Data'!B230</f>
        <v>914.89999999999986</v>
      </c>
      <c r="D134" s="270">
        <f>'Weather Data'!C230</f>
        <v>0</v>
      </c>
      <c r="E134" s="273">
        <v>31</v>
      </c>
      <c r="F134" s="273">
        <v>0</v>
      </c>
      <c r="G134" s="256">
        <f>'CDM Activity'!O66</f>
        <v>103235.28392658979</v>
      </c>
      <c r="H134" s="259">
        <v>134.36930388462019</v>
      </c>
      <c r="I134" s="272">
        <f>'[11]CoS 2017 Load History'!J172</f>
        <v>4313</v>
      </c>
      <c r="J134" s="58">
        <v>352</v>
      </c>
      <c r="K134" s="273">
        <f t="shared" si="0"/>
        <v>13599973.459555905</v>
      </c>
      <c r="L134" s="232">
        <f t="shared" si="1"/>
        <v>368271.89955588058</v>
      </c>
      <c r="M134" s="233">
        <f t="shared" si="2"/>
        <v>2.7832542767528976E-2</v>
      </c>
    </row>
    <row r="135" spans="1:13">
      <c r="A135" s="268">
        <v>40179</v>
      </c>
      <c r="B135" s="249">
        <f>'[11]CoS 2017 Load History'!H173</f>
        <v>13822668.869999984</v>
      </c>
      <c r="C135" s="269">
        <f>'Weather Data'!B231</f>
        <v>900.20000000000027</v>
      </c>
      <c r="D135" s="270">
        <f>'Weather Data'!C231</f>
        <v>0</v>
      </c>
      <c r="E135" s="273">
        <v>31</v>
      </c>
      <c r="F135" s="273">
        <v>0</v>
      </c>
      <c r="G135" s="256">
        <f>'CDM Activity'!O67</f>
        <v>110872.31839091858</v>
      </c>
      <c r="H135" s="259">
        <v>134.73334561620703</v>
      </c>
      <c r="I135" s="272">
        <f>'[11]CoS 2017 Load History'!J173</f>
        <v>4306</v>
      </c>
      <c r="J135" s="273">
        <v>320</v>
      </c>
      <c r="K135" s="273">
        <f t="shared" si="0"/>
        <v>13540665.004163025</v>
      </c>
      <c r="L135" s="232">
        <f t="shared" si="1"/>
        <v>-282003.86583695933</v>
      </c>
      <c r="M135" s="233">
        <f t="shared" si="2"/>
        <v>2.0401549692694018E-2</v>
      </c>
    </row>
    <row r="136" spans="1:13">
      <c r="A136" s="268">
        <v>40210</v>
      </c>
      <c r="B136" s="249">
        <f>'[11]CoS 2017 Load History'!H174</f>
        <v>11978631.199999979</v>
      </c>
      <c r="C136" s="269">
        <f>'Weather Data'!B232</f>
        <v>778.39999999999975</v>
      </c>
      <c r="D136" s="270">
        <f>'Weather Data'!C232</f>
        <v>0</v>
      </c>
      <c r="E136" s="273">
        <v>28</v>
      </c>
      <c r="F136" s="273">
        <v>0</v>
      </c>
      <c r="G136" s="256">
        <f>'CDM Activity'!O68</f>
        <v>118509.35285524736</v>
      </c>
      <c r="H136" s="259">
        <v>135.09837363244745</v>
      </c>
      <c r="I136" s="272">
        <f>'[11]CoS 2017 Load History'!J174</f>
        <v>4306</v>
      </c>
      <c r="J136" s="273">
        <v>304</v>
      </c>
      <c r="K136" s="273">
        <f t="shared" si="0"/>
        <v>12167178.988705803</v>
      </c>
      <c r="L136" s="232">
        <f t="shared" si="1"/>
        <v>188547.78870582394</v>
      </c>
      <c r="M136" s="233">
        <f t="shared" si="2"/>
        <v>1.5740345082652204E-2</v>
      </c>
    </row>
    <row r="137" spans="1:13">
      <c r="A137" s="268">
        <v>40238</v>
      </c>
      <c r="B137" s="249">
        <f>'[11]CoS 2017 Load History'!H175</f>
        <v>11476632.719999976</v>
      </c>
      <c r="C137" s="269">
        <f>'Weather Data'!B233</f>
        <v>514.4</v>
      </c>
      <c r="D137" s="270">
        <f>'Weather Data'!C233</f>
        <v>0</v>
      </c>
      <c r="E137" s="273">
        <v>31</v>
      </c>
      <c r="F137" s="273">
        <v>1</v>
      </c>
      <c r="G137" s="256">
        <f>'CDM Activity'!O69</f>
        <v>126146.38731957614</v>
      </c>
      <c r="H137" s="259">
        <v>135.46439060544563</v>
      </c>
      <c r="I137" s="272">
        <f>'[11]CoS 2017 Load History'!J175</f>
        <v>4314</v>
      </c>
      <c r="J137" s="273">
        <v>368</v>
      </c>
      <c r="K137" s="273">
        <f t="shared" si="0"/>
        <v>11346963.063701503</v>
      </c>
      <c r="L137" s="232">
        <f t="shared" si="1"/>
        <v>-129669.65629847348</v>
      </c>
      <c r="M137" s="233">
        <f t="shared" si="2"/>
        <v>1.1298580294593042E-2</v>
      </c>
    </row>
    <row r="138" spans="1:13">
      <c r="A138" s="268">
        <v>40269</v>
      </c>
      <c r="B138" s="249">
        <f>'[11]CoS 2017 Load History'!H176</f>
        <v>10116363.230000025</v>
      </c>
      <c r="C138" s="269">
        <f>'Weather Data'!B234</f>
        <v>358.00000000000011</v>
      </c>
      <c r="D138" s="270">
        <f>'Weather Data'!C234</f>
        <v>0</v>
      </c>
      <c r="E138" s="273">
        <v>30</v>
      </c>
      <c r="F138" s="273">
        <v>1</v>
      </c>
      <c r="G138" s="256">
        <f>'CDM Activity'!O70</f>
        <v>133783.42178390492</v>
      </c>
      <c r="H138" s="259">
        <v>135.83139921454512</v>
      </c>
      <c r="I138" s="272">
        <f>'[11]CoS 2017 Load History'!J176</f>
        <v>4307</v>
      </c>
      <c r="J138" s="273">
        <v>320</v>
      </c>
      <c r="K138" s="273">
        <f t="shared" si="0"/>
        <v>10385822.842405444</v>
      </c>
      <c r="L138" s="232">
        <f t="shared" si="1"/>
        <v>269459.61240541935</v>
      </c>
      <c r="M138" s="233">
        <f t="shared" si="2"/>
        <v>2.6636015955451085E-2</v>
      </c>
    </row>
    <row r="139" spans="1:13">
      <c r="A139" s="268">
        <v>40299</v>
      </c>
      <c r="B139" s="249">
        <f>'[11]CoS 2017 Load History'!H177</f>
        <v>10174879.319999982</v>
      </c>
      <c r="C139" s="269">
        <f>'Weather Data'!B235</f>
        <v>212.40000000000003</v>
      </c>
      <c r="D139" s="270">
        <f>'Weather Data'!C235</f>
        <v>0.6</v>
      </c>
      <c r="E139" s="273">
        <v>31</v>
      </c>
      <c r="F139" s="273">
        <v>1</v>
      </c>
      <c r="G139" s="256">
        <f>'CDM Activity'!O71</f>
        <v>141420.45624823371</v>
      </c>
      <c r="H139" s="259">
        <v>136.19940214634852</v>
      </c>
      <c r="I139" s="272">
        <f>'[11]CoS 2017 Load History'!J177</f>
        <v>4279</v>
      </c>
      <c r="J139" s="273">
        <v>320</v>
      </c>
      <c r="K139" s="273">
        <f t="shared" si="0"/>
        <v>10048202.642277639</v>
      </c>
      <c r="L139" s="232">
        <f t="shared" si="1"/>
        <v>-126676.67772234231</v>
      </c>
      <c r="M139" s="233">
        <f t="shared" si="2"/>
        <v>1.2449943998190098E-2</v>
      </c>
    </row>
    <row r="140" spans="1:13">
      <c r="A140" s="268">
        <v>40330</v>
      </c>
      <c r="B140" s="249">
        <f>'[11]CoS 2017 Load History'!H178</f>
        <v>9916902.6700000148</v>
      </c>
      <c r="C140" s="269">
        <f>'Weather Data'!B236</f>
        <v>106.30000000000003</v>
      </c>
      <c r="D140" s="270">
        <f>'Weather Data'!C236</f>
        <v>3.0000000000000004</v>
      </c>
      <c r="E140" s="273">
        <v>30</v>
      </c>
      <c r="F140" s="273">
        <v>0</v>
      </c>
      <c r="G140" s="256">
        <f>'CDM Activity'!O72</f>
        <v>149057.49071256249</v>
      </c>
      <c r="H140" s="259">
        <v>136.56840209473719</v>
      </c>
      <c r="I140" s="272">
        <f>'[11]CoS 2017 Load History'!J178</f>
        <v>4287</v>
      </c>
      <c r="J140" s="273">
        <v>352</v>
      </c>
      <c r="K140" s="273">
        <f t="shared" si="0"/>
        <v>9872901.7671503052</v>
      </c>
      <c r="L140" s="232">
        <f t="shared" si="1"/>
        <v>-44000.902849709615</v>
      </c>
      <c r="M140" s="233">
        <f t="shared" si="2"/>
        <v>4.4369602398961075E-3</v>
      </c>
    </row>
    <row r="141" spans="1:13">
      <c r="A141" s="268">
        <v>40360</v>
      </c>
      <c r="B141" s="249">
        <f>'[11]CoS 2017 Load History'!H179</f>
        <v>10687565.209999999</v>
      </c>
      <c r="C141" s="269">
        <f>'Weather Data'!B237</f>
        <v>14.5</v>
      </c>
      <c r="D141" s="270">
        <f>'Weather Data'!C237</f>
        <v>52</v>
      </c>
      <c r="E141" s="273">
        <v>31</v>
      </c>
      <c r="F141" s="273">
        <v>0</v>
      </c>
      <c r="G141" s="256">
        <f>'CDM Activity'!O73</f>
        <v>156694.52517689127</v>
      </c>
      <c r="H141" s="259">
        <v>136.93840176089088</v>
      </c>
      <c r="I141" s="272">
        <f>'[11]CoS 2017 Load History'!J179</f>
        <v>4285</v>
      </c>
      <c r="J141" s="273">
        <v>336</v>
      </c>
      <c r="K141" s="273">
        <f t="shared" si="0"/>
        <v>10781807.146312049</v>
      </c>
      <c r="L141" s="232">
        <f t="shared" si="1"/>
        <v>94241.936312049627</v>
      </c>
      <c r="M141" s="233">
        <f t="shared" si="2"/>
        <v>8.8179051505454763E-3</v>
      </c>
    </row>
    <row r="142" spans="1:13">
      <c r="A142" s="268">
        <v>40391</v>
      </c>
      <c r="B142" s="249">
        <f>'[11]CoS 2017 Load History'!H180</f>
        <v>10774421.849999988</v>
      </c>
      <c r="C142" s="269">
        <f>'Weather Data'!B238</f>
        <v>37.9</v>
      </c>
      <c r="D142" s="270">
        <f>'Weather Data'!C238</f>
        <v>55.8</v>
      </c>
      <c r="E142" s="273">
        <v>31</v>
      </c>
      <c r="F142" s="273">
        <v>0</v>
      </c>
      <c r="G142" s="256">
        <f>'CDM Activity'!O74</f>
        <v>164331.55964122005</v>
      </c>
      <c r="H142" s="259">
        <v>137.30940385330757</v>
      </c>
      <c r="I142" s="272">
        <f>'[11]CoS 2017 Load History'!J180</f>
        <v>4286</v>
      </c>
      <c r="J142" s="273">
        <v>336</v>
      </c>
      <c r="K142" s="273">
        <f t="shared" si="0"/>
        <v>10968938.135508394</v>
      </c>
      <c r="L142" s="232">
        <f t="shared" si="1"/>
        <v>194516.28550840542</v>
      </c>
      <c r="M142" s="233">
        <f t="shared" si="2"/>
        <v>1.8053524190572288E-2</v>
      </c>
    </row>
    <row r="143" spans="1:13">
      <c r="A143" s="268">
        <v>40422</v>
      </c>
      <c r="B143" s="249">
        <f>'[11]CoS 2017 Load History'!H181</f>
        <v>9491235.3699999973</v>
      </c>
      <c r="C143" s="269">
        <f>'Weather Data'!B239</f>
        <v>231.1</v>
      </c>
      <c r="D143" s="270">
        <f>'Weather Data'!C239</f>
        <v>0</v>
      </c>
      <c r="E143" s="273">
        <v>30</v>
      </c>
      <c r="F143" s="273">
        <v>1</v>
      </c>
      <c r="G143" s="256">
        <f>'CDM Activity'!O75</f>
        <v>171968.59410554884</v>
      </c>
      <c r="H143" s="259">
        <v>137.68141108782325</v>
      </c>
      <c r="I143" s="272">
        <f>'[11]CoS 2017 Load History'!J181</f>
        <v>4302</v>
      </c>
      <c r="J143" s="273">
        <v>336</v>
      </c>
      <c r="K143" s="273">
        <f t="shared" si="0"/>
        <v>9856973.0888616033</v>
      </c>
      <c r="L143" s="232">
        <f t="shared" si="1"/>
        <v>365737.71886160597</v>
      </c>
      <c r="M143" s="233">
        <f t="shared" si="2"/>
        <v>3.8534258671703986E-2</v>
      </c>
    </row>
    <row r="144" spans="1:13">
      <c r="A144" s="268">
        <v>40452</v>
      </c>
      <c r="B144" s="249">
        <f>'[11]CoS 2017 Load History'!H182</f>
        <v>10047653.200000029</v>
      </c>
      <c r="C144" s="269">
        <f>'Weather Data'!B240</f>
        <v>355.49999999999989</v>
      </c>
      <c r="D144" s="270">
        <f>'Weather Data'!C240</f>
        <v>0</v>
      </c>
      <c r="E144" s="273">
        <v>31</v>
      </c>
      <c r="F144" s="273">
        <v>1</v>
      </c>
      <c r="G144" s="256">
        <f>'CDM Activity'!O76</f>
        <v>179605.62856987762</v>
      </c>
      <c r="H144" s="259">
        <v>138.0544261876318</v>
      </c>
      <c r="I144" s="272">
        <f>'[11]CoS 2017 Load History'!J182</f>
        <v>4331</v>
      </c>
      <c r="J144" s="273">
        <v>320</v>
      </c>
      <c r="K144" s="273">
        <f t="shared" si="0"/>
        <v>10688675.079873968</v>
      </c>
      <c r="L144" s="232">
        <f t="shared" si="1"/>
        <v>641021.87987393886</v>
      </c>
      <c r="M144" s="233">
        <f t="shared" si="2"/>
        <v>6.3798169295287477E-2</v>
      </c>
    </row>
    <row r="145" spans="1:13">
      <c r="A145" s="268">
        <v>40483</v>
      </c>
      <c r="B145" s="249">
        <f>'[11]CoS 2017 Load History'!H183</f>
        <v>11121846.869999992</v>
      </c>
      <c r="C145" s="269">
        <f>'Weather Data'!B241</f>
        <v>549.40000000000009</v>
      </c>
      <c r="D145" s="270">
        <f>'Weather Data'!C241</f>
        <v>0</v>
      </c>
      <c r="E145" s="273">
        <v>30</v>
      </c>
      <c r="F145" s="273">
        <v>1</v>
      </c>
      <c r="G145" s="256">
        <f>'CDM Activity'!O77</f>
        <v>187242.6630342064</v>
      </c>
      <c r="H145" s="259">
        <v>138.42845188330503</v>
      </c>
      <c r="I145" s="272">
        <f>'[11]CoS 2017 Load History'!J183</f>
        <v>4335</v>
      </c>
      <c r="J145" s="273">
        <v>336</v>
      </c>
      <c r="K145" s="273">
        <f t="shared" si="0"/>
        <v>11260906.347547391</v>
      </c>
      <c r="L145" s="232">
        <f t="shared" si="1"/>
        <v>139059.4775473997</v>
      </c>
      <c r="M145" s="233">
        <f t="shared" si="2"/>
        <v>1.2503272088963747E-2</v>
      </c>
    </row>
    <row r="146" spans="1:13">
      <c r="A146" s="268">
        <v>40513</v>
      </c>
      <c r="B146" s="249">
        <f>'[11]CoS 2017 Load History'!H184</f>
        <v>13156983.93999997</v>
      </c>
      <c r="C146" s="269">
        <f>'Weather Data'!B242</f>
        <v>879.0999999999998</v>
      </c>
      <c r="D146" s="270">
        <f>'Weather Data'!C242</f>
        <v>0</v>
      </c>
      <c r="E146" s="273">
        <v>31</v>
      </c>
      <c r="F146" s="273">
        <v>0</v>
      </c>
      <c r="G146" s="256">
        <f>'CDM Activity'!O78</f>
        <v>194879.69749853518</v>
      </c>
      <c r="H146" s="259">
        <v>138.80349091281266</v>
      </c>
      <c r="I146" s="272">
        <f>'[11]CoS 2017 Load History'!J184</f>
        <v>4331</v>
      </c>
      <c r="J146" s="273">
        <v>368</v>
      </c>
      <c r="K146" s="273">
        <f t="shared" si="0"/>
        <v>13506655.848416004</v>
      </c>
      <c r="L146" s="232">
        <f t="shared" si="1"/>
        <v>349671.90841603465</v>
      </c>
      <c r="M146" s="233">
        <f t="shared" si="2"/>
        <v>2.6576904707845638E-2</v>
      </c>
    </row>
    <row r="147" spans="1:13">
      <c r="A147" s="254">
        <v>40544</v>
      </c>
      <c r="B147" s="249">
        <f>'[11]CoS 2017 Load History'!H185</f>
        <v>14302277.350000005</v>
      </c>
      <c r="C147" s="269">
        <f>'Weather Data'!B243</f>
        <v>1077.9000000000003</v>
      </c>
      <c r="D147" s="270">
        <f>'Weather Data'!C243</f>
        <v>0</v>
      </c>
      <c r="E147" s="261">
        <v>31</v>
      </c>
      <c r="F147" s="256">
        <v>0</v>
      </c>
      <c r="G147" s="256">
        <f>'CDM Activity'!O79</f>
        <v>197981.19865311679</v>
      </c>
      <c r="H147" s="259">
        <v>139.10070640604135</v>
      </c>
      <c r="I147" s="272">
        <f>'[11]CoS 2017 Load History'!J185</f>
        <v>4329</v>
      </c>
      <c r="J147" s="256">
        <v>336</v>
      </c>
      <c r="K147" s="273">
        <f t="shared" si="0"/>
        <v>14385690.811061323</v>
      </c>
      <c r="L147" s="232">
        <f t="shared" si="1"/>
        <v>83413.461061317474</v>
      </c>
      <c r="M147" s="233">
        <f t="shared" si="2"/>
        <v>5.8321803598164346E-3</v>
      </c>
    </row>
    <row r="148" spans="1:13">
      <c r="A148" s="254">
        <v>40575</v>
      </c>
      <c r="B148" s="249">
        <f>'[11]CoS 2017 Load History'!H186</f>
        <v>12447595.389999971</v>
      </c>
      <c r="C148" s="269">
        <f>'Weather Data'!B244</f>
        <v>826.9</v>
      </c>
      <c r="D148" s="270">
        <f>'Weather Data'!C244</f>
        <v>0</v>
      </c>
      <c r="E148" s="261">
        <v>28</v>
      </c>
      <c r="F148" s="256">
        <v>0</v>
      </c>
      <c r="G148" s="256">
        <f>'CDM Activity'!O80</f>
        <v>201082.6998076984</v>
      </c>
      <c r="H148" s="259">
        <v>139.39855831733732</v>
      </c>
      <c r="I148" s="272">
        <f>'[11]CoS 2017 Load History'!J186</f>
        <v>4324</v>
      </c>
      <c r="J148" s="256">
        <v>304</v>
      </c>
      <c r="K148" s="273">
        <f t="shared" si="0"/>
        <v>12450748.331988424</v>
      </c>
      <c r="L148" s="232">
        <f t="shared" si="1"/>
        <v>3152.941988453269</v>
      </c>
      <c r="M148" s="233">
        <f t="shared" si="2"/>
        <v>2.5329727466770404E-4</v>
      </c>
    </row>
    <row r="149" spans="1:13">
      <c r="A149" s="254">
        <v>40603</v>
      </c>
      <c r="B149" s="249">
        <f>'[11]CoS 2017 Load History'!H187</f>
        <v>12509940.990000015</v>
      </c>
      <c r="C149" s="269">
        <f>'Weather Data'!B245</f>
        <v>749.9</v>
      </c>
      <c r="D149" s="270">
        <f>'Weather Data'!C245</f>
        <v>0</v>
      </c>
      <c r="E149" s="261">
        <v>31</v>
      </c>
      <c r="F149" s="256">
        <v>1</v>
      </c>
      <c r="G149" s="256">
        <f>'CDM Activity'!O81</f>
        <v>204184.20096228001</v>
      </c>
      <c r="H149" s="259">
        <v>139.69704800944226</v>
      </c>
      <c r="I149" s="272">
        <f>'[11]CoS 2017 Load History'!J187</f>
        <v>4331</v>
      </c>
      <c r="J149" s="256">
        <v>368</v>
      </c>
      <c r="K149" s="273">
        <f t="shared" si="0"/>
        <v>12452869.182000678</v>
      </c>
      <c r="L149" s="232">
        <f t="shared" si="1"/>
        <v>-57071.807999337092</v>
      </c>
      <c r="M149" s="233">
        <f t="shared" si="2"/>
        <v>4.5621164835995777E-3</v>
      </c>
    </row>
    <row r="150" spans="1:13">
      <c r="A150" s="254">
        <v>40634</v>
      </c>
      <c r="B150" s="249">
        <f>'[11]CoS 2017 Load History'!H188</f>
        <v>10791805.250000004</v>
      </c>
      <c r="C150" s="269">
        <f>'Weather Data'!B246</f>
        <v>482.30000000000007</v>
      </c>
      <c r="D150" s="270">
        <f>'Weather Data'!C246</f>
        <v>0</v>
      </c>
      <c r="E150" s="261">
        <v>30</v>
      </c>
      <c r="F150" s="256">
        <v>1</v>
      </c>
      <c r="G150" s="256">
        <f>'CDM Activity'!O82</f>
        <v>207285.70211686162</v>
      </c>
      <c r="H150" s="259">
        <v>139.99617684801592</v>
      </c>
      <c r="I150" s="272">
        <f>'[11]CoS 2017 Load History'!J188</f>
        <v>4324</v>
      </c>
      <c r="J150" s="256">
        <v>320</v>
      </c>
      <c r="K150" s="273">
        <f t="shared" si="0"/>
        <v>11009014.398475669</v>
      </c>
      <c r="L150" s="232">
        <f t="shared" si="1"/>
        <v>217209.1484756656</v>
      </c>
      <c r="M150" s="233">
        <f t="shared" si="2"/>
        <v>2.0127230194009062E-2</v>
      </c>
    </row>
    <row r="151" spans="1:13">
      <c r="A151" s="254">
        <v>40664</v>
      </c>
      <c r="B151" s="249">
        <f>'[11]CoS 2017 Load History'!H189</f>
        <v>10114377.919999992</v>
      </c>
      <c r="C151" s="269">
        <f>'Weather Data'!B247</f>
        <v>266.99999999999994</v>
      </c>
      <c r="D151" s="270">
        <f>'Weather Data'!C247</f>
        <v>0</v>
      </c>
      <c r="E151" s="261">
        <v>31</v>
      </c>
      <c r="F151" s="256">
        <v>1</v>
      </c>
      <c r="G151" s="256">
        <f>'CDM Activity'!O83</f>
        <v>210387.20327144323</v>
      </c>
      <c r="H151" s="259">
        <v>140.29594620164227</v>
      </c>
      <c r="I151" s="272">
        <f>'[11]CoS 2017 Load History'!J189</f>
        <v>4319</v>
      </c>
      <c r="J151" s="256">
        <v>336</v>
      </c>
      <c r="K151" s="273">
        <f t="shared" si="0"/>
        <v>10357749.814469814</v>
      </c>
      <c r="L151" s="232">
        <f t="shared" si="1"/>
        <v>243371.89446982183</v>
      </c>
      <c r="M151" s="233">
        <f t="shared" si="2"/>
        <v>2.4061973597860383E-2</v>
      </c>
    </row>
    <row r="152" spans="1:13">
      <c r="A152" s="254">
        <v>40695</v>
      </c>
      <c r="B152" s="249">
        <f>'[11]CoS 2017 Load History'!H190</f>
        <v>9658664.0399999935</v>
      </c>
      <c r="C152" s="269">
        <f>'Weather Data'!B248</f>
        <v>110.1</v>
      </c>
      <c r="D152" s="270">
        <f>'Weather Data'!C248</f>
        <v>0</v>
      </c>
      <c r="E152" s="261">
        <v>30</v>
      </c>
      <c r="F152" s="256">
        <v>0</v>
      </c>
      <c r="G152" s="256">
        <f>'CDM Activity'!O84</f>
        <v>213488.70442602484</v>
      </c>
      <c r="H152" s="259">
        <v>140.59635744183578</v>
      </c>
      <c r="I152" s="272">
        <f>'[11]CoS 2017 Load History'!J190</f>
        <v>4331</v>
      </c>
      <c r="J152" s="256">
        <v>352</v>
      </c>
      <c r="K152" s="273">
        <f t="shared" ref="K152:K215" si="3">$O$103+C152*$O$104+D152*$O$105+E152*$O$106+F152*$O$107+G152*$O$108+H152*$O$109</f>
        <v>9913902.9024460744</v>
      </c>
      <c r="L152" s="232">
        <f t="shared" ref="L152:L206" si="4">K152-B152</f>
        <v>255238.86244608089</v>
      </c>
      <c r="M152" s="233">
        <f t="shared" ref="M152:M206" si="5">ABS(L152/B152)</f>
        <v>2.6425897141576223E-2</v>
      </c>
    </row>
    <row r="153" spans="1:13">
      <c r="A153" s="254">
        <v>40725</v>
      </c>
      <c r="B153" s="249">
        <f>'[11]CoS 2017 Load History'!H191</f>
        <v>10695218.369999992</v>
      </c>
      <c r="C153" s="269">
        <f>'Weather Data'!B249</f>
        <v>29.8</v>
      </c>
      <c r="D153" s="270">
        <f>'Weather Data'!C249</f>
        <v>63.7</v>
      </c>
      <c r="E153" s="261">
        <v>31</v>
      </c>
      <c r="F153" s="256">
        <v>0</v>
      </c>
      <c r="G153" s="256">
        <f>'CDM Activity'!O85</f>
        <v>216590.20558060645</v>
      </c>
      <c r="H153" s="259">
        <v>140.89741194304773</v>
      </c>
      <c r="I153" s="272">
        <f>'[11]CoS 2017 Load History'!J191</f>
        <v>4334</v>
      </c>
      <c r="J153" s="256">
        <v>320</v>
      </c>
      <c r="K153" s="273">
        <f t="shared" si="3"/>
        <v>11184080.040777281</v>
      </c>
      <c r="L153" s="232">
        <f t="shared" si="4"/>
        <v>488861.6707772892</v>
      </c>
      <c r="M153" s="233">
        <f t="shared" si="5"/>
        <v>4.5708432858981407E-2</v>
      </c>
    </row>
    <row r="154" spans="1:13">
      <c r="A154" s="254">
        <v>40756</v>
      </c>
      <c r="B154" s="249">
        <f>'[11]CoS 2017 Load History'!H192</f>
        <v>10770620.640000014</v>
      </c>
      <c r="C154" s="269">
        <f>'Weather Data'!B250</f>
        <v>22.2</v>
      </c>
      <c r="D154" s="270">
        <f>'Weather Data'!C250</f>
        <v>35.699999999999996</v>
      </c>
      <c r="E154" s="261">
        <v>31</v>
      </c>
      <c r="F154" s="256">
        <v>0</v>
      </c>
      <c r="G154" s="256">
        <f>'CDM Activity'!O86</f>
        <v>219691.70673518805</v>
      </c>
      <c r="H154" s="259">
        <v>141.19911108267243</v>
      </c>
      <c r="I154" s="272">
        <f>'[11]CoS 2017 Load History'!J192</f>
        <v>4330</v>
      </c>
      <c r="J154" s="256">
        <v>352</v>
      </c>
      <c r="K154" s="273">
        <f t="shared" si="3"/>
        <v>10575174.098645186</v>
      </c>
      <c r="L154" s="232">
        <f t="shared" si="4"/>
        <v>-195446.54135482758</v>
      </c>
      <c r="M154" s="233">
        <f t="shared" si="5"/>
        <v>1.814626546486808E-2</v>
      </c>
    </row>
    <row r="155" spans="1:13">
      <c r="A155" s="254">
        <v>40787</v>
      </c>
      <c r="B155" s="249">
        <f>'[11]CoS 2017 Load History'!H193</f>
        <v>9905090.3899999876</v>
      </c>
      <c r="C155" s="269">
        <f>'Weather Data'!B251</f>
        <v>172.3</v>
      </c>
      <c r="D155" s="270">
        <f>'Weather Data'!C251</f>
        <v>9.4</v>
      </c>
      <c r="E155" s="261">
        <v>30</v>
      </c>
      <c r="F155" s="256">
        <v>1</v>
      </c>
      <c r="G155" s="256">
        <f>'CDM Activity'!O87</f>
        <v>222793.20788976966</v>
      </c>
      <c r="H155" s="259">
        <v>141.50145624105357</v>
      </c>
      <c r="I155" s="272">
        <f>'[11]CoS 2017 Load History'!J193</f>
        <v>4340</v>
      </c>
      <c r="J155" s="256">
        <v>336</v>
      </c>
      <c r="K155" s="273">
        <f t="shared" si="3"/>
        <v>9894640.9999977611</v>
      </c>
      <c r="L155" s="232">
        <f t="shared" si="4"/>
        <v>-10449.390002226457</v>
      </c>
      <c r="M155" s="233">
        <f t="shared" si="5"/>
        <v>1.0549515038021243E-3</v>
      </c>
    </row>
    <row r="156" spans="1:13">
      <c r="A156" s="254">
        <v>40817</v>
      </c>
      <c r="B156" s="249">
        <f>'[11]CoS 2017 Load History'!H194</f>
        <v>10394269.490000017</v>
      </c>
      <c r="C156" s="269">
        <f>'Weather Data'!B252</f>
        <v>337.20000000000005</v>
      </c>
      <c r="D156" s="270">
        <f>'Weather Data'!C252</f>
        <v>5.4</v>
      </c>
      <c r="E156" s="261">
        <v>31</v>
      </c>
      <c r="F156" s="256">
        <v>1</v>
      </c>
      <c r="G156" s="256">
        <f>'CDM Activity'!O88</f>
        <v>225894.70904435127</v>
      </c>
      <c r="H156" s="259">
        <v>141.80444880149057</v>
      </c>
      <c r="I156" s="272">
        <f>'[11]CoS 2017 Load History'!J194</f>
        <v>4365</v>
      </c>
      <c r="J156" s="256">
        <v>320</v>
      </c>
      <c r="K156" s="273">
        <f t="shared" si="3"/>
        <v>10823872.091729596</v>
      </c>
      <c r="L156" s="232">
        <f t="shared" si="4"/>
        <v>429602.60172957927</v>
      </c>
      <c r="M156" s="233">
        <f t="shared" si="5"/>
        <v>4.133071613574054E-2</v>
      </c>
    </row>
    <row r="157" spans="1:13">
      <c r="A157" s="254">
        <v>40848</v>
      </c>
      <c r="B157" s="249">
        <f>'[11]CoS 2017 Load History'!H195</f>
        <v>11396702.920000002</v>
      </c>
      <c r="C157" s="269">
        <f>'Weather Data'!B253</f>
        <v>563.20000000000005</v>
      </c>
      <c r="D157" s="270">
        <f>'Weather Data'!C253</f>
        <v>0</v>
      </c>
      <c r="E157" s="261">
        <v>30</v>
      </c>
      <c r="F157" s="256">
        <v>1</v>
      </c>
      <c r="G157" s="256">
        <f>'CDM Activity'!O89</f>
        <v>228996.21019893288</v>
      </c>
      <c r="H157" s="259">
        <v>142.10809015024478</v>
      </c>
      <c r="I157" s="272">
        <f>'[11]CoS 2017 Load History'!J195</f>
        <v>4380</v>
      </c>
      <c r="J157" s="256">
        <v>352</v>
      </c>
      <c r="K157" s="273">
        <f t="shared" si="3"/>
        <v>11427610.705696043</v>
      </c>
      <c r="L157" s="232">
        <f t="shared" si="4"/>
        <v>30907.785696040839</v>
      </c>
      <c r="M157" s="233">
        <f t="shared" si="5"/>
        <v>2.7119936277185011E-3</v>
      </c>
    </row>
    <row r="158" spans="1:13">
      <c r="A158" s="254">
        <v>40878</v>
      </c>
      <c r="B158" s="249">
        <f>'[11]CoS 2017 Load History'!H196</f>
        <v>12702124.479999989</v>
      </c>
      <c r="C158" s="269">
        <f>'Weather Data'!B254</f>
        <v>769.8</v>
      </c>
      <c r="D158" s="270">
        <f>'Weather Data'!C254</f>
        <v>0</v>
      </c>
      <c r="E158" s="261">
        <v>31</v>
      </c>
      <c r="F158" s="256">
        <v>0</v>
      </c>
      <c r="G158" s="256">
        <f>'CDM Activity'!O90</f>
        <v>232097.71135351449</v>
      </c>
      <c r="H158" s="259">
        <v>142.41238167654581</v>
      </c>
      <c r="I158" s="272">
        <f>'[11]CoS 2017 Load History'!J196</f>
        <v>4369</v>
      </c>
      <c r="J158" s="256">
        <v>336</v>
      </c>
      <c r="K158" s="273">
        <f t="shared" si="3"/>
        <v>13138432.94955318</v>
      </c>
      <c r="L158" s="232">
        <f t="shared" si="4"/>
        <v>436308.46955319121</v>
      </c>
      <c r="M158" s="233">
        <f t="shared" si="5"/>
        <v>3.4349251594894742E-2</v>
      </c>
    </row>
    <row r="159" spans="1:13">
      <c r="A159" s="254">
        <v>40909</v>
      </c>
      <c r="B159" s="249">
        <f>'[11]CoS 2017 Load History'!H197</f>
        <v>13282492.840000024</v>
      </c>
      <c r="C159" s="269">
        <f>'Weather Data'!B255</f>
        <v>865.69999999999993</v>
      </c>
      <c r="D159" s="270">
        <f>'Weather Data'!C255</f>
        <v>0</v>
      </c>
      <c r="E159" s="256">
        <v>31</v>
      </c>
      <c r="F159" s="256">
        <v>0</v>
      </c>
      <c r="G159" s="256">
        <f>'CDM Activity'!O91</f>
        <v>240218.48796653131</v>
      </c>
      <c r="H159" s="259">
        <v>142.61257743956915</v>
      </c>
      <c r="I159" s="272">
        <f>'[11]CoS 2017 Load History'!J197</f>
        <v>4474</v>
      </c>
      <c r="J159" s="256">
        <v>336</v>
      </c>
      <c r="K159" s="273">
        <f t="shared" si="3"/>
        <v>13554746.85998846</v>
      </c>
      <c r="L159" s="232">
        <f t="shared" si="4"/>
        <v>272254.01998843625</v>
      </c>
      <c r="M159" s="233">
        <f t="shared" si="5"/>
        <v>2.0497208112060669E-2</v>
      </c>
    </row>
    <row r="160" spans="1:13">
      <c r="A160" s="254">
        <v>40940</v>
      </c>
      <c r="B160" s="249">
        <f>'[11]CoS 2017 Load History'!H198</f>
        <v>11892077.770000001</v>
      </c>
      <c r="C160" s="269">
        <f>'Weather Data'!B256</f>
        <v>693.8</v>
      </c>
      <c r="D160" s="270">
        <f>'Weather Data'!C256</f>
        <v>0</v>
      </c>
      <c r="E160" s="256">
        <v>29</v>
      </c>
      <c r="F160" s="256">
        <v>0</v>
      </c>
      <c r="G160" s="256">
        <f>'CDM Activity'!O92</f>
        <v>248339.26457954812</v>
      </c>
      <c r="H160" s="259">
        <v>142.81305462716429</v>
      </c>
      <c r="I160" s="272">
        <f>'[11]CoS 2017 Load History'!J198</f>
        <v>4484</v>
      </c>
      <c r="J160" s="256">
        <v>320</v>
      </c>
      <c r="K160" s="273">
        <f t="shared" si="3"/>
        <v>12235404.885675468</v>
      </c>
      <c r="L160" s="232">
        <f t="shared" si="4"/>
        <v>343327.11567546614</v>
      </c>
      <c r="M160" s="233">
        <f t="shared" si="5"/>
        <v>2.8870238011861411E-2</v>
      </c>
    </row>
    <row r="161" spans="1:13">
      <c r="A161" s="254">
        <v>40969</v>
      </c>
      <c r="B161" s="249">
        <f>'[11]CoS 2017 Load History'!H199</f>
        <v>11479099.71000001</v>
      </c>
      <c r="C161" s="269">
        <f>'Weather Data'!B257</f>
        <v>525.4</v>
      </c>
      <c r="D161" s="270">
        <f>'Weather Data'!C257</f>
        <v>0</v>
      </c>
      <c r="E161" s="256">
        <v>31</v>
      </c>
      <c r="F161" s="256">
        <v>1</v>
      </c>
      <c r="G161" s="256">
        <f>'CDM Activity'!O93</f>
        <v>256460.04119256494</v>
      </c>
      <c r="H161" s="259">
        <v>143.01381363494295</v>
      </c>
      <c r="I161" s="272">
        <f>'[11]CoS 2017 Load History'!J199</f>
        <v>4484</v>
      </c>
      <c r="J161" s="256">
        <v>352</v>
      </c>
      <c r="K161" s="273">
        <f t="shared" si="3"/>
        <v>11543261.851067949</v>
      </c>
      <c r="L161" s="232">
        <f t="shared" si="4"/>
        <v>64162.141067938879</v>
      </c>
      <c r="M161" s="233">
        <f t="shared" si="5"/>
        <v>5.5894750188504828E-3</v>
      </c>
    </row>
    <row r="162" spans="1:13">
      <c r="A162" s="254">
        <v>41000</v>
      </c>
      <c r="B162" s="249">
        <f>'[11]CoS 2017 Load History'!H200</f>
        <v>10218124.679999998</v>
      </c>
      <c r="C162" s="269">
        <f>'Weather Data'!B258</f>
        <v>434.89999999999986</v>
      </c>
      <c r="D162" s="270">
        <f>'Weather Data'!C258</f>
        <v>0</v>
      </c>
      <c r="E162" s="256">
        <v>30</v>
      </c>
      <c r="F162" s="256">
        <v>1</v>
      </c>
      <c r="G162" s="256">
        <f>'CDM Activity'!O94</f>
        <v>264580.81780558178</v>
      </c>
      <c r="H162" s="259">
        <v>143.21485485907297</v>
      </c>
      <c r="I162" s="272">
        <f>'[11]CoS 2017 Load History'!J200</f>
        <v>4484</v>
      </c>
      <c r="J162" s="256">
        <v>320</v>
      </c>
      <c r="K162" s="273">
        <f t="shared" si="3"/>
        <v>10862021.046825109</v>
      </c>
      <c r="L162" s="232">
        <f t="shared" si="4"/>
        <v>643896.36682511121</v>
      </c>
      <c r="M162" s="233">
        <f t="shared" si="5"/>
        <v>6.3015121364237592E-2</v>
      </c>
    </row>
    <row r="163" spans="1:13">
      <c r="A163" s="254">
        <v>41030</v>
      </c>
      <c r="B163" s="249">
        <f>'[11]CoS 2017 Load History'!H201</f>
        <v>10124589.529999997</v>
      </c>
      <c r="C163" s="269">
        <f>'Weather Data'!B259</f>
        <v>227.10000000000002</v>
      </c>
      <c r="D163" s="270">
        <f>'Weather Data'!C259</f>
        <v>0</v>
      </c>
      <c r="E163" s="256">
        <v>31</v>
      </c>
      <c r="F163" s="256">
        <v>1</v>
      </c>
      <c r="G163" s="256">
        <f>'CDM Activity'!O95</f>
        <v>272701.59441859863</v>
      </c>
      <c r="H163" s="259">
        <v>143.41617869627913</v>
      </c>
      <c r="I163" s="272">
        <f>'[11]CoS 2017 Load History'!J201</f>
        <v>4488</v>
      </c>
      <c r="J163" s="256">
        <v>352</v>
      </c>
      <c r="K163" s="273">
        <f t="shared" si="3"/>
        <v>10231120.617516667</v>
      </c>
      <c r="L163" s="232">
        <f t="shared" si="4"/>
        <v>106531.08751666918</v>
      </c>
      <c r="M163" s="233">
        <f t="shared" si="5"/>
        <v>1.0522015455639831E-2</v>
      </c>
    </row>
    <row r="164" spans="1:13">
      <c r="A164" s="254">
        <v>41061</v>
      </c>
      <c r="B164" s="249">
        <f>'[11]CoS 2017 Load History'!H202</f>
        <v>10192835.750000022</v>
      </c>
      <c r="C164" s="269">
        <f>'Weather Data'!B260</f>
        <v>64.900000000000006</v>
      </c>
      <c r="D164" s="270">
        <f>'Weather Data'!C260</f>
        <v>18.399999999999999</v>
      </c>
      <c r="E164" s="256">
        <v>30</v>
      </c>
      <c r="F164" s="256">
        <v>0</v>
      </c>
      <c r="G164" s="256">
        <f>'CDM Activity'!O96</f>
        <v>280822.37103161548</v>
      </c>
      <c r="H164" s="259">
        <v>143.61778554384387</v>
      </c>
      <c r="I164" s="272">
        <f>'[11]CoS 2017 Load History'!J202</f>
        <v>4490</v>
      </c>
      <c r="J164" s="256">
        <v>336</v>
      </c>
      <c r="K164" s="273">
        <f t="shared" si="3"/>
        <v>10135944.329644693</v>
      </c>
      <c r="L164" s="232">
        <f t="shared" si="4"/>
        <v>-56891.42035532929</v>
      </c>
      <c r="M164" s="233">
        <f t="shared" si="5"/>
        <v>5.5815105580730232E-3</v>
      </c>
    </row>
    <row r="165" spans="1:13">
      <c r="A165" s="254">
        <v>41091</v>
      </c>
      <c r="B165" s="249">
        <f>'[11]CoS 2017 Load History'!H203</f>
        <v>11177893.739999993</v>
      </c>
      <c r="C165" s="269">
        <f>'Weather Data'!B261</f>
        <v>6.8</v>
      </c>
      <c r="D165" s="270">
        <f>'Weather Data'!C261</f>
        <v>66.5</v>
      </c>
      <c r="E165" s="256">
        <v>31</v>
      </c>
      <c r="F165" s="256">
        <v>0</v>
      </c>
      <c r="G165" s="256">
        <f>'CDM Activity'!O97</f>
        <v>288943.14764463232</v>
      </c>
      <c r="H165" s="259">
        <v>143.81967579960809</v>
      </c>
      <c r="I165" s="272">
        <f>'[11]CoS 2017 Load History'!J203</f>
        <v>4504</v>
      </c>
      <c r="J165" s="256">
        <v>336</v>
      </c>
      <c r="K165" s="273">
        <f t="shared" si="3"/>
        <v>11164930.618084656</v>
      </c>
      <c r="L165" s="232">
        <f t="shared" si="4"/>
        <v>-12963.121915336698</v>
      </c>
      <c r="M165" s="233">
        <f t="shared" si="5"/>
        <v>1.1597106053127238E-3</v>
      </c>
    </row>
    <row r="166" spans="1:13">
      <c r="A166" s="254">
        <v>41122</v>
      </c>
      <c r="B166" s="249">
        <f>'[11]CoS 2017 Load History'!H204</f>
        <v>10815121.590000007</v>
      </c>
      <c r="C166" s="269">
        <f>'Weather Data'!B262</f>
        <v>38.499999999999986</v>
      </c>
      <c r="D166" s="270">
        <f>'Weather Data'!C262</f>
        <v>27.7</v>
      </c>
      <c r="E166" s="256">
        <v>31</v>
      </c>
      <c r="F166" s="256">
        <v>0</v>
      </c>
      <c r="G166" s="256">
        <f>'CDM Activity'!O98</f>
        <v>297063.92425764917</v>
      </c>
      <c r="H166" s="259">
        <v>144.02184986197204</v>
      </c>
      <c r="I166" s="272">
        <f>'[11]CoS 2017 Load History'!J204</f>
        <v>4503</v>
      </c>
      <c r="J166" s="256">
        <v>352</v>
      </c>
      <c r="K166" s="273">
        <f t="shared" si="3"/>
        <v>10489915.81111843</v>
      </c>
      <c r="L166" s="232">
        <f t="shared" si="4"/>
        <v>-325205.77888157777</v>
      </c>
      <c r="M166" s="233">
        <f t="shared" si="5"/>
        <v>3.006954440366838E-2</v>
      </c>
    </row>
    <row r="167" spans="1:13">
      <c r="A167" s="254">
        <v>41153</v>
      </c>
      <c r="B167" s="249">
        <f>'[11]CoS 2017 Load History'!H205</f>
        <v>9852554.6300000139</v>
      </c>
      <c r="C167" s="269">
        <f>'Weather Data'!B263</f>
        <v>213.49999999999997</v>
      </c>
      <c r="D167" s="270">
        <f>'Weather Data'!C263</f>
        <v>4</v>
      </c>
      <c r="E167" s="256">
        <v>30</v>
      </c>
      <c r="F167" s="256">
        <v>1</v>
      </c>
      <c r="G167" s="256">
        <f>'CDM Activity'!O99</f>
        <v>305184.70087066601</v>
      </c>
      <c r="H167" s="259">
        <v>144.22430812989595</v>
      </c>
      <c r="I167" s="272">
        <f>'[11]CoS 2017 Load History'!J205</f>
        <v>4504</v>
      </c>
      <c r="J167" s="256">
        <v>304</v>
      </c>
      <c r="K167" s="273">
        <f t="shared" si="3"/>
        <v>9960137.5426255912</v>
      </c>
      <c r="L167" s="232">
        <f t="shared" si="4"/>
        <v>107582.9126255773</v>
      </c>
      <c r="M167" s="233">
        <f t="shared" si="5"/>
        <v>1.0919291155006481E-2</v>
      </c>
    </row>
    <row r="168" spans="1:13">
      <c r="A168" s="254">
        <v>41183</v>
      </c>
      <c r="B168" s="249">
        <f>'[11]CoS 2017 Load History'!H206</f>
        <v>10546419.660000006</v>
      </c>
      <c r="C168" s="269">
        <f>'Weather Data'!B264</f>
        <v>395.80000000000007</v>
      </c>
      <c r="D168" s="270">
        <f>'Weather Data'!C264</f>
        <v>0</v>
      </c>
      <c r="E168" s="256">
        <v>31</v>
      </c>
      <c r="F168" s="256">
        <v>1</v>
      </c>
      <c r="G168" s="256">
        <f>'CDM Activity'!O100</f>
        <v>313305.47748368286</v>
      </c>
      <c r="H168" s="259">
        <v>144.42705100290087</v>
      </c>
      <c r="I168" s="272">
        <f>'[11]CoS 2017 Load History'!J206</f>
        <v>4509</v>
      </c>
      <c r="J168" s="256">
        <v>352</v>
      </c>
      <c r="K168" s="273">
        <f t="shared" si="3"/>
        <v>10952974.69583727</v>
      </c>
      <c r="L168" s="232">
        <f t="shared" si="4"/>
        <v>406555.03583726473</v>
      </c>
      <c r="M168" s="233">
        <f t="shared" si="5"/>
        <v>3.8549104714581832E-2</v>
      </c>
    </row>
    <row r="169" spans="1:13">
      <c r="A169" s="254">
        <v>41214</v>
      </c>
      <c r="B169" s="249">
        <f>'[11]CoS 2017 Load History'!H207</f>
        <v>11363637.410000011</v>
      </c>
      <c r="C169" s="269">
        <f>'Weather Data'!B265</f>
        <v>600.80000000000007</v>
      </c>
      <c r="D169" s="270">
        <f>'Weather Data'!C265</f>
        <v>0</v>
      </c>
      <c r="E169" s="256">
        <v>30</v>
      </c>
      <c r="F169" s="256">
        <v>1</v>
      </c>
      <c r="G169" s="256">
        <f>'CDM Activity'!O101</f>
        <v>321426.2540966997</v>
      </c>
      <c r="H169" s="259">
        <v>144.63007888106955</v>
      </c>
      <c r="I169" s="272">
        <f>'[11]CoS 2017 Load History'!J207</f>
        <v>4522</v>
      </c>
      <c r="J169" s="256">
        <v>352</v>
      </c>
      <c r="K169" s="273">
        <f t="shared" si="3"/>
        <v>11565045.284461219</v>
      </c>
      <c r="L169" s="232">
        <f t="shared" si="4"/>
        <v>201407.87446120754</v>
      </c>
      <c r="M169" s="233">
        <f t="shared" si="5"/>
        <v>1.7723891320570333E-2</v>
      </c>
    </row>
    <row r="170" spans="1:13">
      <c r="A170" s="254">
        <v>41244</v>
      </c>
      <c r="B170" s="249">
        <f>'[11]CoS 2017 Load History'!H208</f>
        <v>12733993.179999996</v>
      </c>
      <c r="C170" s="269">
        <f>'Weather Data'!B266</f>
        <v>793.69999999999993</v>
      </c>
      <c r="D170" s="270">
        <f>'Weather Data'!C266</f>
        <v>0</v>
      </c>
      <c r="E170" s="256">
        <v>31</v>
      </c>
      <c r="F170" s="256">
        <v>0</v>
      </c>
      <c r="G170" s="256">
        <f>'CDM Activity'!O102</f>
        <v>329547.03070971655</v>
      </c>
      <c r="H170" s="259">
        <v>144.83339216504706</v>
      </c>
      <c r="I170" s="272">
        <f>'[11]CoS 2017 Load History'!J208</f>
        <v>4517</v>
      </c>
      <c r="J170" s="256">
        <v>304</v>
      </c>
      <c r="K170" s="273">
        <f t="shared" si="3"/>
        <v>13203334.339904943</v>
      </c>
      <c r="L170" s="232">
        <f t="shared" si="4"/>
        <v>469341.1599049475</v>
      </c>
      <c r="M170" s="233">
        <f t="shared" si="5"/>
        <v>3.6857343432702201E-2</v>
      </c>
    </row>
    <row r="171" spans="1:13">
      <c r="A171" s="254">
        <v>41275</v>
      </c>
      <c r="B171" s="249">
        <f>'[11]CoS 2017 Load History'!H209</f>
        <v>13858539.170000002</v>
      </c>
      <c r="C171" s="269">
        <f>'Weather Data'!B267</f>
        <v>928.40000000000009</v>
      </c>
      <c r="D171" s="270">
        <f>'Weather Data'!C267</f>
        <v>0</v>
      </c>
      <c r="E171" s="256">
        <v>31</v>
      </c>
      <c r="F171" s="256">
        <v>0</v>
      </c>
      <c r="G171" s="256">
        <f>'CDM Activity'!O103</f>
        <v>339841.87623560027</v>
      </c>
      <c r="H171" s="259">
        <v>144.98936781896037</v>
      </c>
      <c r="I171" s="272">
        <f>'[11]CoS 2017 Load History'!J209</f>
        <v>4521</v>
      </c>
      <c r="J171" s="256">
        <v>352</v>
      </c>
      <c r="K171" s="273">
        <f t="shared" si="3"/>
        <v>13783981.497696038</v>
      </c>
      <c r="L171" s="232">
        <f t="shared" si="4"/>
        <v>-74557.672303963453</v>
      </c>
      <c r="M171" s="233">
        <f t="shared" si="5"/>
        <v>5.379908472991201E-3</v>
      </c>
    </row>
    <row r="172" spans="1:13">
      <c r="A172" s="254">
        <v>41306</v>
      </c>
      <c r="B172" s="249">
        <f>'[11]CoS 2017 Load History'!H210</f>
        <v>12389058.759999994</v>
      </c>
      <c r="C172" s="269">
        <f>'Weather Data'!B268</f>
        <v>866.59999999999991</v>
      </c>
      <c r="D172" s="270">
        <f>'Weather Data'!C268</f>
        <v>0</v>
      </c>
      <c r="E172" s="256">
        <v>28</v>
      </c>
      <c r="F172" s="256">
        <v>0</v>
      </c>
      <c r="G172" s="256">
        <f>'CDM Activity'!O104</f>
        <v>350136.72176148399</v>
      </c>
      <c r="H172" s="259">
        <v>145.14551144798114</v>
      </c>
      <c r="I172" s="272">
        <f>'[11]CoS 2017 Load History'!J210</f>
        <v>4521</v>
      </c>
      <c r="J172" s="256">
        <v>304</v>
      </c>
      <c r="K172" s="273">
        <f t="shared" si="3"/>
        <v>12659165.021241525</v>
      </c>
      <c r="L172" s="232">
        <f t="shared" si="4"/>
        <v>270106.261241531</v>
      </c>
      <c r="M172" s="233">
        <f t="shared" si="5"/>
        <v>2.1802000174025418E-2</v>
      </c>
    </row>
    <row r="173" spans="1:13">
      <c r="A173" s="254">
        <v>41334</v>
      </c>
      <c r="B173" s="249">
        <f>'[11]CoS 2017 Load History'!H211</f>
        <v>12426306.059999997</v>
      </c>
      <c r="C173" s="269">
        <f>'Weather Data'!B269</f>
        <v>767.3</v>
      </c>
      <c r="D173" s="270">
        <f>'Weather Data'!C269</f>
        <v>0</v>
      </c>
      <c r="E173" s="256">
        <v>31</v>
      </c>
      <c r="F173" s="256">
        <v>1</v>
      </c>
      <c r="G173" s="256">
        <f>'CDM Activity'!O105</f>
        <v>360431.56728736771</v>
      </c>
      <c r="H173" s="259">
        <v>145.30182323300707</v>
      </c>
      <c r="I173" s="272">
        <f>'[11]CoS 2017 Load History'!J211</f>
        <v>4519</v>
      </c>
      <c r="J173" s="256">
        <v>320</v>
      </c>
      <c r="K173" s="273">
        <f t="shared" si="3"/>
        <v>12545786.742120262</v>
      </c>
      <c r="L173" s="232">
        <f t="shared" si="4"/>
        <v>119480.68212026544</v>
      </c>
      <c r="M173" s="233">
        <f t="shared" si="5"/>
        <v>9.6151407782294283E-3</v>
      </c>
    </row>
    <row r="174" spans="1:13">
      <c r="A174" s="254">
        <v>41365</v>
      </c>
      <c r="B174" s="249">
        <f>'[11]CoS 2017 Load History'!H212</f>
        <v>11024965.649999976</v>
      </c>
      <c r="C174" s="269">
        <f>'Weather Data'!B270</f>
        <v>524.79999999999995</v>
      </c>
      <c r="D174" s="270">
        <f>'Weather Data'!C270</f>
        <v>0</v>
      </c>
      <c r="E174" s="256">
        <v>30</v>
      </c>
      <c r="F174" s="256">
        <v>1</v>
      </c>
      <c r="G174" s="256">
        <f>'CDM Activity'!O106</f>
        <v>370726.41281325143</v>
      </c>
      <c r="H174" s="259">
        <v>145.45830335513068</v>
      </c>
      <c r="I174" s="272">
        <f>'[11]CoS 2017 Load History'!J212</f>
        <v>4518</v>
      </c>
      <c r="J174" s="256">
        <v>352</v>
      </c>
      <c r="K174" s="273">
        <f t="shared" si="3"/>
        <v>11193851.009648431</v>
      </c>
      <c r="L174" s="232">
        <f t="shared" si="4"/>
        <v>168885.35964845493</v>
      </c>
      <c r="M174" s="233">
        <f t="shared" si="5"/>
        <v>1.5318447694978107E-2</v>
      </c>
    </row>
    <row r="175" spans="1:13">
      <c r="A175" s="254">
        <v>41395</v>
      </c>
      <c r="B175" s="249">
        <f>'[11]CoS 2017 Load History'!H213</f>
        <v>10309404.160000015</v>
      </c>
      <c r="C175" s="269">
        <f>'Weather Data'!B271</f>
        <v>325.3</v>
      </c>
      <c r="D175" s="270">
        <f>'Weather Data'!C271</f>
        <v>0</v>
      </c>
      <c r="E175" s="256">
        <v>31</v>
      </c>
      <c r="F175" s="256">
        <v>1</v>
      </c>
      <c r="G175" s="256">
        <f>'CDM Activity'!O107</f>
        <v>381021.25833913515</v>
      </c>
      <c r="H175" s="259">
        <v>145.6149519956395</v>
      </c>
      <c r="I175" s="272">
        <f>'[11]CoS 2017 Load History'!J213</f>
        <v>4520</v>
      </c>
      <c r="J175" s="256">
        <v>352</v>
      </c>
      <c r="K175" s="273">
        <f t="shared" si="3"/>
        <v>10593783.165312186</v>
      </c>
      <c r="L175" s="232">
        <f t="shared" si="4"/>
        <v>284379.00531217083</v>
      </c>
      <c r="M175" s="233">
        <f t="shared" si="5"/>
        <v>2.7584426888175313E-2</v>
      </c>
    </row>
    <row r="176" spans="1:13">
      <c r="A176" s="254">
        <v>41426</v>
      </c>
      <c r="B176" s="249">
        <f>'[11]CoS 2017 Load History'!H214</f>
        <v>9706763.5499999914</v>
      </c>
      <c r="C176" s="269">
        <f>'Weather Data'!B272</f>
        <v>130.9</v>
      </c>
      <c r="D176" s="270">
        <f>'Weather Data'!C272</f>
        <v>5.5</v>
      </c>
      <c r="E176" s="256">
        <v>30</v>
      </c>
      <c r="F176" s="256">
        <v>0</v>
      </c>
      <c r="G176" s="256">
        <f>'CDM Activity'!O108</f>
        <v>391316.10386501887</v>
      </c>
      <c r="H176" s="259">
        <v>145.77176933601632</v>
      </c>
      <c r="I176" s="272">
        <f>'[11]CoS 2017 Load History'!J214</f>
        <v>4519</v>
      </c>
      <c r="J176" s="256">
        <v>320</v>
      </c>
      <c r="K176" s="273">
        <f t="shared" si="3"/>
        <v>10082734.628429387</v>
      </c>
      <c r="L176" s="232">
        <f t="shared" si="4"/>
        <v>375971.07842939533</v>
      </c>
      <c r="M176" s="233">
        <f t="shared" si="5"/>
        <v>3.8732897581439045E-2</v>
      </c>
    </row>
    <row r="177" spans="1:13">
      <c r="A177" s="254">
        <v>41456</v>
      </c>
      <c r="B177" s="249">
        <f>'[11]CoS 2017 Load History'!H215</f>
        <v>10209088.470000006</v>
      </c>
      <c r="C177" s="269">
        <f>'Weather Data'!B273</f>
        <v>60.7</v>
      </c>
      <c r="D177" s="270">
        <f>'Weather Data'!C273</f>
        <v>28.000000000000007</v>
      </c>
      <c r="E177" s="256">
        <v>31</v>
      </c>
      <c r="F177" s="256">
        <v>0</v>
      </c>
      <c r="G177" s="256">
        <f>'CDM Activity'!O109</f>
        <v>401610.94939090259</v>
      </c>
      <c r="H177" s="259">
        <v>145.92875555793933</v>
      </c>
      <c r="I177" s="272">
        <f>'[11]CoS 2017 Load History'!J215</f>
        <v>4527</v>
      </c>
      <c r="J177" s="256">
        <v>352</v>
      </c>
      <c r="K177" s="273">
        <f t="shared" si="3"/>
        <v>10518529.738159712</v>
      </c>
      <c r="L177" s="232">
        <f t="shared" si="4"/>
        <v>309441.26815970615</v>
      </c>
      <c r="M177" s="233">
        <f t="shared" si="5"/>
        <v>3.0310371887658442E-2</v>
      </c>
    </row>
    <row r="178" spans="1:13">
      <c r="A178" s="254">
        <v>41487</v>
      </c>
      <c r="B178" s="249">
        <f>'[11]CoS 2017 Load History'!H216</f>
        <v>10283952.329999983</v>
      </c>
      <c r="C178" s="269">
        <f>'Weather Data'!B274</f>
        <v>45.8</v>
      </c>
      <c r="D178" s="270">
        <f>'Weather Data'!C274</f>
        <v>41.8</v>
      </c>
      <c r="E178" s="256">
        <v>31</v>
      </c>
      <c r="F178" s="256">
        <v>0</v>
      </c>
      <c r="G178" s="256">
        <f>'CDM Activity'!O110</f>
        <v>411905.79491678631</v>
      </c>
      <c r="H178" s="259">
        <v>146.08591084328242</v>
      </c>
      <c r="I178" s="272">
        <f>'[11]CoS 2017 Load History'!J216</f>
        <v>4534</v>
      </c>
      <c r="J178" s="256">
        <v>336</v>
      </c>
      <c r="K178" s="273">
        <f t="shared" si="3"/>
        <v>10732781.92841192</v>
      </c>
      <c r="L178" s="232">
        <f t="shared" si="4"/>
        <v>448829.59841193631</v>
      </c>
      <c r="M178" s="233">
        <f t="shared" si="5"/>
        <v>4.3643687174883768E-2</v>
      </c>
    </row>
    <row r="179" spans="1:13">
      <c r="A179" s="254">
        <v>41518</v>
      </c>
      <c r="B179" s="249">
        <f>'[11]CoS 2017 Load History'!H217</f>
        <v>9712165.490000017</v>
      </c>
      <c r="C179" s="269">
        <f>'Weather Data'!B275</f>
        <v>178.79999999999995</v>
      </c>
      <c r="D179" s="270">
        <f>'Weather Data'!C275</f>
        <v>0</v>
      </c>
      <c r="E179" s="256">
        <v>30</v>
      </c>
      <c r="F179" s="256">
        <v>1</v>
      </c>
      <c r="G179" s="256">
        <f>'CDM Activity'!O111</f>
        <v>422200.64044267003</v>
      </c>
      <c r="H179" s="259">
        <v>146.2432353741153</v>
      </c>
      <c r="I179" s="272">
        <f>'[11]CoS 2017 Load History'!J217</f>
        <v>4529</v>
      </c>
      <c r="J179" s="256">
        <v>320</v>
      </c>
      <c r="K179" s="273">
        <f t="shared" si="3"/>
        <v>9635608.8194996994</v>
      </c>
      <c r="L179" s="232">
        <f t="shared" si="4"/>
        <v>-76556.670500317588</v>
      </c>
      <c r="M179" s="233">
        <f t="shared" si="5"/>
        <v>7.8825541614939536E-3</v>
      </c>
    </row>
    <row r="180" spans="1:13">
      <c r="A180" s="254">
        <v>41548</v>
      </c>
      <c r="B180" s="249">
        <f>'[11]CoS 2017 Load History'!H218</f>
        <v>10365605.60761201</v>
      </c>
      <c r="C180" s="269">
        <f>'Weather Data'!B276</f>
        <v>328.50000000000006</v>
      </c>
      <c r="D180" s="270">
        <f>'Weather Data'!C276</f>
        <v>0</v>
      </c>
      <c r="E180" s="256">
        <v>31</v>
      </c>
      <c r="F180" s="256">
        <v>1</v>
      </c>
      <c r="G180" s="256">
        <f>'CDM Activity'!O112</f>
        <v>432495.48596855375</v>
      </c>
      <c r="H180" s="259">
        <v>146.4007293327038</v>
      </c>
      <c r="I180" s="272">
        <f>'[11]CoS 2017 Load History'!J218</f>
        <v>4526</v>
      </c>
      <c r="J180" s="256">
        <v>352</v>
      </c>
      <c r="K180" s="273">
        <f t="shared" si="3"/>
        <v>10563810.414144367</v>
      </c>
      <c r="L180" s="232">
        <f t="shared" si="4"/>
        <v>198204.80653235689</v>
      </c>
      <c r="M180" s="233">
        <f t="shared" si="5"/>
        <v>1.9121391844853199E-2</v>
      </c>
    </row>
    <row r="181" spans="1:13">
      <c r="A181" s="254">
        <v>41579</v>
      </c>
      <c r="B181" s="249">
        <f>'[11]CoS 2017 Load History'!H219</f>
        <v>11761751.932388004</v>
      </c>
      <c r="C181" s="269">
        <f>'Weather Data'!B277</f>
        <v>620.6</v>
      </c>
      <c r="D181" s="270">
        <f>'Weather Data'!C277</f>
        <v>0</v>
      </c>
      <c r="E181" s="256">
        <v>30</v>
      </c>
      <c r="F181" s="256">
        <v>1</v>
      </c>
      <c r="G181" s="256">
        <f>'CDM Activity'!O113</f>
        <v>442790.33149443747</v>
      </c>
      <c r="H181" s="259">
        <v>146.55839290151005</v>
      </c>
      <c r="I181" s="272">
        <f>'[11]CoS 2017 Load History'!J219</f>
        <v>4547</v>
      </c>
      <c r="J181" s="256">
        <v>336</v>
      </c>
      <c r="K181" s="273">
        <f t="shared" si="3"/>
        <v>11551539.740069631</v>
      </c>
      <c r="L181" s="232">
        <f t="shared" si="4"/>
        <v>-210212.19231837243</v>
      </c>
      <c r="M181" s="233">
        <f t="shared" si="5"/>
        <v>1.7872523883071964E-2</v>
      </c>
    </row>
    <row r="182" spans="1:13">
      <c r="A182" s="254">
        <v>41609</v>
      </c>
      <c r="B182" s="249">
        <f>'[11]CoS 2017 Load History'!H220</f>
        <v>14283584.430000007</v>
      </c>
      <c r="C182" s="269">
        <f>'Weather Data'!B278</f>
        <v>1112.8999999999999</v>
      </c>
      <c r="D182" s="270">
        <f>'Weather Data'!C278</f>
        <v>0</v>
      </c>
      <c r="E182" s="256">
        <v>31</v>
      </c>
      <c r="F182" s="256">
        <v>0</v>
      </c>
      <c r="G182" s="256">
        <f>'CDM Activity'!O114</f>
        <v>453085.17702032119</v>
      </c>
      <c r="H182" s="259">
        <v>146.71622626319265</v>
      </c>
      <c r="I182" s="272">
        <f>'[11]CoS 2017 Load History'!J220</f>
        <v>4552</v>
      </c>
      <c r="J182" s="256">
        <v>320</v>
      </c>
      <c r="K182" s="273">
        <f t="shared" si="3"/>
        <v>14494586.451001467</v>
      </c>
      <c r="L182" s="232">
        <f t="shared" si="4"/>
        <v>211002.02100146003</v>
      </c>
      <c r="M182" s="233">
        <f t="shared" si="5"/>
        <v>1.4772343877373638E-2</v>
      </c>
    </row>
    <row r="183" spans="1:13">
      <c r="A183" s="254">
        <v>41640</v>
      </c>
      <c r="B183" s="249">
        <f>'[11]CoS 2017 Load History'!H221</f>
        <v>15069643.829999994</v>
      </c>
      <c r="C183" s="269">
        <f>'Weather Data'!B279</f>
        <v>1119.5999999999997</v>
      </c>
      <c r="D183" s="270">
        <f>'Weather Data'!C279</f>
        <v>0</v>
      </c>
      <c r="E183" s="256">
        <v>31</v>
      </c>
      <c r="F183" s="256">
        <v>0</v>
      </c>
      <c r="G183" s="256">
        <f>'CDM Activity'!O115</f>
        <v>463660.06694427686</v>
      </c>
      <c r="H183" s="259">
        <v>147.04232175221028</v>
      </c>
      <c r="I183" s="272">
        <f>'[11]CoS 2017 Load History'!J221</f>
        <v>4555</v>
      </c>
      <c r="J183" s="276">
        <v>352</v>
      </c>
      <c r="K183" s="273">
        <f t="shared" si="3"/>
        <v>14522558.431829385</v>
      </c>
      <c r="L183" s="232">
        <f t="shared" si="4"/>
        <v>-547085.39817060903</v>
      </c>
      <c r="M183" s="233">
        <f t="shared" si="5"/>
        <v>3.6303804147082432E-2</v>
      </c>
    </row>
    <row r="184" spans="1:13">
      <c r="A184" s="254">
        <v>41671</v>
      </c>
      <c r="B184" s="249">
        <f>'[11]CoS 2017 Load History'!H222</f>
        <v>13186660.869999997</v>
      </c>
      <c r="C184" s="269">
        <f>'Weather Data'!B280</f>
        <v>978.39999999999986</v>
      </c>
      <c r="D184" s="270">
        <f>'Weather Data'!C280</f>
        <v>0</v>
      </c>
      <c r="E184" s="256">
        <v>28</v>
      </c>
      <c r="F184" s="256">
        <v>0</v>
      </c>
      <c r="G184" s="256">
        <f>'CDM Activity'!O116</f>
        <v>474234.95686823252</v>
      </c>
      <c r="H184" s="259">
        <v>147.36914202996238</v>
      </c>
      <c r="I184" s="272">
        <f>'[11]CoS 2017 Load History'!J222</f>
        <v>4563</v>
      </c>
      <c r="J184" s="276">
        <v>304</v>
      </c>
      <c r="K184" s="273">
        <f t="shared" si="3"/>
        <v>13057784.567466643</v>
      </c>
      <c r="L184" s="232">
        <f t="shared" si="4"/>
        <v>-128876.30253335461</v>
      </c>
      <c r="M184" s="233">
        <f t="shared" si="5"/>
        <v>9.7732324963745454E-3</v>
      </c>
    </row>
    <row r="185" spans="1:13">
      <c r="A185" s="254">
        <v>41699</v>
      </c>
      <c r="B185" s="249">
        <f>'[11]CoS 2017 Load History'!H223</f>
        <v>13248227.95999999</v>
      </c>
      <c r="C185" s="269">
        <f>'Weather Data'!B281</f>
        <v>883.5</v>
      </c>
      <c r="D185" s="270">
        <f>'Weather Data'!C281</f>
        <v>0</v>
      </c>
      <c r="E185" s="256">
        <v>31</v>
      </c>
      <c r="F185" s="256">
        <v>1</v>
      </c>
      <c r="G185" s="256">
        <f>'CDM Activity'!O117</f>
        <v>484809.84679218818</v>
      </c>
      <c r="H185" s="259">
        <v>147.69668870738414</v>
      </c>
      <c r="I185" s="272">
        <f>'[11]CoS 2017 Load History'!J223</f>
        <v>4567.5</v>
      </c>
      <c r="J185" s="276">
        <v>336</v>
      </c>
      <c r="K185" s="273">
        <f t="shared" si="3"/>
        <v>12971215.139879409</v>
      </c>
      <c r="L185" s="232">
        <f t="shared" si="4"/>
        <v>-277012.82012058049</v>
      </c>
      <c r="M185" s="233">
        <f t="shared" si="5"/>
        <v>2.0909424336368432E-2</v>
      </c>
    </row>
    <row r="186" spans="1:13">
      <c r="A186" s="254">
        <v>41730</v>
      </c>
      <c r="B186" s="249">
        <f>'[11]CoS 2017 Load History'!H224</f>
        <v>11070615.160000008</v>
      </c>
      <c r="C186" s="269">
        <f>'Weather Data'!B282</f>
        <v>522.9</v>
      </c>
      <c r="D186" s="270">
        <f>'Weather Data'!C282</f>
        <v>0</v>
      </c>
      <c r="E186" s="256">
        <v>30</v>
      </c>
      <c r="F186" s="256">
        <v>1</v>
      </c>
      <c r="G186" s="256">
        <f>'CDM Activity'!O118</f>
        <v>495384.73671614385</v>
      </c>
      <c r="H186" s="259">
        <v>148.02496339899133</v>
      </c>
      <c r="I186" s="272">
        <f>'[11]CoS 2017 Load History'!J224</f>
        <v>4568.75</v>
      </c>
      <c r="J186" s="276">
        <v>320</v>
      </c>
      <c r="K186" s="273">
        <f t="shared" si="3"/>
        <v>11110008.498623028</v>
      </c>
      <c r="L186" s="232">
        <f t="shared" si="4"/>
        <v>39393.338623020798</v>
      </c>
      <c r="M186" s="233">
        <f t="shared" si="5"/>
        <v>3.5583694359962535E-3</v>
      </c>
    </row>
    <row r="187" spans="1:13">
      <c r="A187" s="254">
        <v>41760</v>
      </c>
      <c r="B187" s="249">
        <f>'[11]CoS 2017 Load History'!H225</f>
        <v>10484312.049999984</v>
      </c>
      <c r="C187" s="269">
        <f>'Weather Data'!B283</f>
        <v>266.90000000000003</v>
      </c>
      <c r="D187" s="270">
        <f>'Weather Data'!C283</f>
        <v>1.1000000000000001</v>
      </c>
      <c r="E187" s="256">
        <v>31</v>
      </c>
      <c r="F187" s="256">
        <v>1</v>
      </c>
      <c r="G187" s="256">
        <f>'CDM Activity'!O119</f>
        <v>505959.62664009951</v>
      </c>
      <c r="H187" s="259">
        <v>148.35396772288814</v>
      </c>
      <c r="I187" s="272">
        <f>'[11]CoS 2017 Load History'!J225</f>
        <v>4576.875</v>
      </c>
      <c r="J187" s="276">
        <v>336</v>
      </c>
      <c r="K187" s="273">
        <f t="shared" si="3"/>
        <v>10293257.500603365</v>
      </c>
      <c r="L187" s="232">
        <f t="shared" si="4"/>
        <v>-191054.5493966192</v>
      </c>
      <c r="M187" s="233">
        <f t="shared" si="5"/>
        <v>1.8222898029501087E-2</v>
      </c>
    </row>
    <row r="188" spans="1:13">
      <c r="A188" s="254">
        <v>41791</v>
      </c>
      <c r="B188" s="249">
        <f>'[11]CoS 2017 Load History'!H226</f>
        <v>9725922.30999998</v>
      </c>
      <c r="C188" s="269">
        <f>'Weather Data'!B284</f>
        <v>135.19999999999999</v>
      </c>
      <c r="D188" s="270">
        <f>'Weather Data'!C284</f>
        <v>6</v>
      </c>
      <c r="E188" s="256">
        <v>30</v>
      </c>
      <c r="F188" s="256">
        <v>0</v>
      </c>
      <c r="G188" s="256">
        <f>'CDM Activity'!O120</f>
        <v>516534.51656405517</v>
      </c>
      <c r="H188" s="259">
        <v>148.68370330077519</v>
      </c>
      <c r="I188" s="272">
        <f>'[11]CoS 2017 Load History'!J226</f>
        <v>4582.4375</v>
      </c>
      <c r="J188" s="276">
        <v>336</v>
      </c>
      <c r="K188" s="273">
        <f t="shared" si="3"/>
        <v>10051706.160236511</v>
      </c>
      <c r="L188" s="232">
        <f t="shared" si="4"/>
        <v>325783.85023653135</v>
      </c>
      <c r="M188" s="233">
        <f t="shared" si="5"/>
        <v>3.3496447930862816E-2</v>
      </c>
    </row>
    <row r="189" spans="1:13">
      <c r="A189" s="254">
        <v>41821</v>
      </c>
      <c r="B189" s="249">
        <f>'[11]CoS 2017 Load History'!H227</f>
        <v>10271386.640000001</v>
      </c>
      <c r="C189" s="269">
        <f>'Weather Data'!B285</f>
        <v>47.199999999999989</v>
      </c>
      <c r="D189" s="270">
        <f>'Weather Data'!C285</f>
        <v>9.5</v>
      </c>
      <c r="E189" s="256">
        <v>31</v>
      </c>
      <c r="F189" s="256">
        <v>0</v>
      </c>
      <c r="G189" s="256">
        <f>'CDM Activity'!O121</f>
        <v>527109.40648801078</v>
      </c>
      <c r="H189" s="259">
        <v>149.0141717579576</v>
      </c>
      <c r="I189" s="272">
        <f>'[11]CoS 2017 Load History'!J227</f>
        <v>4583.21875</v>
      </c>
      <c r="J189" s="276">
        <v>352</v>
      </c>
      <c r="K189" s="273">
        <f t="shared" si="3"/>
        <v>10020385.825947147</v>
      </c>
      <c r="L189" s="232">
        <f t="shared" si="4"/>
        <v>-251000.81405285373</v>
      </c>
      <c r="M189" s="233">
        <f t="shared" si="5"/>
        <v>2.4436896677161177E-2</v>
      </c>
    </row>
    <row r="190" spans="1:13">
      <c r="A190" s="254">
        <v>41852</v>
      </c>
      <c r="B190" s="249">
        <f>'[11]CoS 2017 Load History'!H228</f>
        <v>10274818.47361199</v>
      </c>
      <c r="C190" s="269">
        <f>'Weather Data'!B286</f>
        <v>65.200000000000017</v>
      </c>
      <c r="D190" s="270">
        <f>'Weather Data'!C286</f>
        <v>10.099999999999998</v>
      </c>
      <c r="E190" s="256">
        <v>31</v>
      </c>
      <c r="F190" s="256">
        <v>0</v>
      </c>
      <c r="G190" s="256">
        <f>'CDM Activity'!O122</f>
        <v>537684.29641196644</v>
      </c>
      <c r="H190" s="259">
        <v>149.34537472335285</v>
      </c>
      <c r="I190" s="272">
        <f>'[11]CoS 2017 Load History'!J228</f>
        <v>4584.109375</v>
      </c>
      <c r="J190" s="276">
        <v>320</v>
      </c>
      <c r="K190" s="273">
        <f t="shared" si="3"/>
        <v>10110582.05881892</v>
      </c>
      <c r="L190" s="232">
        <f t="shared" si="4"/>
        <v>-164236.41479307041</v>
      </c>
      <c r="M190" s="233">
        <f t="shared" si="5"/>
        <v>1.5984361691144804E-2</v>
      </c>
    </row>
    <row r="191" spans="1:13">
      <c r="A191" s="254">
        <v>41883</v>
      </c>
      <c r="B191" s="249">
        <f>'[11]CoS 2017 Load History'!H229</f>
        <v>9762010.9039999936</v>
      </c>
      <c r="C191" s="269">
        <f>'Weather Data'!B287</f>
        <v>196.5</v>
      </c>
      <c r="D191" s="270">
        <f>'Weather Data'!C287</f>
        <v>0</v>
      </c>
      <c r="E191" s="256">
        <v>30</v>
      </c>
      <c r="F191" s="256">
        <v>1</v>
      </c>
      <c r="G191" s="256">
        <f>'CDM Activity'!O123</f>
        <v>548259.1863359221</v>
      </c>
      <c r="H191" s="259">
        <v>149.67731382949896</v>
      </c>
      <c r="I191" s="272">
        <f>'[11]CoS 2017 Load History'!J229</f>
        <v>4584.0546875</v>
      </c>
      <c r="J191" s="276">
        <v>336</v>
      </c>
      <c r="K191" s="273">
        <f t="shared" si="3"/>
        <v>9675832.025233943</v>
      </c>
      <c r="L191" s="232">
        <f t="shared" si="4"/>
        <v>-86178.878766050562</v>
      </c>
      <c r="M191" s="233">
        <f t="shared" si="5"/>
        <v>8.8279842763480908E-3</v>
      </c>
    </row>
    <row r="192" spans="1:13">
      <c r="A192" s="254">
        <v>41913</v>
      </c>
      <c r="B192" s="249">
        <f>'[11]CoS 2017 Load History'!H230</f>
        <v>10634292.331000013</v>
      </c>
      <c r="C192" s="269">
        <f>'Weather Data'!B288</f>
        <v>382.59999999999997</v>
      </c>
      <c r="D192" s="270">
        <f>'Weather Data'!C288</f>
        <v>0</v>
      </c>
      <c r="E192" s="256">
        <v>31</v>
      </c>
      <c r="F192" s="256">
        <v>1</v>
      </c>
      <c r="G192" s="256">
        <f>'CDM Activity'!O124</f>
        <v>558834.07625987777</v>
      </c>
      <c r="H192" s="259">
        <v>150.00999071256246</v>
      </c>
      <c r="I192" s="272">
        <f>'[11]CoS 2017 Load History'!J230</f>
        <v>4587.02734375</v>
      </c>
      <c r="J192" s="276">
        <v>352</v>
      </c>
      <c r="K192" s="273">
        <f t="shared" si="3"/>
        <v>10771070.712203978</v>
      </c>
      <c r="L192" s="232">
        <f t="shared" si="4"/>
        <v>136778.38120396435</v>
      </c>
      <c r="M192" s="233">
        <f t="shared" si="5"/>
        <v>1.2862010648817868E-2</v>
      </c>
    </row>
    <row r="193" spans="1:13">
      <c r="A193" s="254">
        <v>41944</v>
      </c>
      <c r="B193" s="249">
        <f>'[11]CoS 2017 Load History'!H231</f>
        <v>12234413.660000009</v>
      </c>
      <c r="C193" s="269">
        <f>'Weather Data'!B289</f>
        <v>647.79999999999995</v>
      </c>
      <c r="D193" s="270">
        <f>'Weather Data'!C289</f>
        <v>0</v>
      </c>
      <c r="E193" s="256">
        <v>30</v>
      </c>
      <c r="F193" s="256">
        <v>1</v>
      </c>
      <c r="G193" s="256">
        <f>'CDM Activity'!O125</f>
        <v>569408.96618383343</v>
      </c>
      <c r="H193" s="259">
        <v>150.34340701234646</v>
      </c>
      <c r="I193" s="272">
        <f>'[11]CoS 2017 Load History'!J231</f>
        <v>4588.513671875</v>
      </c>
      <c r="J193" s="276">
        <v>304</v>
      </c>
      <c r="K193" s="273">
        <f t="shared" si="3"/>
        <v>11648839.215375815</v>
      </c>
      <c r="L193" s="232">
        <f t="shared" si="4"/>
        <v>-585574.44462419488</v>
      </c>
      <c r="M193" s="233">
        <f t="shared" si="5"/>
        <v>4.786289403788186E-2</v>
      </c>
    </row>
    <row r="194" spans="1:13">
      <c r="A194" s="254">
        <v>41974</v>
      </c>
      <c r="B194" s="249">
        <f>'[11]CoS 2017 Load History'!H232</f>
        <v>13323531.779999984</v>
      </c>
      <c r="C194" s="269">
        <f>'Weather Data'!B290</f>
        <v>780.59999999999991</v>
      </c>
      <c r="D194" s="270">
        <f>'Weather Data'!C290</f>
        <v>0</v>
      </c>
      <c r="E194" s="256">
        <v>31</v>
      </c>
      <c r="F194" s="256">
        <v>0</v>
      </c>
      <c r="G194" s="256">
        <f>'CDM Activity'!O126</f>
        <v>579983.85610778909</v>
      </c>
      <c r="H194" s="259">
        <v>150.67756437229883</v>
      </c>
      <c r="I194" s="272">
        <f>'[11]CoS 2017 Load History'!J232</f>
        <v>4594.2568359375</v>
      </c>
      <c r="J194" s="276">
        <v>336</v>
      </c>
      <c r="K194" s="273">
        <f t="shared" si="3"/>
        <v>13026369.594259705</v>
      </c>
      <c r="L194" s="232">
        <f t="shared" si="4"/>
        <v>-297162.18574027903</v>
      </c>
      <c r="M194" s="233">
        <f t="shared" si="5"/>
        <v>2.2303559645224891E-2</v>
      </c>
    </row>
    <row r="195" spans="1:13">
      <c r="A195" s="254">
        <v>42005</v>
      </c>
      <c r="B195" s="249">
        <f>'[11]CoS 2017 Load History'!H233</f>
        <v>14647867.091999978</v>
      </c>
      <c r="C195" s="269">
        <f>'Weather Data'!B291</f>
        <v>979.49999999999989</v>
      </c>
      <c r="D195" s="270">
        <f>'Weather Data'!C291</f>
        <v>0</v>
      </c>
      <c r="E195" s="256">
        <v>31</v>
      </c>
      <c r="F195" s="256">
        <v>0</v>
      </c>
      <c r="G195" s="256">
        <f>'CDM Activity'!O127</f>
        <v>583771.39550289931</v>
      </c>
      <c r="H195" s="259">
        <v>150.98793548444445</v>
      </c>
      <c r="I195" s="272">
        <f>'[11]CoS 2017 Load History'!J233</f>
        <v>4598.62841796875</v>
      </c>
      <c r="J195" s="276">
        <v>336</v>
      </c>
      <c r="K195" s="273">
        <f t="shared" si="3"/>
        <v>13905381.288946893</v>
      </c>
      <c r="L195" s="232">
        <f t="shared" si="4"/>
        <v>-742485.80305308476</v>
      </c>
      <c r="M195" s="233">
        <f t="shared" si="5"/>
        <v>5.0689004644136754E-2</v>
      </c>
    </row>
    <row r="196" spans="1:13">
      <c r="A196" s="254">
        <v>42036</v>
      </c>
      <c r="B196" s="249">
        <f>'[11]CoS 2017 Load History'!H234</f>
        <v>13318489.569999987</v>
      </c>
      <c r="C196" s="269">
        <f>'Weather Data'!B292</f>
        <v>1053.3</v>
      </c>
      <c r="D196" s="270">
        <f>'Weather Data'!C292</f>
        <v>0</v>
      </c>
      <c r="E196" s="256">
        <v>28</v>
      </c>
      <c r="F196" s="256">
        <v>0</v>
      </c>
      <c r="G196" s="256">
        <f>'CDM Activity'!O128</f>
        <v>587558.93489800952</v>
      </c>
      <c r="H196" s="259">
        <v>151.298945910264</v>
      </c>
      <c r="I196" s="272">
        <f>'[11]CoS 2017 Load History'!J234</f>
        <v>4596.814208984375</v>
      </c>
      <c r="J196" s="276">
        <v>304</v>
      </c>
      <c r="K196" s="273">
        <f t="shared" si="3"/>
        <v>13391424.48870847</v>
      </c>
      <c r="L196" s="232">
        <f t="shared" si="4"/>
        <v>72934.918708482757</v>
      </c>
      <c r="M196" s="233">
        <f t="shared" si="5"/>
        <v>5.4762154766235119E-3</v>
      </c>
    </row>
    <row r="197" spans="1:13">
      <c r="A197" s="254">
        <v>42064</v>
      </c>
      <c r="B197" s="249">
        <f>'[11]CoS 2017 Load History'!H235</f>
        <v>12867283.112000031</v>
      </c>
      <c r="C197" s="269">
        <f>'Weather Data'!B293</f>
        <v>710.39999999999986</v>
      </c>
      <c r="D197" s="270">
        <f>'Weather Data'!C293</f>
        <v>0</v>
      </c>
      <c r="E197" s="256">
        <v>31</v>
      </c>
      <c r="F197" s="256">
        <v>1</v>
      </c>
      <c r="G197" s="256">
        <f>'CDM Activity'!O129</f>
        <v>591346.47429311974</v>
      </c>
      <c r="H197" s="259">
        <v>151.61059696663892</v>
      </c>
      <c r="I197" s="272">
        <f>'[11]CoS 2017 Load History'!J235</f>
        <v>4593.9071044921875</v>
      </c>
      <c r="J197" s="276">
        <v>352</v>
      </c>
      <c r="K197" s="273">
        <f t="shared" si="3"/>
        <v>12229406.712475479</v>
      </c>
      <c r="L197" s="232">
        <f t="shared" si="4"/>
        <v>-637876.39952455275</v>
      </c>
      <c r="M197" s="233">
        <f t="shared" si="5"/>
        <v>4.9573510893660917E-2</v>
      </c>
    </row>
    <row r="198" spans="1:13">
      <c r="A198" s="254">
        <v>42095</v>
      </c>
      <c r="B198" s="249">
        <f>'[11]CoS 2017 Load History'!H236</f>
        <v>10749956.162999995</v>
      </c>
      <c r="C198" s="269">
        <f>'Weather Data'!B294</f>
        <v>432.09999999999997</v>
      </c>
      <c r="D198" s="270">
        <f>'Weather Data'!C294</f>
        <v>0</v>
      </c>
      <c r="E198" s="256">
        <v>30</v>
      </c>
      <c r="F198" s="256">
        <v>1</v>
      </c>
      <c r="G198" s="256">
        <f>'CDM Activity'!O130</f>
        <v>595134.01368822996</v>
      </c>
      <c r="H198" s="259">
        <v>151.92288997316331</v>
      </c>
      <c r="I198" s="272">
        <f>'[11]CoS 2017 Load History'!J236</f>
        <v>4593.4535522460937</v>
      </c>
      <c r="J198" s="276">
        <v>336</v>
      </c>
      <c r="K198" s="273">
        <f t="shared" si="3"/>
        <v>10738264.21499528</v>
      </c>
      <c r="L198" s="232">
        <f t="shared" si="4"/>
        <v>-11691.948004715145</v>
      </c>
      <c r="M198" s="233">
        <f t="shared" si="5"/>
        <v>1.0876275053992655E-3</v>
      </c>
    </row>
    <row r="199" spans="1:13">
      <c r="A199" s="254">
        <v>42125</v>
      </c>
      <c r="B199" s="249">
        <f>'[11]CoS 2017 Load History'!H237</f>
        <v>10401377.499999981</v>
      </c>
      <c r="C199" s="269">
        <f>'Weather Data'!B295</f>
        <v>276</v>
      </c>
      <c r="D199" s="270">
        <f>'Weather Data'!C295</f>
        <v>0</v>
      </c>
      <c r="E199" s="256">
        <v>31</v>
      </c>
      <c r="F199" s="256">
        <v>1</v>
      </c>
      <c r="G199" s="256">
        <f>'CDM Activity'!O131</f>
        <v>598921.55308334017</v>
      </c>
      <c r="H199" s="259">
        <v>152.23582625214937</v>
      </c>
      <c r="I199" s="272">
        <f>'[11]CoS 2017 Load History'!J237</f>
        <v>4596.2267761230469</v>
      </c>
      <c r="J199" s="276">
        <v>320</v>
      </c>
      <c r="K199" s="273">
        <f t="shared" si="3"/>
        <v>10345620.625749724</v>
      </c>
      <c r="L199" s="232">
        <f t="shared" si="4"/>
        <v>-55756.874250257388</v>
      </c>
      <c r="M199" s="233">
        <f t="shared" si="5"/>
        <v>5.3605278964500127E-3</v>
      </c>
    </row>
    <row r="200" spans="1:13">
      <c r="A200" s="254">
        <v>42156</v>
      </c>
      <c r="B200" s="249">
        <f>'[11]CoS 2017 Load History'!H238</f>
        <v>9938325.0499999654</v>
      </c>
      <c r="C200" s="269">
        <f>'Weather Data'!B296</f>
        <v>118.60000000000004</v>
      </c>
      <c r="D200" s="270">
        <f>'Weather Data'!C296</f>
        <v>0</v>
      </c>
      <c r="E200" s="256">
        <v>30</v>
      </c>
      <c r="F200" s="256">
        <v>0</v>
      </c>
      <c r="G200" s="256">
        <f>'CDM Activity'!O132</f>
        <v>602709.09247845039</v>
      </c>
      <c r="H200" s="259">
        <v>152.54940712863302</v>
      </c>
      <c r="I200" s="272">
        <f>'[11]CoS 2017 Load History'!J238</f>
        <v>4605.6133880615234</v>
      </c>
      <c r="J200" s="276">
        <v>352</v>
      </c>
      <c r="K200" s="273">
        <f t="shared" si="3"/>
        <v>9899125.2752409596</v>
      </c>
      <c r="L200" s="232">
        <f t="shared" si="4"/>
        <v>-39199.774759005755</v>
      </c>
      <c r="M200" s="233">
        <f t="shared" si="5"/>
        <v>3.9443039507956017E-3</v>
      </c>
    </row>
    <row r="201" spans="1:13">
      <c r="A201" s="254">
        <v>42186</v>
      </c>
      <c r="B201" s="249">
        <f>'[11]CoS 2017 Load History'!H239</f>
        <v>10626013.119000008</v>
      </c>
      <c r="C201" s="269">
        <f>'Weather Data'!B297</f>
        <v>31.7</v>
      </c>
      <c r="D201" s="270">
        <f>'Weather Data'!C297</f>
        <v>38.000000000000007</v>
      </c>
      <c r="E201" s="256">
        <v>31</v>
      </c>
      <c r="F201" s="256">
        <v>0</v>
      </c>
      <c r="G201" s="256">
        <f>'CDM Activity'!O133</f>
        <v>606496.6318735606</v>
      </c>
      <c r="H201" s="259">
        <v>152.86363393037959</v>
      </c>
      <c r="I201" s="272">
        <f>'[11]CoS 2017 Load History'!J239</f>
        <v>4610.8066940307617</v>
      </c>
      <c r="J201" s="276">
        <v>352</v>
      </c>
      <c r="K201" s="273">
        <f t="shared" si="3"/>
        <v>10603134.362727627</v>
      </c>
      <c r="L201" s="232">
        <f t="shared" si="4"/>
        <v>-22878.756272381172</v>
      </c>
      <c r="M201" s="233">
        <f t="shared" si="5"/>
        <v>2.1530894057972178E-3</v>
      </c>
    </row>
    <row r="202" spans="1:13">
      <c r="A202" s="254">
        <v>42217</v>
      </c>
      <c r="B202" s="249">
        <f>'[11]CoS 2017 Load History'!H240</f>
        <v>10677243.822999977</v>
      </c>
      <c r="C202" s="269">
        <f>'Weather Data'!B298</f>
        <v>50.7</v>
      </c>
      <c r="D202" s="270">
        <f>'Weather Data'!C298</f>
        <v>35.4</v>
      </c>
      <c r="E202" s="256">
        <v>31</v>
      </c>
      <c r="F202" s="256">
        <v>0</v>
      </c>
      <c r="G202" s="256">
        <f>'CDM Activity'!O134</f>
        <v>610284.17126867082</v>
      </c>
      <c r="H202" s="259">
        <v>153.17850798788936</v>
      </c>
      <c r="I202" s="272">
        <f>'[11]CoS 2017 Load History'!J240</f>
        <v>4611.9033470153809</v>
      </c>
      <c r="J202" s="276">
        <v>320</v>
      </c>
      <c r="K202" s="273">
        <f t="shared" si="3"/>
        <v>10640737.404260039</v>
      </c>
      <c r="L202" s="232">
        <f t="shared" si="4"/>
        <v>-36506.418739937246</v>
      </c>
      <c r="M202" s="233">
        <f t="shared" si="5"/>
        <v>3.4190863620907805E-3</v>
      </c>
    </row>
    <row r="203" spans="1:13">
      <c r="A203" s="254">
        <v>42248</v>
      </c>
      <c r="B203" s="249">
        <f>'[11]CoS 2017 Load History'!H241</f>
        <v>10039638.211999971</v>
      </c>
      <c r="C203" s="269">
        <f>'Weather Data'!B299</f>
        <v>106.20000000000002</v>
      </c>
      <c r="D203" s="270">
        <f>'Weather Data'!C299</f>
        <v>15.8</v>
      </c>
      <c r="E203" s="256">
        <v>30</v>
      </c>
      <c r="F203" s="256">
        <v>1</v>
      </c>
      <c r="G203" s="256">
        <f>'CDM Activity'!O135</f>
        <v>614071.71066378104</v>
      </c>
      <c r="H203" s="259">
        <v>153.4940306344032</v>
      </c>
      <c r="I203" s="272">
        <f>'[11]CoS 2017 Load History'!J241</f>
        <v>4612.4516735076904</v>
      </c>
      <c r="J203" s="276">
        <v>336</v>
      </c>
      <c r="K203" s="273">
        <f t="shared" si="3"/>
        <v>9685689.5768974051</v>
      </c>
      <c r="L203" s="232">
        <f t="shared" si="4"/>
        <v>-353948.63510256633</v>
      </c>
      <c r="M203" s="233">
        <f t="shared" si="5"/>
        <v>3.5255118524042624E-2</v>
      </c>
    </row>
    <row r="204" spans="1:13">
      <c r="A204" s="254">
        <v>42278</v>
      </c>
      <c r="B204" s="249">
        <f>'[11]CoS 2017 Load History'!H242</f>
        <v>10488169.699999997</v>
      </c>
      <c r="C204" s="269">
        <f>'Weather Data'!B300</f>
        <v>345.9</v>
      </c>
      <c r="D204" s="270">
        <f>'Weather Data'!C300</f>
        <v>0</v>
      </c>
      <c r="E204" s="256">
        <v>31</v>
      </c>
      <c r="F204" s="256">
        <v>1</v>
      </c>
      <c r="G204" s="256">
        <f>'CDM Activity'!O136</f>
        <v>617859.25005889125</v>
      </c>
      <c r="H204" s="259">
        <v>153.81020320590829</v>
      </c>
      <c r="I204" s="272">
        <f>'[11]CoS 2017 Load History'!J242</f>
        <v>4615.7258367538452</v>
      </c>
      <c r="J204" s="276">
        <v>336</v>
      </c>
      <c r="K204" s="273">
        <f t="shared" si="3"/>
        <v>10695334.282847568</v>
      </c>
      <c r="L204" s="232">
        <f t="shared" si="4"/>
        <v>207164.582847571</v>
      </c>
      <c r="M204" s="233">
        <f t="shared" si="5"/>
        <v>1.9752214997777073E-2</v>
      </c>
    </row>
    <row r="205" spans="1:13">
      <c r="A205" s="254">
        <v>42309</v>
      </c>
      <c r="B205" s="249">
        <f>'[11]CoS 2017 Load History'!H243</f>
        <v>11098768.123999968</v>
      </c>
      <c r="C205" s="269">
        <f>'Weather Data'!B301</f>
        <v>469.10000000000008</v>
      </c>
      <c r="D205" s="270">
        <f>'Weather Data'!C301</f>
        <v>0</v>
      </c>
      <c r="E205" s="256">
        <v>30</v>
      </c>
      <c r="F205" s="256">
        <v>1</v>
      </c>
      <c r="G205" s="256">
        <f>'CDM Activity'!O137</f>
        <v>621646.78945400147</v>
      </c>
      <c r="H205" s="259">
        <v>154.12702704114372</v>
      </c>
      <c r="I205" s="272">
        <f>'[11]CoS 2017 Load History'!J243</f>
        <v>4617.3629183769226</v>
      </c>
      <c r="J205" s="276">
        <v>320</v>
      </c>
      <c r="K205" s="273">
        <f t="shared" si="3"/>
        <v>10961517.616266344</v>
      </c>
      <c r="L205" s="232">
        <f t="shared" si="4"/>
        <v>-137250.50773362443</v>
      </c>
      <c r="M205" s="233">
        <f t="shared" si="5"/>
        <v>1.2366283014493657E-2</v>
      </c>
    </row>
    <row r="206" spans="1:13">
      <c r="A206" s="254">
        <v>42339</v>
      </c>
      <c r="B206" s="249">
        <f>'[11]CoS 2017 Load History'!H244</f>
        <v>12326270.015000014</v>
      </c>
      <c r="C206" s="269">
        <f>'Weather Data'!B302</f>
        <v>564.90000000000009</v>
      </c>
      <c r="D206" s="270">
        <f>'Weather Data'!C302</f>
        <v>0</v>
      </c>
      <c r="E206" s="256">
        <v>31</v>
      </c>
      <c r="F206" s="256">
        <v>0</v>
      </c>
      <c r="G206" s="256">
        <f>'CDM Activity'!O138</f>
        <v>625434.32884911168</v>
      </c>
      <c r="H206" s="259">
        <v>154.44450348160629</v>
      </c>
      <c r="I206" s="272">
        <f>'[11]CoS 2017 Load History'!J244</f>
        <v>4625.1814591884613</v>
      </c>
      <c r="J206" s="276">
        <v>352</v>
      </c>
      <c r="K206" s="273">
        <f t="shared" si="3"/>
        <v>12186978.02340273</v>
      </c>
      <c r="L206" s="232">
        <f t="shared" si="4"/>
        <v>-139291.99159728363</v>
      </c>
      <c r="M206" s="233">
        <f t="shared" si="5"/>
        <v>1.1300417030275763E-2</v>
      </c>
    </row>
    <row r="207" spans="1:13">
      <c r="A207" s="254">
        <v>42370</v>
      </c>
      <c r="B207" s="262"/>
      <c r="C207" s="269">
        <f>'Weather Analysis - Thunder Bay'!Z8</f>
        <v>960.98000000000013</v>
      </c>
      <c r="D207" s="263">
        <f>'Weather Analysis - Thunder Bay'!Z28</f>
        <v>0</v>
      </c>
      <c r="E207" s="256">
        <v>31</v>
      </c>
      <c r="F207" s="256">
        <v>0</v>
      </c>
      <c r="G207" s="256">
        <f>'CDM Activity'!O139</f>
        <v>621730.08933405636</v>
      </c>
      <c r="H207" s="259">
        <v>154.72483615659849</v>
      </c>
      <c r="I207" s="272"/>
      <c r="J207" s="276">
        <v>320</v>
      </c>
      <c r="K207" s="273">
        <f t="shared" si="3"/>
        <v>13939259.431381129</v>
      </c>
      <c r="L207" s="9"/>
      <c r="M207" s="4">
        <f>AVERAGE(M87:M206)</f>
        <v>2.1995143667713914E-2</v>
      </c>
    </row>
    <row r="208" spans="1:13">
      <c r="A208" s="254">
        <v>42401</v>
      </c>
      <c r="B208" s="262"/>
      <c r="C208" s="269">
        <f>'Weather Analysis - Thunder Bay'!Z9</f>
        <v>875.5899999999998</v>
      </c>
      <c r="D208" s="263">
        <f>'Weather Analysis - Thunder Bay'!Z29</f>
        <v>0</v>
      </c>
      <c r="E208" s="256">
        <v>29</v>
      </c>
      <c r="F208" s="256">
        <v>0</v>
      </c>
      <c r="G208" s="256">
        <f>'CDM Activity'!O140</f>
        <v>618025.84981900104</v>
      </c>
      <c r="H208" s="259">
        <v>155.00567766425806</v>
      </c>
      <c r="I208" s="256"/>
      <c r="J208" s="276">
        <v>320</v>
      </c>
      <c r="K208" s="273">
        <f t="shared" si="3"/>
        <v>13020795.620819515</v>
      </c>
      <c r="L208" s="65"/>
      <c r="M208" s="101"/>
    </row>
    <row r="209" spans="1:13">
      <c r="A209" s="254">
        <v>42430</v>
      </c>
      <c r="B209" s="262"/>
      <c r="C209" s="269">
        <f>'Weather Analysis - Thunder Bay'!Z10</f>
        <v>702.91</v>
      </c>
      <c r="D209" s="263">
        <f>'Weather Analysis - Thunder Bay'!Z30</f>
        <v>0</v>
      </c>
      <c r="E209" s="256">
        <v>31</v>
      </c>
      <c r="F209" s="256">
        <v>1</v>
      </c>
      <c r="G209" s="256">
        <f>'CDM Activity'!O141</f>
        <v>614321.61030394572</v>
      </c>
      <c r="H209" s="259">
        <v>155.2870289281687</v>
      </c>
      <c r="I209" s="256"/>
      <c r="J209" s="276">
        <v>352</v>
      </c>
      <c r="K209" s="273">
        <f t="shared" si="3"/>
        <v>12332210.343725778</v>
      </c>
      <c r="L209" s="65"/>
      <c r="M209" s="101"/>
    </row>
    <row r="210" spans="1:13">
      <c r="A210" s="254">
        <v>42461</v>
      </c>
      <c r="B210" s="262"/>
      <c r="C210" s="269">
        <f>'Weather Analysis - Thunder Bay'!Z11</f>
        <v>450.5200000000001</v>
      </c>
      <c r="D210" s="263">
        <f>'Weather Analysis - Thunder Bay'!Z31</f>
        <v>0</v>
      </c>
      <c r="E210" s="256">
        <v>30</v>
      </c>
      <c r="F210" s="256">
        <v>1</v>
      </c>
      <c r="G210" s="256">
        <f>'CDM Activity'!O142</f>
        <v>610617.3707888904</v>
      </c>
      <c r="H210" s="259">
        <v>155.56889087359048</v>
      </c>
      <c r="I210" s="256"/>
      <c r="J210" s="276">
        <v>336</v>
      </c>
      <c r="K210" s="273">
        <f t="shared" si="3"/>
        <v>10964777.568994608</v>
      </c>
      <c r="L210" s="65"/>
      <c r="M210" s="101"/>
    </row>
    <row r="211" spans="1:13">
      <c r="A211" s="254">
        <v>42491</v>
      </c>
      <c r="B211" s="262"/>
      <c r="C211" s="269">
        <f>'Weather Analysis - Thunder Bay'!Z12</f>
        <v>271.46000000000004</v>
      </c>
      <c r="D211" s="263">
        <f>'Weather Analysis - Thunder Bay'!Z32</f>
        <v>0.47000000000000003</v>
      </c>
      <c r="E211" s="256">
        <v>31</v>
      </c>
      <c r="F211" s="256">
        <v>1</v>
      </c>
      <c r="G211" s="256">
        <f>'CDM Activity'!O143</f>
        <v>606913.13127383508</v>
      </c>
      <c r="H211" s="259">
        <v>155.85126442746289</v>
      </c>
      <c r="I211" s="256"/>
      <c r="J211" s="276">
        <v>336</v>
      </c>
      <c r="K211" s="273">
        <f t="shared" si="3"/>
        <v>10491781.535343949</v>
      </c>
      <c r="L211" s="65"/>
      <c r="M211" s="101"/>
    </row>
    <row r="212" spans="1:13">
      <c r="A212" s="254">
        <v>42522</v>
      </c>
      <c r="B212" s="262"/>
      <c r="C212" s="269">
        <f>'Weather Analysis - Thunder Bay'!Z13</f>
        <v>109.59</v>
      </c>
      <c r="D212" s="263">
        <f>'Weather Analysis - Thunder Bay'!Z33</f>
        <v>6.7</v>
      </c>
      <c r="E212" s="256">
        <v>30</v>
      </c>
      <c r="F212" s="256">
        <v>0</v>
      </c>
      <c r="G212" s="256">
        <f>'CDM Activity'!O144</f>
        <v>603208.89175877976</v>
      </c>
      <c r="H212" s="259">
        <v>156.13415051840798</v>
      </c>
      <c r="I212" s="256"/>
      <c r="J212" s="276">
        <v>352</v>
      </c>
      <c r="K212" s="273">
        <f t="shared" si="3"/>
        <v>10166162.127032781</v>
      </c>
      <c r="L212" s="65"/>
      <c r="M212" s="101"/>
    </row>
    <row r="213" spans="1:13">
      <c r="A213" s="254">
        <v>42552</v>
      </c>
      <c r="B213" s="262"/>
      <c r="C213" s="269">
        <f>'Weather Analysis - Thunder Bay'!Z14</f>
        <v>36.33</v>
      </c>
      <c r="D213" s="263">
        <f>'Weather Analysis - Thunder Bay'!Z34</f>
        <v>40.369999999999997</v>
      </c>
      <c r="E213" s="256">
        <v>31</v>
      </c>
      <c r="F213" s="256">
        <v>0</v>
      </c>
      <c r="G213" s="256">
        <f>'CDM Activity'!O145</f>
        <v>599504.65224372444</v>
      </c>
      <c r="H213" s="259">
        <v>156.41755007673331</v>
      </c>
      <c r="I213" s="256"/>
      <c r="J213" s="276">
        <v>320</v>
      </c>
      <c r="K213" s="273">
        <f t="shared" si="3"/>
        <v>10849718.91236119</v>
      </c>
      <c r="L213" s="65"/>
      <c r="M213" s="101"/>
    </row>
    <row r="214" spans="1:13">
      <c r="A214" s="254">
        <v>42583</v>
      </c>
      <c r="B214" s="262"/>
      <c r="C214" s="269">
        <f>'Weather Analysis - Thunder Bay'!Z15</f>
        <v>51.55</v>
      </c>
      <c r="D214" s="263">
        <f>'Weather Analysis - Thunder Bay'!Z35</f>
        <v>29.669999999999998</v>
      </c>
      <c r="E214" s="256">
        <v>31</v>
      </c>
      <c r="F214" s="256">
        <v>0</v>
      </c>
      <c r="G214" s="256">
        <f>'CDM Activity'!O146</f>
        <v>595800.41272866912</v>
      </c>
      <c r="H214" s="259">
        <v>156.70146403443502</v>
      </c>
      <c r="I214" s="256"/>
      <c r="J214" s="276">
        <v>352</v>
      </c>
      <c r="K214" s="273">
        <f t="shared" si="3"/>
        <v>10711878.916530136</v>
      </c>
      <c r="L214" s="65"/>
      <c r="M214" s="101"/>
    </row>
    <row r="215" spans="1:13">
      <c r="A215" s="254">
        <v>42614</v>
      </c>
      <c r="B215" s="262"/>
      <c r="C215" s="269">
        <f>'Weather Analysis - Thunder Bay'!Z16</f>
        <v>176.97</v>
      </c>
      <c r="D215" s="263">
        <f>'Weather Analysis - Thunder Bay'!Z36</f>
        <v>5.05</v>
      </c>
      <c r="E215" s="256">
        <v>30</v>
      </c>
      <c r="F215" s="256">
        <v>1</v>
      </c>
      <c r="G215" s="256">
        <f>'CDM Activity'!O147</f>
        <v>592096.1732136138</v>
      </c>
      <c r="H215" s="259">
        <v>156.98589332520095</v>
      </c>
      <c r="I215" s="256"/>
      <c r="J215" s="276">
        <v>336</v>
      </c>
      <c r="K215" s="273">
        <f t="shared" si="3"/>
        <v>9968255.9458703101</v>
      </c>
      <c r="L215" s="65"/>
      <c r="M215" s="101"/>
    </row>
    <row r="216" spans="1:13">
      <c r="A216" s="254">
        <v>42644</v>
      </c>
      <c r="B216" s="262"/>
      <c r="C216" s="269">
        <f>'Weather Analysis - Thunder Bay'!Z17</f>
        <v>372.15</v>
      </c>
      <c r="D216" s="263">
        <f>'Weather Analysis - Thunder Bay'!Z37</f>
        <v>0.54</v>
      </c>
      <c r="E216" s="256">
        <v>31</v>
      </c>
      <c r="F216" s="256">
        <v>1</v>
      </c>
      <c r="G216" s="256">
        <f>'CDM Activity'!O148</f>
        <v>588391.93369855848</v>
      </c>
      <c r="H216" s="259">
        <v>157.27083888441365</v>
      </c>
      <c r="I216" s="256"/>
      <c r="J216" s="276">
        <v>320</v>
      </c>
      <c r="K216" s="273">
        <f t="shared" ref="K216:K230" si="6">$O$103+C216*$O$104+D216*$O$105+E216*$O$106+F216*$O$107+G216*$O$108+H216*$O$109</f>
        <v>11029171.6781133</v>
      </c>
      <c r="L216" s="65"/>
      <c r="M216" s="101"/>
    </row>
    <row r="217" spans="1:13">
      <c r="A217" s="254">
        <v>42675</v>
      </c>
      <c r="B217" s="262"/>
      <c r="C217" s="269">
        <f>'Weather Analysis - Thunder Bay'!Z18</f>
        <v>567.61000000000013</v>
      </c>
      <c r="D217" s="263">
        <f>'Weather Analysis - Thunder Bay'!Z38</f>
        <v>0</v>
      </c>
      <c r="E217" s="256">
        <v>30</v>
      </c>
      <c r="F217" s="256">
        <v>1</v>
      </c>
      <c r="G217" s="256">
        <f>'CDM Activity'!O149</f>
        <v>584687.69418350316</v>
      </c>
      <c r="H217" s="259">
        <v>157.55630164915351</v>
      </c>
      <c r="I217" s="256"/>
      <c r="J217" s="276">
        <v>336</v>
      </c>
      <c r="K217" s="273">
        <f t="shared" si="6"/>
        <v>11610586.722905198</v>
      </c>
      <c r="L217" s="65"/>
      <c r="M217" s="101"/>
    </row>
    <row r="218" spans="1:13">
      <c r="A218" s="254">
        <v>42705</v>
      </c>
      <c r="B218" s="262"/>
      <c r="C218" s="269">
        <f>'Weather Analysis - Thunder Bay'!Z19</f>
        <v>852.28999999999974</v>
      </c>
      <c r="D218" s="263">
        <f>'Weather Analysis - Thunder Bay'!Z39</f>
        <v>0</v>
      </c>
      <c r="E218" s="256">
        <v>31</v>
      </c>
      <c r="F218" s="256">
        <v>0</v>
      </c>
      <c r="G218" s="256">
        <f>'CDM Activity'!O150</f>
        <v>580983.45466844784</v>
      </c>
      <c r="H218" s="259">
        <v>157.84228255820162</v>
      </c>
      <c r="I218" s="256"/>
      <c r="J218" s="276">
        <v>336</v>
      </c>
      <c r="K218" s="273">
        <f t="shared" si="6"/>
        <v>13672924.931730328</v>
      </c>
      <c r="L218" s="65"/>
      <c r="M218" s="101"/>
    </row>
    <row r="219" spans="1:13">
      <c r="A219" s="254">
        <v>42736</v>
      </c>
      <c r="B219" s="262"/>
      <c r="C219" s="263">
        <f>C207</f>
        <v>960.98000000000013</v>
      </c>
      <c r="D219" s="263">
        <f>D207</f>
        <v>0</v>
      </c>
      <c r="E219" s="256">
        <v>31</v>
      </c>
      <c r="F219" s="256">
        <v>0</v>
      </c>
      <c r="G219" s="256">
        <f>'CDM Activity'!O151</f>
        <v>560379.06150791119</v>
      </c>
      <c r="H219" s="259">
        <v>158.15454692394951</v>
      </c>
      <c r="I219" s="256"/>
      <c r="J219" s="256"/>
      <c r="K219" s="273">
        <f t="shared" si="6"/>
        <v>14195449.403110625</v>
      </c>
      <c r="L219" s="65"/>
      <c r="M219" s="101"/>
    </row>
    <row r="220" spans="1:13">
      <c r="A220" s="254">
        <v>42767</v>
      </c>
      <c r="B220" s="262"/>
      <c r="C220" s="263">
        <f t="shared" ref="C220:D230" si="7">C208</f>
        <v>875.5899999999998</v>
      </c>
      <c r="D220" s="263">
        <f t="shared" si="7"/>
        <v>0</v>
      </c>
      <c r="E220" s="256">
        <v>28</v>
      </c>
      <c r="F220" s="256">
        <v>0</v>
      </c>
      <c r="G220" s="256">
        <f>'CDM Activity'!O152</f>
        <v>539774.66834737454</v>
      </c>
      <c r="H220" s="259">
        <v>158.46742905214063</v>
      </c>
      <c r="I220" s="256"/>
      <c r="J220" s="256"/>
      <c r="K220" s="273">
        <f t="shared" si="6"/>
        <v>13023122.058309995</v>
      </c>
      <c r="L220" s="65"/>
      <c r="M220" s="101"/>
    </row>
    <row r="221" spans="1:13">
      <c r="A221" s="254">
        <v>42795</v>
      </c>
      <c r="B221" s="262"/>
      <c r="C221" s="263">
        <f t="shared" si="7"/>
        <v>702.91</v>
      </c>
      <c r="D221" s="263">
        <f t="shared" si="7"/>
        <v>0</v>
      </c>
      <c r="E221" s="256">
        <v>31</v>
      </c>
      <c r="F221" s="256">
        <v>1</v>
      </c>
      <c r="G221" s="256">
        <f>'CDM Activity'!O153</f>
        <v>519170.27518683794</v>
      </c>
      <c r="H221" s="259">
        <v>158.78093016491388</v>
      </c>
      <c r="I221" s="256"/>
      <c r="J221" s="256"/>
      <c r="K221" s="273">
        <f t="shared" si="6"/>
        <v>12644354.263007516</v>
      </c>
      <c r="L221" s="65"/>
      <c r="M221" s="101"/>
    </row>
    <row r="222" spans="1:13">
      <c r="A222" s="254">
        <v>42826</v>
      </c>
      <c r="B222" s="262"/>
      <c r="C222" s="263">
        <f t="shared" si="7"/>
        <v>450.5200000000001</v>
      </c>
      <c r="D222" s="263">
        <f t="shared" si="7"/>
        <v>0</v>
      </c>
      <c r="E222" s="256">
        <v>30</v>
      </c>
      <c r="F222" s="256">
        <v>1</v>
      </c>
      <c r="G222" s="256">
        <f>'CDM Activity'!O154</f>
        <v>498565.88202630135</v>
      </c>
      <c r="H222" s="259">
        <v>159.09505148682601</v>
      </c>
      <c r="I222" s="256"/>
      <c r="J222" s="256"/>
      <c r="K222" s="273">
        <f t="shared" si="6"/>
        <v>11304906.122591551</v>
      </c>
      <c r="L222" s="65"/>
      <c r="M222" s="101"/>
    </row>
    <row r="223" spans="1:13">
      <c r="A223" s="254">
        <v>42856</v>
      </c>
      <c r="B223" s="262"/>
      <c r="C223" s="263">
        <f t="shared" si="7"/>
        <v>271.46000000000004</v>
      </c>
      <c r="D223" s="263">
        <f t="shared" si="7"/>
        <v>0.47000000000000003</v>
      </c>
      <c r="E223" s="256">
        <v>31</v>
      </c>
      <c r="F223" s="256">
        <v>1</v>
      </c>
      <c r="G223" s="256">
        <f>'CDM Activity'!O155</f>
        <v>477961.48886576475</v>
      </c>
      <c r="H223" s="259">
        <v>159.4097942448563</v>
      </c>
      <c r="I223" s="256"/>
      <c r="J223" s="256"/>
      <c r="K223" s="273">
        <f t="shared" si="6"/>
        <v>10859899.848941175</v>
      </c>
      <c r="L223" s="65"/>
      <c r="M223" s="101"/>
    </row>
    <row r="224" spans="1:13">
      <c r="A224" s="254">
        <v>42887</v>
      </c>
      <c r="B224" s="262"/>
      <c r="C224" s="263">
        <f t="shared" si="7"/>
        <v>109.59</v>
      </c>
      <c r="D224" s="263">
        <f t="shared" si="7"/>
        <v>6.7</v>
      </c>
      <c r="E224" s="256">
        <v>30</v>
      </c>
      <c r="F224" s="256">
        <v>0</v>
      </c>
      <c r="G224" s="256">
        <f>'CDM Activity'!O156</f>
        <v>457357.09570522816</v>
      </c>
      <c r="H224" s="259">
        <v>159.72515966841141</v>
      </c>
      <c r="I224" s="256"/>
      <c r="J224" s="256"/>
      <c r="K224" s="273">
        <f t="shared" si="6"/>
        <v>10562275.340353059</v>
      </c>
      <c r="L224" s="65"/>
      <c r="M224" s="101"/>
    </row>
    <row r="225" spans="1:16">
      <c r="A225" s="254">
        <v>42917</v>
      </c>
      <c r="B225" s="262"/>
      <c r="C225" s="263">
        <f t="shared" si="7"/>
        <v>36.33</v>
      </c>
      <c r="D225" s="263">
        <f t="shared" si="7"/>
        <v>40.369999999999997</v>
      </c>
      <c r="E225" s="256">
        <v>31</v>
      </c>
      <c r="F225" s="256">
        <v>0</v>
      </c>
      <c r="G225" s="256">
        <f>'CDM Activity'!O157</f>
        <v>436752.70254469156</v>
      </c>
      <c r="H225" s="259">
        <v>160.0411489893302</v>
      </c>
      <c r="I225" s="256"/>
      <c r="J225" s="256"/>
      <c r="K225" s="273">
        <f t="shared" si="6"/>
        <v>11273832.179199832</v>
      </c>
      <c r="L225" s="65"/>
      <c r="M225" s="101"/>
    </row>
    <row r="226" spans="1:16">
      <c r="A226" s="254">
        <v>42948</v>
      </c>
      <c r="B226" s="262"/>
      <c r="C226" s="263">
        <f t="shared" si="7"/>
        <v>51.55</v>
      </c>
      <c r="D226" s="263">
        <f t="shared" si="7"/>
        <v>29.669999999999998</v>
      </c>
      <c r="E226" s="256">
        <v>31</v>
      </c>
      <c r="F226" s="256">
        <v>0</v>
      </c>
      <c r="G226" s="256">
        <f>'CDM Activity'!O158</f>
        <v>416148.30938415497</v>
      </c>
      <c r="H226" s="259">
        <v>160.35776344188849</v>
      </c>
      <c r="I226" s="256"/>
      <c r="J226" s="256"/>
      <c r="K226" s="273">
        <f t="shared" si="6"/>
        <v>11163997.404789921</v>
      </c>
      <c r="L226" s="65"/>
      <c r="M226" s="101"/>
    </row>
    <row r="227" spans="1:16">
      <c r="A227" s="254">
        <v>42979</v>
      </c>
      <c r="B227" s="262"/>
      <c r="C227" s="263">
        <f t="shared" si="7"/>
        <v>176.97</v>
      </c>
      <c r="D227" s="263">
        <f t="shared" si="7"/>
        <v>5.05</v>
      </c>
      <c r="E227" s="256">
        <v>30</v>
      </c>
      <c r="F227" s="256">
        <v>1</v>
      </c>
      <c r="G227" s="256">
        <f>'CDM Activity'!O159</f>
        <v>395543.91622361838</v>
      </c>
      <c r="H227" s="259">
        <v>160.67500426280395</v>
      </c>
      <c r="I227" s="256"/>
      <c r="J227" s="256"/>
      <c r="K227" s="273">
        <f t="shared" si="6"/>
        <v>10448384.837596495</v>
      </c>
      <c r="L227" s="65"/>
      <c r="M227" s="101"/>
    </row>
    <row r="228" spans="1:16">
      <c r="A228" s="254">
        <v>43009</v>
      </c>
      <c r="B228" s="262"/>
      <c r="C228" s="263">
        <f t="shared" si="7"/>
        <v>372.15</v>
      </c>
      <c r="D228" s="263">
        <f t="shared" si="7"/>
        <v>0.54</v>
      </c>
      <c r="E228" s="256">
        <v>31</v>
      </c>
      <c r="F228" s="256">
        <v>1</v>
      </c>
      <c r="G228" s="256">
        <f>'CDM Activity'!O160</f>
        <v>374939.52306308178</v>
      </c>
      <c r="H228" s="259">
        <v>160.99287269124085</v>
      </c>
      <c r="I228" s="256"/>
      <c r="J228" s="256"/>
      <c r="K228" s="273">
        <f t="shared" si="6"/>
        <v>11537316.169528715</v>
      </c>
      <c r="L228" s="65"/>
      <c r="M228" s="101"/>
    </row>
    <row r="229" spans="1:16">
      <c r="A229" s="254">
        <v>43040</v>
      </c>
      <c r="B229" s="262"/>
      <c r="C229" s="263">
        <f t="shared" si="7"/>
        <v>567.61000000000013</v>
      </c>
      <c r="D229" s="263">
        <f t="shared" si="7"/>
        <v>0</v>
      </c>
      <c r="E229" s="256">
        <v>30</v>
      </c>
      <c r="F229" s="256">
        <v>1</v>
      </c>
      <c r="G229" s="256">
        <f>'CDM Activity'!O161</f>
        <v>354335.12990254519</v>
      </c>
      <c r="H229" s="259">
        <v>161.31136996881492</v>
      </c>
      <c r="I229" s="256"/>
      <c r="J229" s="256"/>
      <c r="K229" s="273">
        <f t="shared" si="6"/>
        <v>12146752.024445416</v>
      </c>
      <c r="L229" s="65"/>
      <c r="M229" s="101"/>
    </row>
    <row r="230" spans="1:16">
      <c r="A230" s="254">
        <v>43070</v>
      </c>
      <c r="B230" s="262"/>
      <c r="C230" s="263">
        <f t="shared" si="7"/>
        <v>852.28999999999974</v>
      </c>
      <c r="D230" s="263">
        <f t="shared" si="7"/>
        <v>0</v>
      </c>
      <c r="E230" s="256">
        <v>31</v>
      </c>
      <c r="F230" s="256">
        <v>0</v>
      </c>
      <c r="G230" s="256">
        <f>'CDM Activity'!O162</f>
        <v>333730.73674200859</v>
      </c>
      <c r="H230" s="259">
        <v>161.63049733959846</v>
      </c>
      <c r="I230" s="256"/>
      <c r="J230" s="256"/>
      <c r="K230" s="273">
        <f t="shared" si="6"/>
        <v>14237116.268078938</v>
      </c>
      <c r="L230" s="65"/>
      <c r="M230" s="101"/>
    </row>
    <row r="231" spans="1:16">
      <c r="A231" s="2"/>
      <c r="G231" s="18"/>
      <c r="L231" s="66"/>
    </row>
    <row r="232" spans="1:16">
      <c r="A232" s="2"/>
      <c r="C232" s="17"/>
      <c r="D232"/>
      <c r="G232" s="49">
        <f>SUM(G87:G230)</f>
        <v>39452575.366489574</v>
      </c>
      <c r="K232" s="49">
        <f>SUM(K87:K230)</f>
        <v>1657920033.7733731</v>
      </c>
    </row>
    <row r="233" spans="1:16">
      <c r="A233" s="2"/>
      <c r="N233" s="228" t="s">
        <v>338</v>
      </c>
      <c r="O233" s="606" t="s">
        <v>339</v>
      </c>
      <c r="P233" s="606"/>
    </row>
    <row r="234" spans="1:16">
      <c r="A234">
        <v>2006</v>
      </c>
      <c r="B234" s="5">
        <f>SUM(B87:B98)</f>
        <v>141631018.54999995</v>
      </c>
      <c r="C234" s="101"/>
      <c r="D234" s="101"/>
      <c r="E234" s="101"/>
      <c r="F234" s="101"/>
      <c r="G234" s="101"/>
      <c r="H234" s="101"/>
      <c r="I234" s="38"/>
      <c r="J234" s="101"/>
      <c r="K234" s="5">
        <f>SUM(K87:K98)</f>
        <v>137265748.84545416</v>
      </c>
      <c r="L234" s="41">
        <f>K234-B234</f>
        <v>-4365269.7045457959</v>
      </c>
      <c r="M234" s="4">
        <f>L234/B234</f>
        <v>-3.0821424213684702E-2</v>
      </c>
      <c r="N234" s="5">
        <f>'GS &lt; 50 kW WN'!K234</f>
        <v>138303797.91295043</v>
      </c>
      <c r="O234" s="25">
        <f>N234/K234</f>
        <v>1.0075623312896869</v>
      </c>
    </row>
    <row r="235" spans="1:16">
      <c r="A235" s="17">
        <v>2007</v>
      </c>
      <c r="B235" s="5">
        <f>SUM(B99:B110)</f>
        <v>140795615.54000005</v>
      </c>
      <c r="C235" s="101"/>
      <c r="D235" s="101"/>
      <c r="E235" s="101"/>
      <c r="F235" s="101"/>
      <c r="G235" s="101"/>
      <c r="H235" s="101"/>
      <c r="I235" s="38"/>
      <c r="J235" s="101"/>
      <c r="K235" s="5">
        <f>SUM(K99:K110)</f>
        <v>140254389.87938389</v>
      </c>
      <c r="L235" s="41">
        <f t="shared" ref="L235:L243" si="8">K235-B235</f>
        <v>-541225.66061615944</v>
      </c>
      <c r="M235" s="4">
        <f t="shared" ref="M235:M243" si="9">L235/B235</f>
        <v>-3.8440519510523903E-3</v>
      </c>
      <c r="N235" s="5">
        <f>'GS &lt; 50 kW WN'!K235</f>
        <v>139998027.1995557</v>
      </c>
      <c r="O235" s="25">
        <f t="shared" ref="O235:O243" si="10">N235/K235</f>
        <v>0.99817215931673398</v>
      </c>
    </row>
    <row r="236" spans="1:16">
      <c r="A236">
        <v>2008</v>
      </c>
      <c r="B236" s="5">
        <f>SUM(B111:B122)</f>
        <v>140901919.11999995</v>
      </c>
      <c r="C236" s="101"/>
      <c r="D236" s="101"/>
      <c r="E236" s="101"/>
      <c r="F236" s="101"/>
      <c r="G236" s="101"/>
      <c r="H236" s="101"/>
      <c r="I236" s="38"/>
      <c r="J236" s="101"/>
      <c r="K236" s="5">
        <f>SUM(K111:K122)</f>
        <v>141675087.03623375</v>
      </c>
      <c r="L236" s="41">
        <f t="shared" si="8"/>
        <v>773167.9162338078</v>
      </c>
      <c r="M236" s="4">
        <f t="shared" si="9"/>
        <v>5.4872773987935169E-3</v>
      </c>
      <c r="N236" s="5">
        <f>'GS &lt; 50 kW WN'!K236</f>
        <v>140526032.96879536</v>
      </c>
      <c r="O236" s="25">
        <f t="shared" si="10"/>
        <v>0.99188951218258636</v>
      </c>
    </row>
    <row r="237" spans="1:16">
      <c r="A237" s="17">
        <v>2009</v>
      </c>
      <c r="B237" s="5">
        <f>SUM(B123:B134)</f>
        <v>137506815.68000019</v>
      </c>
      <c r="C237" s="101"/>
      <c r="D237" s="101"/>
      <c r="E237" s="101"/>
      <c r="F237" s="101"/>
      <c r="G237" s="101"/>
      <c r="H237" s="101"/>
      <c r="I237" s="38"/>
      <c r="J237" s="101"/>
      <c r="K237" s="5">
        <f>SUM(K123:K134)</f>
        <v>137733181.43429434</v>
      </c>
      <c r="L237" s="41">
        <f t="shared" si="8"/>
        <v>226365.75429415703</v>
      </c>
      <c r="M237" s="4">
        <f t="shared" si="9"/>
        <v>1.646214794333871E-3</v>
      </c>
      <c r="N237" s="5">
        <f>'GS &lt; 50 kW WN'!K237</f>
        <v>137527633.06321484</v>
      </c>
      <c r="O237" s="25">
        <f t="shared" si="10"/>
        <v>0.99850763360768258</v>
      </c>
    </row>
    <row r="238" spans="1:16">
      <c r="A238">
        <v>2010</v>
      </c>
      <c r="B238" s="5">
        <f>SUM(B135:B146)</f>
        <v>132765784.44999993</v>
      </c>
      <c r="C238" s="101"/>
      <c r="D238" s="101"/>
      <c r="E238" s="101"/>
      <c r="F238" s="101"/>
      <c r="G238" s="101"/>
      <c r="H238" s="101"/>
      <c r="I238" s="38"/>
      <c r="J238" s="101"/>
      <c r="K238" s="5">
        <f>SUM(K135:K146)</f>
        <v>134425689.95492312</v>
      </c>
      <c r="L238" s="41">
        <f t="shared" si="8"/>
        <v>1659905.5049231946</v>
      </c>
      <c r="M238" s="4">
        <f t="shared" si="9"/>
        <v>1.2502509677471314E-2</v>
      </c>
      <c r="N238" s="5">
        <f>'GS &lt; 50 kW WN'!K238</f>
        <v>135975996.45203012</v>
      </c>
      <c r="O238" s="25">
        <f t="shared" si="10"/>
        <v>1.0115328141341648</v>
      </c>
    </row>
    <row r="239" spans="1:16">
      <c r="A239">
        <v>2011</v>
      </c>
      <c r="B239" s="5">
        <f>SUM(B147:B158)</f>
        <v>135688687.22999996</v>
      </c>
      <c r="C239" s="101"/>
      <c r="D239" s="101"/>
      <c r="E239" s="101"/>
      <c r="F239" s="101"/>
      <c r="G239" s="101"/>
      <c r="H239" s="101"/>
      <c r="I239" s="38"/>
      <c r="J239" s="101"/>
      <c r="K239" s="5">
        <f>SUM(K147:K158)</f>
        <v>137613786.32684103</v>
      </c>
      <c r="L239" s="41">
        <f t="shared" si="8"/>
        <v>1925099.0968410671</v>
      </c>
      <c r="M239" s="4">
        <f t="shared" si="9"/>
        <v>1.4187616787668642E-2</v>
      </c>
      <c r="N239" s="5">
        <f>'GS &lt; 50 kW WN'!K239</f>
        <v>137042583.22258881</v>
      </c>
      <c r="O239" s="25">
        <f t="shared" si="10"/>
        <v>0.9958492305204395</v>
      </c>
    </row>
    <row r="240" spans="1:16">
      <c r="A240">
        <v>2012</v>
      </c>
      <c r="B240" s="5">
        <f>SUM(B159:B170)</f>
        <v>133678840.49000008</v>
      </c>
      <c r="C240" s="101"/>
      <c r="D240" s="101"/>
      <c r="E240" s="101"/>
      <c r="F240" s="101"/>
      <c r="G240" s="101"/>
      <c r="H240" s="101"/>
      <c r="I240" s="38"/>
      <c r="J240" s="101"/>
      <c r="K240" s="5">
        <f>SUM(K159:K170)</f>
        <v>135898837.88275045</v>
      </c>
      <c r="L240" s="41">
        <f t="shared" si="8"/>
        <v>2219997.3927503675</v>
      </c>
      <c r="M240" s="4">
        <f t="shared" si="9"/>
        <v>1.6606946803345707E-2</v>
      </c>
      <c r="N240" s="5">
        <f>'GS &lt; 50 kW WN'!K240</f>
        <v>137674443.70124614</v>
      </c>
      <c r="O240" s="25">
        <f t="shared" si="10"/>
        <v>1.0130656438727432</v>
      </c>
    </row>
    <row r="241" spans="1:15">
      <c r="A241">
        <v>2013</v>
      </c>
      <c r="B241" s="5">
        <f>SUM(B171:B182)</f>
        <v>136331185.61000001</v>
      </c>
      <c r="C241" s="101"/>
      <c r="D241" s="101"/>
      <c r="E241" s="101"/>
      <c r="F241" s="101"/>
      <c r="G241" s="101"/>
      <c r="H241" s="101"/>
      <c r="I241" s="38"/>
      <c r="J241" s="101"/>
      <c r="K241" s="5">
        <f>SUM(K171:K182)</f>
        <v>138356159.15573463</v>
      </c>
      <c r="L241" s="41">
        <f t="shared" si="8"/>
        <v>2024973.5457346141</v>
      </c>
      <c r="M241" s="4">
        <f t="shared" si="9"/>
        <v>1.4853340684114761E-2</v>
      </c>
      <c r="N241" s="5">
        <f>'GS &lt; 50 kW WN'!K241</f>
        <v>136488090.13412672</v>
      </c>
      <c r="O241" s="25">
        <f t="shared" si="10"/>
        <v>0.98649811448216629</v>
      </c>
    </row>
    <row r="242" spans="1:15">
      <c r="A242">
        <v>2014</v>
      </c>
      <c r="B242" s="5">
        <f>SUM(B183:B194)</f>
        <v>139285835.96861196</v>
      </c>
      <c r="C242" s="101"/>
      <c r="D242" s="101"/>
      <c r="E242" s="101"/>
      <c r="F242" s="101"/>
      <c r="G242" s="101"/>
      <c r="H242" s="101"/>
      <c r="I242" s="38"/>
      <c r="J242" s="101"/>
      <c r="K242" s="5">
        <f>SUM(K183:K194)</f>
        <v>137259609.73047784</v>
      </c>
      <c r="L242" s="41">
        <f t="shared" si="8"/>
        <v>-2026226.2381341159</v>
      </c>
      <c r="M242" s="4">
        <f t="shared" si="9"/>
        <v>-1.4547252590641921E-2</v>
      </c>
      <c r="N242" s="5">
        <f>'GS &lt; 50 kW WN'!K242</f>
        <v>135812390.10566956</v>
      </c>
      <c r="O242" s="25">
        <f t="shared" si="10"/>
        <v>0.98945633294710633</v>
      </c>
    </row>
    <row r="243" spans="1:15">
      <c r="A243" s="17">
        <v>2015</v>
      </c>
      <c r="B243" s="5">
        <f>SUM(B195:B206)</f>
        <v>137179401.47999987</v>
      </c>
      <c r="C243" s="101"/>
      <c r="D243" s="101"/>
      <c r="E243" s="101"/>
      <c r="F243" s="101"/>
      <c r="G243" s="101"/>
      <c r="H243" s="101"/>
      <c r="I243" s="38"/>
      <c r="J243" s="101"/>
      <c r="K243" s="5">
        <f>SUM(K195:K206)</f>
        <v>135282613.87251851</v>
      </c>
      <c r="L243" s="41">
        <f t="shared" si="8"/>
        <v>-1896787.6074813604</v>
      </c>
      <c r="M243" s="4">
        <f t="shared" si="9"/>
        <v>-1.38270584870419E-2</v>
      </c>
      <c r="N243" s="5">
        <f>'GS &lt; 50 kW WN'!K243</f>
        <v>136416109.35843417</v>
      </c>
      <c r="O243" s="25">
        <f t="shared" si="10"/>
        <v>1.0083787225384615</v>
      </c>
    </row>
    <row r="244" spans="1:15">
      <c r="A244">
        <v>2016</v>
      </c>
      <c r="C244" s="101"/>
      <c r="D244" s="101"/>
      <c r="E244" s="101"/>
      <c r="F244" s="101"/>
      <c r="G244" s="101"/>
      <c r="H244" s="101"/>
      <c r="I244" s="38"/>
      <c r="J244" s="101"/>
      <c r="K244" s="5">
        <f>SUM(K207:K218)</f>
        <v>138757523.73480821</v>
      </c>
      <c r="L244" s="101"/>
      <c r="M244" s="101"/>
      <c r="N244" s="5">
        <f>'GS &lt; 50 kW WN'!K244</f>
        <v>138757523.73480821</v>
      </c>
      <c r="O244" s="25"/>
    </row>
    <row r="245" spans="1:15">
      <c r="A245" s="17">
        <v>2017</v>
      </c>
      <c r="C245" s="101"/>
      <c r="D245" s="101"/>
      <c r="E245" s="101"/>
      <c r="F245" s="101"/>
      <c r="G245" s="101"/>
      <c r="H245" s="101"/>
      <c r="I245" s="38"/>
      <c r="J245" s="101"/>
      <c r="K245" s="5">
        <f>SUM(K219:K230)</f>
        <v>143397405.91995323</v>
      </c>
      <c r="L245" s="101"/>
      <c r="M245" s="101"/>
      <c r="N245" s="5">
        <f>'GS &lt; 50 kW WN'!K245</f>
        <v>143397405.91995323</v>
      </c>
      <c r="O245" s="25"/>
    </row>
    <row r="246" spans="1:15">
      <c r="C246" s="101"/>
      <c r="D246" s="101"/>
      <c r="E246" s="101"/>
      <c r="F246" s="101"/>
      <c r="G246" s="101"/>
      <c r="H246" s="101"/>
      <c r="I246" s="38"/>
      <c r="J246" s="101"/>
      <c r="K246" s="5"/>
      <c r="L246" s="101"/>
      <c r="M246" s="101"/>
    </row>
    <row r="247" spans="1:15">
      <c r="A247" s="72" t="s">
        <v>261</v>
      </c>
      <c r="B247" s="5">
        <f>SUM(B234:B243)</f>
        <v>1375765104.1186118</v>
      </c>
      <c r="C247" s="101"/>
      <c r="D247" s="101"/>
      <c r="E247" s="101"/>
      <c r="F247" s="101"/>
      <c r="G247" s="101"/>
      <c r="H247" s="101"/>
      <c r="I247" s="38"/>
      <c r="J247" s="101"/>
      <c r="K247" s="5">
        <f>SUM(K234:K243)</f>
        <v>1375765104.1186116</v>
      </c>
      <c r="L247" s="5">
        <f>K247-B247</f>
        <v>0</v>
      </c>
      <c r="M247" s="101"/>
    </row>
    <row r="248" spans="1:15">
      <c r="C248" s="101"/>
      <c r="D248" s="101"/>
      <c r="E248" s="101"/>
      <c r="F248" s="101"/>
      <c r="G248" s="101"/>
      <c r="H248" s="101"/>
      <c r="I248" s="38"/>
      <c r="J248" s="101"/>
      <c r="K248" s="101"/>
      <c r="L248" s="101"/>
      <c r="M248" s="101"/>
    </row>
    <row r="249" spans="1:15">
      <c r="C249" s="101"/>
      <c r="D249" s="101"/>
      <c r="E249" s="101"/>
      <c r="F249" s="101"/>
      <c r="G249" s="101"/>
      <c r="H249" s="101"/>
      <c r="I249" s="38"/>
      <c r="J249" s="101"/>
      <c r="K249" s="5">
        <f>SUM(K234:K245)</f>
        <v>1657920033.7733731</v>
      </c>
      <c r="L249" s="49">
        <f>K232-K249</f>
        <v>0</v>
      </c>
      <c r="M249" s="101"/>
    </row>
    <row r="250" spans="1:15">
      <c r="C250" s="101"/>
      <c r="D250" s="101"/>
      <c r="E250" s="101"/>
      <c r="F250" s="101"/>
      <c r="G250" s="101"/>
      <c r="H250" s="101"/>
      <c r="I250" s="38"/>
      <c r="J250" s="101"/>
      <c r="K250" s="19"/>
      <c r="L250" s="19" t="s">
        <v>47</v>
      </c>
      <c r="M250" s="19"/>
    </row>
    <row r="253" spans="1:15">
      <c r="H253" s="1"/>
      <c r="I253" s="38"/>
    </row>
    <row r="254" spans="1:15">
      <c r="B254" s="90" t="s">
        <v>143</v>
      </c>
      <c r="C254" s="101"/>
      <c r="D254" s="101"/>
      <c r="E254" s="101"/>
      <c r="F254" s="101"/>
      <c r="G254" s="101"/>
      <c r="H254" s="101"/>
      <c r="I254" s="38"/>
      <c r="J254" s="101"/>
      <c r="K254" s="101"/>
      <c r="L254" s="101"/>
    </row>
    <row r="255" spans="1:15">
      <c r="A255" s="2">
        <v>42736</v>
      </c>
      <c r="C255" s="62">
        <f>'Weather Analysis - Thunder Bay'!AA8</f>
        <v>981.22443609022571</v>
      </c>
      <c r="D255" s="62">
        <f>'Weather Analysis - Thunder Bay'!AA28</f>
        <v>0</v>
      </c>
      <c r="E255" s="9">
        <f>E219</f>
        <v>31</v>
      </c>
      <c r="F255" s="9">
        <f t="shared" ref="F255:G255" si="11">F219</f>
        <v>0</v>
      </c>
      <c r="G255" s="9">
        <f t="shared" si="11"/>
        <v>560379.06150791119</v>
      </c>
      <c r="H255" s="37">
        <f>H219</f>
        <v>158.15454692394951</v>
      </c>
      <c r="I255" s="37">
        <v>143.1291789570798</v>
      </c>
      <c r="J255" s="9">
        <v>352</v>
      </c>
      <c r="K255" s="9">
        <f t="shared" ref="K255:K266" si="12">$O$103+C255*$O$104+D255*$O$105+E255*$O$106+F255*$O$107+G255*$O$108+H255*$O$109</f>
        <v>14284046.637700014</v>
      </c>
      <c r="L255" s="101"/>
    </row>
    <row r="256" spans="1:15">
      <c r="A256" s="2">
        <v>42767</v>
      </c>
      <c r="C256" s="62">
        <f>'Weather Analysis - Thunder Bay'!AA9</f>
        <v>920.49842105263269</v>
      </c>
      <c r="D256" s="62">
        <f>'Weather Analysis - Thunder Bay'!AA29</f>
        <v>0</v>
      </c>
      <c r="E256" s="9">
        <f t="shared" ref="E256:H266" si="13">E220</f>
        <v>28</v>
      </c>
      <c r="F256" s="9">
        <f t="shared" si="13"/>
        <v>0</v>
      </c>
      <c r="G256" s="9">
        <f t="shared" si="13"/>
        <v>539774.66834737454</v>
      </c>
      <c r="H256" s="37">
        <f t="shared" si="13"/>
        <v>158.46742905214063</v>
      </c>
      <c r="I256" s="37">
        <v>143.42400163116841</v>
      </c>
      <c r="J256" s="9">
        <v>304</v>
      </c>
      <c r="K256" s="9">
        <f t="shared" si="12"/>
        <v>13219658.128631076</v>
      </c>
      <c r="L256" s="101"/>
    </row>
    <row r="257" spans="1:12">
      <c r="A257" s="2">
        <v>42795</v>
      </c>
      <c r="C257" s="62">
        <f>'Weather Analysis - Thunder Bay'!AA10</f>
        <v>728.65676691729323</v>
      </c>
      <c r="D257" s="62">
        <f>'Weather Analysis - Thunder Bay'!AA30</f>
        <v>0</v>
      </c>
      <c r="E257" s="9">
        <f t="shared" si="13"/>
        <v>31</v>
      </c>
      <c r="F257" s="9">
        <f t="shared" si="13"/>
        <v>1</v>
      </c>
      <c r="G257" s="9">
        <f t="shared" si="13"/>
        <v>519170.27518683794</v>
      </c>
      <c r="H257" s="37">
        <f t="shared" si="13"/>
        <v>158.78093016491388</v>
      </c>
      <c r="I257" s="37">
        <v>143.71943159169427</v>
      </c>
      <c r="J257" s="9">
        <v>320</v>
      </c>
      <c r="K257" s="9">
        <f t="shared" si="12"/>
        <v>12757031.758113993</v>
      </c>
      <c r="L257" s="101"/>
    </row>
    <row r="258" spans="1:12">
      <c r="A258" s="2">
        <v>42826</v>
      </c>
      <c r="C258" s="62">
        <f>'Weather Analysis - Thunder Bay'!AA11</f>
        <v>457.84511278195487</v>
      </c>
      <c r="D258" s="62">
        <f>'Weather Analysis - Thunder Bay'!AA31</f>
        <v>0</v>
      </c>
      <c r="E258" s="9">
        <f t="shared" si="13"/>
        <v>30</v>
      </c>
      <c r="F258" s="9">
        <f t="shared" si="13"/>
        <v>1</v>
      </c>
      <c r="G258" s="9">
        <f t="shared" si="13"/>
        <v>498565.88202630135</v>
      </c>
      <c r="H258" s="37">
        <f t="shared" si="13"/>
        <v>159.09505148682601</v>
      </c>
      <c r="I258" s="37">
        <v>144.01547008956803</v>
      </c>
      <c r="J258" s="9">
        <v>352</v>
      </c>
      <c r="K258" s="9">
        <f t="shared" si="12"/>
        <v>11336963.559639648</v>
      </c>
      <c r="L258" s="101"/>
    </row>
    <row r="259" spans="1:12">
      <c r="A259" s="2">
        <v>42856</v>
      </c>
      <c r="C259" s="62">
        <f>'Weather Analysis - Thunder Bay'!AA12</f>
        <v>271.64563909774438</v>
      </c>
      <c r="D259" s="62">
        <f>'Weather Analysis - Thunder Bay'!AA32</f>
        <v>0.20857142857142463</v>
      </c>
      <c r="E259" s="9">
        <f t="shared" si="13"/>
        <v>31</v>
      </c>
      <c r="F259" s="9">
        <f t="shared" si="13"/>
        <v>1</v>
      </c>
      <c r="G259" s="9">
        <f t="shared" si="13"/>
        <v>477961.48886576475</v>
      </c>
      <c r="H259" s="37">
        <f t="shared" si="13"/>
        <v>159.4097942448563</v>
      </c>
      <c r="I259" s="37">
        <v>144.31211837827698</v>
      </c>
      <c r="J259" s="9">
        <v>352</v>
      </c>
      <c r="K259" s="9">
        <f t="shared" si="12"/>
        <v>10855251.532252913</v>
      </c>
      <c r="L259" s="101"/>
    </row>
    <row r="260" spans="1:12">
      <c r="A260" s="2">
        <v>42887</v>
      </c>
      <c r="C260" s="62">
        <f>'Weather Analysis - Thunder Bay'!AA13</f>
        <v>115.80518796992476</v>
      </c>
      <c r="D260" s="62">
        <f>'Weather Analysis - Thunder Bay'!AA33</f>
        <v>4.1052631578947967</v>
      </c>
      <c r="E260" s="9">
        <f t="shared" si="13"/>
        <v>30</v>
      </c>
      <c r="F260" s="9">
        <f t="shared" si="13"/>
        <v>0</v>
      </c>
      <c r="G260" s="9">
        <f t="shared" si="13"/>
        <v>457357.09570522816</v>
      </c>
      <c r="H260" s="37">
        <f t="shared" si="13"/>
        <v>159.72515966841141</v>
      </c>
      <c r="I260" s="37">
        <v>144.60937771389038</v>
      </c>
      <c r="J260" s="9">
        <v>320</v>
      </c>
      <c r="K260" s="9">
        <f t="shared" si="12"/>
        <v>10535276.24018858</v>
      </c>
      <c r="L260" s="101"/>
    </row>
    <row r="261" spans="1:12">
      <c r="A261" s="2">
        <v>42917</v>
      </c>
      <c r="C261" s="62">
        <f>'Weather Analysis - Thunder Bay'!AA14</f>
        <v>34.996616541353319</v>
      </c>
      <c r="D261" s="62">
        <f>'Weather Analysis - Thunder Bay'!AA34</f>
        <v>41.516616541353415</v>
      </c>
      <c r="E261" s="9">
        <f t="shared" si="13"/>
        <v>31</v>
      </c>
      <c r="F261" s="9">
        <f t="shared" si="13"/>
        <v>0</v>
      </c>
      <c r="G261" s="9">
        <f t="shared" si="13"/>
        <v>436752.70254469156</v>
      </c>
      <c r="H261" s="37">
        <f t="shared" si="13"/>
        <v>160.0411489893302</v>
      </c>
      <c r="I261" s="37">
        <v>144.90724935506483</v>
      </c>
      <c r="J261" s="9">
        <v>352</v>
      </c>
      <c r="K261" s="9">
        <f t="shared" si="12"/>
        <v>11291947.42057672</v>
      </c>
      <c r="L261" s="101"/>
    </row>
    <row r="262" spans="1:12">
      <c r="A262" s="2">
        <v>42948</v>
      </c>
      <c r="C262" s="62">
        <f>'Weather Analysis - Thunder Bay'!AA15</f>
        <v>48.162481203007474</v>
      </c>
      <c r="D262" s="62">
        <f>'Weather Analysis - Thunder Bay'!AA35</f>
        <v>33.181729323308446</v>
      </c>
      <c r="E262" s="9">
        <f t="shared" si="13"/>
        <v>31</v>
      </c>
      <c r="F262" s="9">
        <f t="shared" si="13"/>
        <v>0</v>
      </c>
      <c r="G262" s="9">
        <f t="shared" si="13"/>
        <v>416148.30938415497</v>
      </c>
      <c r="H262" s="37">
        <f t="shared" si="13"/>
        <v>160.35776344188849</v>
      </c>
      <c r="I262" s="37">
        <v>145.20573456304953</v>
      </c>
      <c r="J262" s="9">
        <v>336</v>
      </c>
      <c r="K262" s="9">
        <f t="shared" si="12"/>
        <v>11222525.66361884</v>
      </c>
      <c r="L262" s="101"/>
    </row>
    <row r="263" spans="1:12">
      <c r="A263" s="2">
        <v>42979</v>
      </c>
      <c r="C263" s="62">
        <f>'Weather Analysis - Thunder Bay'!AA16</f>
        <v>175.57706766917295</v>
      </c>
      <c r="D263" s="62">
        <f>'Weather Analysis - Thunder Bay'!AA36</f>
        <v>5.6842857142857071</v>
      </c>
      <c r="E263" s="9">
        <f t="shared" si="13"/>
        <v>30</v>
      </c>
      <c r="F263" s="9">
        <f t="shared" si="13"/>
        <v>1</v>
      </c>
      <c r="G263" s="9">
        <f t="shared" si="13"/>
        <v>395543.91622361838</v>
      </c>
      <c r="H263" s="37">
        <f t="shared" si="13"/>
        <v>160.67500426280395</v>
      </c>
      <c r="I263" s="37">
        <v>145.50483460169167</v>
      </c>
      <c r="J263" s="9">
        <v>320</v>
      </c>
      <c r="K263" s="9">
        <f t="shared" si="12"/>
        <v>10455537.859595347</v>
      </c>
      <c r="L263" s="101"/>
    </row>
    <row r="264" spans="1:12">
      <c r="A264" s="2">
        <v>43009</v>
      </c>
      <c r="C264" s="62">
        <f>'Weather Analysis - Thunder Bay'!AA17</f>
        <v>357.9927819548875</v>
      </c>
      <c r="D264" s="62">
        <f>'Weather Analysis - Thunder Bay'!AA37</f>
        <v>0.78360902255639076</v>
      </c>
      <c r="E264" s="9">
        <f t="shared" si="13"/>
        <v>31</v>
      </c>
      <c r="F264" s="9">
        <f t="shared" si="13"/>
        <v>1</v>
      </c>
      <c r="G264" s="9">
        <f t="shared" si="13"/>
        <v>374939.52306308178</v>
      </c>
      <c r="H264" s="37">
        <f t="shared" si="13"/>
        <v>160.99287269124085</v>
      </c>
      <c r="I264" s="37">
        <v>145.8045507374417</v>
      </c>
      <c r="J264" s="9">
        <v>352</v>
      </c>
      <c r="K264" s="9">
        <f t="shared" si="12"/>
        <v>11480447.407593645</v>
      </c>
      <c r="L264" s="101"/>
    </row>
    <row r="265" spans="1:12">
      <c r="A265" s="2">
        <v>43040</v>
      </c>
      <c r="C265" s="62">
        <f>'Weather Analysis - Thunder Bay'!AA18</f>
        <v>558.62721804511284</v>
      </c>
      <c r="D265" s="62">
        <f>'Weather Analysis - Thunder Bay'!AA38</f>
        <v>0</v>
      </c>
      <c r="E265" s="9">
        <f t="shared" si="13"/>
        <v>30</v>
      </c>
      <c r="F265" s="9">
        <f t="shared" si="13"/>
        <v>1</v>
      </c>
      <c r="G265" s="9">
        <f t="shared" si="13"/>
        <v>354335.12990254519</v>
      </c>
      <c r="H265" s="37">
        <f t="shared" si="13"/>
        <v>161.31136996881492</v>
      </c>
      <c r="I265" s="37">
        <v>146.1048842393588</v>
      </c>
      <c r="J265" s="9">
        <v>336</v>
      </c>
      <c r="K265" s="9">
        <f t="shared" si="12"/>
        <v>12107440.006240733</v>
      </c>
      <c r="L265" s="101"/>
    </row>
    <row r="266" spans="1:12">
      <c r="A266" s="2">
        <v>43070</v>
      </c>
      <c r="C266" s="62">
        <f>'Weather Analysis - Thunder Bay'!AA19</f>
        <v>843.2869924812029</v>
      </c>
      <c r="D266" s="62">
        <f>'Weather Analysis - Thunder Bay'!AA39</f>
        <v>0</v>
      </c>
      <c r="E266" s="9">
        <f t="shared" si="13"/>
        <v>31</v>
      </c>
      <c r="F266" s="9">
        <f t="shared" si="13"/>
        <v>0</v>
      </c>
      <c r="G266" s="9">
        <f t="shared" si="13"/>
        <v>333730.73674200859</v>
      </c>
      <c r="H266" s="37">
        <f t="shared" si="13"/>
        <v>161.63049733959846</v>
      </c>
      <c r="I266" s="37">
        <v>146.40583637911641</v>
      </c>
      <c r="J266" s="9">
        <v>320</v>
      </c>
      <c r="K266" s="9">
        <f t="shared" si="12"/>
        <v>14197715.735231396</v>
      </c>
      <c r="L266" s="49">
        <f>SUM(K255:K266)</f>
        <v>143743841.9493829</v>
      </c>
    </row>
  </sheetData>
  <mergeCells count="2">
    <mergeCell ref="I1:J1"/>
    <mergeCell ref="O233:P233"/>
  </mergeCells>
  <phoneticPr fontId="0" type="noConversion"/>
  <pageMargins left="0.38" right="0.75" top="0.73" bottom="0.74" header="0.5" footer="0.5"/>
  <pageSetup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66"/>
  <sheetViews>
    <sheetView topLeftCell="C230" workbookViewId="0">
      <selection activeCell="N87" sqref="N87:T109"/>
    </sheetView>
  </sheetViews>
  <sheetFormatPr defaultRowHeight="12.75"/>
  <cols>
    <col min="1" max="1" width="11.85546875" customWidth="1"/>
    <col min="2" max="2" width="18" style="5" customWidth="1"/>
    <col min="3" max="3" width="11.7109375" style="219" customWidth="1"/>
    <col min="4" max="4" width="13.42578125" style="228" customWidth="1"/>
    <col min="5" max="5" width="10.140625" style="228" customWidth="1"/>
    <col min="6" max="7" width="12.42578125" style="228" customWidth="1"/>
    <col min="8" max="8" width="14.42578125" style="38" customWidth="1"/>
    <col min="9" max="10" width="12.42578125" style="228" hidden="1" customWidth="1"/>
    <col min="11" max="11" width="15.42578125" style="228" bestFit="1" customWidth="1"/>
    <col min="12" max="12" width="17" style="228" customWidth="1"/>
    <col min="13" max="13" width="12.42578125" style="228" customWidth="1"/>
    <col min="14" max="14" width="25.85546875" bestFit="1" customWidth="1"/>
    <col min="15" max="17" width="18" customWidth="1"/>
    <col min="18" max="18" width="17.140625" customWidth="1"/>
    <col min="19" max="20" width="15.7109375" customWidth="1"/>
    <col min="21" max="21" width="14.140625" bestFit="1" customWidth="1"/>
    <col min="22" max="22" width="25.85546875" bestFit="1" customWidth="1"/>
    <col min="23" max="23" width="12.140625" bestFit="1" customWidth="1"/>
    <col min="24" max="24" width="21" bestFit="1" customWidth="1"/>
    <col min="25" max="25" width="13.140625" bestFit="1" customWidth="1"/>
  </cols>
  <sheetData>
    <row r="1" spans="1:13">
      <c r="G1"/>
      <c r="I1" s="604" t="s">
        <v>76</v>
      </c>
      <c r="J1" s="604"/>
    </row>
    <row r="2" spans="1:13" ht="42" customHeight="1">
      <c r="B2" s="6" t="s">
        <v>77</v>
      </c>
      <c r="C2" s="220" t="s">
        <v>1</v>
      </c>
      <c r="D2" s="11" t="s">
        <v>2</v>
      </c>
      <c r="E2" s="11" t="s">
        <v>3</v>
      </c>
      <c r="F2" s="11" t="s">
        <v>14</v>
      </c>
      <c r="G2" s="11" t="s">
        <v>56</v>
      </c>
      <c r="H2" s="36" t="s">
        <v>4</v>
      </c>
      <c r="I2" s="11" t="s">
        <v>49</v>
      </c>
      <c r="J2" s="11" t="s">
        <v>58</v>
      </c>
      <c r="K2" s="11" t="s">
        <v>78</v>
      </c>
      <c r="L2" s="11" t="s">
        <v>7</v>
      </c>
      <c r="M2" s="11" t="s">
        <v>8</v>
      </c>
    </row>
    <row r="3" spans="1:13" hidden="1">
      <c r="A3" s="2">
        <v>36161</v>
      </c>
      <c r="B3" s="90">
        <f>'[11]CoS 2017 Load History'!H41</f>
        <v>11167128.489999978</v>
      </c>
      <c r="C3" s="221">
        <f>'Weather Data'!B99</f>
        <v>994.7</v>
      </c>
      <c r="D3" s="216">
        <f>'Weather Data'!C99</f>
        <v>0</v>
      </c>
      <c r="E3" s="216">
        <v>31</v>
      </c>
      <c r="F3" s="216">
        <v>0</v>
      </c>
      <c r="G3" s="216">
        <v>0</v>
      </c>
      <c r="H3" s="217">
        <v>105.44819844915847</v>
      </c>
      <c r="I3" s="218">
        <f>'[11]CoS 2017 Load History'!J41</f>
        <v>4330</v>
      </c>
      <c r="J3" s="9">
        <v>319.87200000000001</v>
      </c>
      <c r="K3" s="11"/>
      <c r="L3" s="11"/>
      <c r="M3" s="11"/>
    </row>
    <row r="4" spans="1:13" hidden="1">
      <c r="A4" s="2">
        <v>36192</v>
      </c>
      <c r="B4" s="90">
        <f>'[11]CoS 2017 Load History'!H42</f>
        <v>17327915.790000074</v>
      </c>
      <c r="C4" s="221">
        <f>'Weather Data'!B100</f>
        <v>718.7</v>
      </c>
      <c r="D4" s="216">
        <f>'Weather Data'!C100</f>
        <v>0</v>
      </c>
      <c r="E4" s="9">
        <v>28</v>
      </c>
      <c r="F4" s="9">
        <v>0</v>
      </c>
      <c r="G4" s="18">
        <v>0</v>
      </c>
      <c r="H4" s="38">
        <v>106.08666118100913</v>
      </c>
      <c r="I4" s="218">
        <f>'[11]CoS 2017 Load History'!J42</f>
        <v>4397</v>
      </c>
      <c r="J4" s="9">
        <v>319.87200000000001</v>
      </c>
      <c r="K4" s="9"/>
      <c r="L4" s="9"/>
      <c r="M4" s="14"/>
    </row>
    <row r="5" spans="1:13" hidden="1">
      <c r="A5" s="2">
        <v>36220</v>
      </c>
      <c r="B5" s="90">
        <f>'[11]CoS 2017 Load History'!H43</f>
        <v>17359594.600000046</v>
      </c>
      <c r="C5" s="221">
        <f>'Weather Data'!B101</f>
        <v>710.1</v>
      </c>
      <c r="D5" s="216">
        <f>'Weather Data'!C101</f>
        <v>0</v>
      </c>
      <c r="E5" s="9">
        <v>31</v>
      </c>
      <c r="F5" s="9">
        <v>1</v>
      </c>
      <c r="G5" s="18">
        <v>0</v>
      </c>
      <c r="H5" s="38">
        <v>106.72898964661303</v>
      </c>
      <c r="I5" s="218">
        <f>'[11]CoS 2017 Load History'!J43</f>
        <v>4397</v>
      </c>
      <c r="J5" s="9">
        <v>368.28</v>
      </c>
      <c r="K5" s="9"/>
      <c r="L5" s="9"/>
      <c r="M5" s="14"/>
    </row>
    <row r="6" spans="1:13" hidden="1">
      <c r="A6" s="2">
        <v>36251</v>
      </c>
      <c r="B6" s="90">
        <f>'[11]CoS 2017 Load History'!H44</f>
        <v>15664134.650000088</v>
      </c>
      <c r="C6" s="221">
        <f>'Weather Data'!B102</f>
        <v>407.7</v>
      </c>
      <c r="D6" s="216">
        <f>'Weather Data'!C102</f>
        <v>0</v>
      </c>
      <c r="E6" s="9">
        <v>30</v>
      </c>
      <c r="F6" s="9">
        <v>1</v>
      </c>
      <c r="G6" s="18">
        <v>0</v>
      </c>
      <c r="H6" s="38">
        <v>107.37520725203085</v>
      </c>
      <c r="I6" s="218">
        <f>'[11]CoS 2017 Load History'!J44</f>
        <v>4373</v>
      </c>
      <c r="J6" s="9">
        <v>336.24</v>
      </c>
      <c r="K6" s="9"/>
      <c r="L6" s="9"/>
      <c r="M6" s="14"/>
    </row>
    <row r="7" spans="1:13" hidden="1">
      <c r="A7" s="2">
        <v>36281</v>
      </c>
      <c r="B7" s="90">
        <f>'[11]CoS 2017 Load History'!H45</f>
        <v>13519280.619999945</v>
      </c>
      <c r="C7" s="221">
        <f>'Weather Data'!B103</f>
        <v>224.7</v>
      </c>
      <c r="D7" s="216">
        <f>'Weather Data'!C103</f>
        <v>2.6</v>
      </c>
      <c r="E7" s="9">
        <v>31</v>
      </c>
      <c r="F7" s="9">
        <v>1</v>
      </c>
      <c r="G7" s="18">
        <v>0</v>
      </c>
      <c r="H7" s="38">
        <v>108.02533754504118</v>
      </c>
      <c r="I7" s="218">
        <f>'[11]CoS 2017 Load History'!J45</f>
        <v>4345</v>
      </c>
      <c r="J7" s="9">
        <v>319.92</v>
      </c>
      <c r="K7" s="9"/>
      <c r="L7" s="9"/>
      <c r="M7" s="14"/>
    </row>
    <row r="8" spans="1:13" hidden="1">
      <c r="A8" s="2">
        <v>36312</v>
      </c>
      <c r="B8" s="90">
        <f>'[11]CoS 2017 Load History'!H46</f>
        <v>11067497.459999962</v>
      </c>
      <c r="C8" s="221">
        <f>'Weather Data'!B104</f>
        <v>91.9</v>
      </c>
      <c r="D8" s="216">
        <f>'Weather Data'!C104</f>
        <v>11.4</v>
      </c>
      <c r="E8" s="9">
        <v>30</v>
      </c>
      <c r="F8" s="9">
        <v>0</v>
      </c>
      <c r="G8" s="18">
        <v>0</v>
      </c>
      <c r="H8" s="38">
        <v>108.6794042159986</v>
      </c>
      <c r="I8" s="218">
        <f>'[11]CoS 2017 Load History'!J46</f>
        <v>4345</v>
      </c>
      <c r="J8" s="9">
        <v>352.08</v>
      </c>
      <c r="K8" s="9"/>
      <c r="L8" s="9"/>
      <c r="M8" s="14"/>
    </row>
    <row r="9" spans="1:13" hidden="1">
      <c r="A9" s="2">
        <v>36342</v>
      </c>
      <c r="B9" s="90">
        <f>'[11]CoS 2017 Load History'!H47</f>
        <v>11931407.94000005</v>
      </c>
      <c r="C9" s="221">
        <f>'Weather Data'!B105</f>
        <v>24.2</v>
      </c>
      <c r="D9" s="216">
        <f>'Weather Data'!C105</f>
        <v>59.3</v>
      </c>
      <c r="E9" s="9">
        <v>31</v>
      </c>
      <c r="F9" s="9">
        <v>0</v>
      </c>
      <c r="G9" s="18">
        <v>0</v>
      </c>
      <c r="H9" s="38">
        <v>109.33743109869688</v>
      </c>
      <c r="I9" s="218">
        <f>'[11]CoS 2017 Load History'!J47</f>
        <v>4331</v>
      </c>
      <c r="J9" s="9">
        <v>336.28800000000001</v>
      </c>
      <c r="K9" s="9"/>
      <c r="L9" s="9"/>
      <c r="M9" s="14"/>
    </row>
    <row r="10" spans="1:13" hidden="1">
      <c r="A10" s="2">
        <v>36373</v>
      </c>
      <c r="B10" s="90">
        <f>'[11]CoS 2017 Load History'!H48</f>
        <v>11870804.780000113</v>
      </c>
      <c r="C10" s="221">
        <f>'Weather Data'!B106</f>
        <v>74</v>
      </c>
      <c r="D10" s="216">
        <f>'Weather Data'!C106</f>
        <v>12.2</v>
      </c>
      <c r="E10" s="9">
        <v>31</v>
      </c>
      <c r="F10" s="9">
        <v>0</v>
      </c>
      <c r="G10" s="18">
        <v>0</v>
      </c>
      <c r="H10" s="38">
        <v>109.99944217123755</v>
      </c>
      <c r="I10" s="218">
        <f>'[11]CoS 2017 Load History'!J48</f>
        <v>4354</v>
      </c>
      <c r="J10" s="9">
        <v>336.28800000000001</v>
      </c>
      <c r="K10" s="9"/>
      <c r="L10" s="9"/>
      <c r="M10" s="14"/>
    </row>
    <row r="11" spans="1:13" hidden="1">
      <c r="A11" s="2">
        <v>36404</v>
      </c>
      <c r="B11" s="90">
        <f>'[11]CoS 2017 Load History'!H49</f>
        <v>10678451.039999977</v>
      </c>
      <c r="C11" s="221">
        <f>'Weather Data'!B107</f>
        <v>194</v>
      </c>
      <c r="D11" s="216">
        <f>'Weather Data'!C107</f>
        <v>5.7</v>
      </c>
      <c r="E11" s="9">
        <v>30</v>
      </c>
      <c r="F11" s="9">
        <v>1</v>
      </c>
      <c r="G11" s="18">
        <v>0</v>
      </c>
      <c r="H11" s="38">
        <v>110.66546155690358</v>
      </c>
      <c r="I11" s="218">
        <f>'[11]CoS 2017 Load History'!J49</f>
        <v>4342</v>
      </c>
      <c r="J11" s="9">
        <v>336.24</v>
      </c>
      <c r="K11" s="9"/>
      <c r="L11" s="9"/>
      <c r="M11" s="14"/>
    </row>
    <row r="12" spans="1:13" hidden="1">
      <c r="A12" s="2">
        <v>36434</v>
      </c>
      <c r="B12" s="90">
        <f>'[11]CoS 2017 Load History'!H50</f>
        <v>11511565.809999987</v>
      </c>
      <c r="C12" s="221">
        <f>'Weather Data'!B108</f>
        <v>423.1</v>
      </c>
      <c r="D12" s="216">
        <f>'Weather Data'!C108</f>
        <v>0</v>
      </c>
      <c r="E12" s="9">
        <v>31</v>
      </c>
      <c r="F12" s="9">
        <v>1</v>
      </c>
      <c r="G12" s="18">
        <v>0</v>
      </c>
      <c r="H12" s="38">
        <v>111.33551352503846</v>
      </c>
      <c r="I12" s="218">
        <f>'[11]CoS 2017 Load History'!J50</f>
        <v>4301</v>
      </c>
      <c r="J12" s="9">
        <v>319.92</v>
      </c>
      <c r="K12" s="9"/>
      <c r="L12" s="9"/>
      <c r="M12" s="14"/>
    </row>
    <row r="13" spans="1:13" hidden="1">
      <c r="A13" s="2">
        <v>36465</v>
      </c>
      <c r="B13" s="90">
        <f>'[11]CoS 2017 Load History'!H51</f>
        <v>11957903.960000059</v>
      </c>
      <c r="C13" s="221">
        <f>'Weather Data'!B109</f>
        <v>500.7</v>
      </c>
      <c r="D13" s="216">
        <f>'Weather Data'!C109</f>
        <v>0</v>
      </c>
      <c r="E13" s="9">
        <v>30</v>
      </c>
      <c r="F13" s="9">
        <v>1</v>
      </c>
      <c r="G13" s="18">
        <v>0</v>
      </c>
      <c r="H13" s="38">
        <v>112.00962249193054</v>
      </c>
      <c r="I13" s="218">
        <f>'[11]CoS 2017 Load History'!J51</f>
        <v>4300</v>
      </c>
      <c r="J13" s="9">
        <v>352.08</v>
      </c>
      <c r="K13" s="9"/>
      <c r="L13" s="9"/>
      <c r="M13" s="14"/>
    </row>
    <row r="14" spans="1:13" hidden="1">
      <c r="A14" s="2">
        <v>36495</v>
      </c>
      <c r="B14" s="90">
        <f>'[11]CoS 2017 Load History'!H52</f>
        <v>13635988.280000184</v>
      </c>
      <c r="C14" s="221">
        <f>'Weather Data'!B110</f>
        <v>817.1</v>
      </c>
      <c r="D14" s="216">
        <f>'Weather Data'!C110</f>
        <v>0</v>
      </c>
      <c r="E14" s="9">
        <v>31</v>
      </c>
      <c r="F14" s="9">
        <v>0</v>
      </c>
      <c r="G14" s="18">
        <v>0</v>
      </c>
      <c r="H14" s="38">
        <v>112.68781302170287</v>
      </c>
      <c r="I14" s="218">
        <f>'[11]CoS 2017 Load History'!J52</f>
        <v>4280</v>
      </c>
      <c r="J14" s="9">
        <v>336.28800000000001</v>
      </c>
      <c r="K14" s="9"/>
      <c r="L14" s="9"/>
      <c r="M14" s="14"/>
    </row>
    <row r="15" spans="1:13" hidden="1">
      <c r="A15" s="2">
        <v>36526</v>
      </c>
      <c r="B15" s="90">
        <f>'[11]CoS 2017 Load History'!H53</f>
        <v>15330630.270000041</v>
      </c>
      <c r="C15" s="221">
        <f>'Weather Data'!B111</f>
        <v>963.5</v>
      </c>
      <c r="D15" s="216">
        <f>'Weather Data'!C111</f>
        <v>0</v>
      </c>
      <c r="E15" s="9">
        <v>31</v>
      </c>
      <c r="F15" s="9">
        <v>0</v>
      </c>
      <c r="G15" s="18">
        <v>0</v>
      </c>
      <c r="H15" s="38">
        <v>113.20550742744629</v>
      </c>
      <c r="I15" s="218">
        <f>'[11]CoS 2017 Load History'!J53</f>
        <v>4363</v>
      </c>
      <c r="J15" s="9">
        <v>319.92</v>
      </c>
      <c r="K15" s="9"/>
      <c r="L15" s="9"/>
      <c r="M15" s="14"/>
    </row>
    <row r="16" spans="1:13" hidden="1">
      <c r="A16" s="2">
        <v>36557</v>
      </c>
      <c r="B16" s="90">
        <f>'[11]CoS 2017 Load History'!H54</f>
        <v>13820223.840000024</v>
      </c>
      <c r="C16" s="221">
        <f>'Weather Data'!B112</f>
        <v>711.5</v>
      </c>
      <c r="D16" s="216">
        <f>'Weather Data'!C112</f>
        <v>0</v>
      </c>
      <c r="E16" s="9">
        <v>29</v>
      </c>
      <c r="F16" s="9">
        <v>0</v>
      </c>
      <c r="G16" s="18">
        <v>0</v>
      </c>
      <c r="H16" s="38">
        <v>113.72558015157706</v>
      </c>
      <c r="I16" s="218">
        <f>'[11]CoS 2017 Load History'!J54</f>
        <v>4394</v>
      </c>
      <c r="J16" s="9">
        <v>336.16799999999995</v>
      </c>
      <c r="K16" s="9"/>
      <c r="L16" s="9"/>
      <c r="M16" s="14"/>
    </row>
    <row r="17" spans="1:13" hidden="1">
      <c r="A17" s="2">
        <v>36586</v>
      </c>
      <c r="B17" s="90">
        <f>'[11]CoS 2017 Load History'!H55</f>
        <v>13391804.699999955</v>
      </c>
      <c r="C17" s="221">
        <f>'Weather Data'!B113</f>
        <v>574.6</v>
      </c>
      <c r="D17" s="216">
        <f>'Weather Data'!C113</f>
        <v>0</v>
      </c>
      <c r="E17" s="9">
        <v>31</v>
      </c>
      <c r="F17" s="9">
        <v>1</v>
      </c>
      <c r="G17" s="18">
        <v>0</v>
      </c>
      <c r="H17" s="38">
        <v>114.24804212022897</v>
      </c>
      <c r="I17" s="218">
        <f>'[11]CoS 2017 Load History'!J55</f>
        <v>4420</v>
      </c>
      <c r="J17" s="9">
        <v>368.28</v>
      </c>
      <c r="K17" s="9"/>
      <c r="L17" s="9"/>
      <c r="M17" s="14"/>
    </row>
    <row r="18" spans="1:13" ht="15" hidden="1" customHeight="1">
      <c r="A18" s="2">
        <v>36617</v>
      </c>
      <c r="B18" s="90">
        <f>'[11]CoS 2017 Load History'!H56</f>
        <v>12031969.870000001</v>
      </c>
      <c r="C18" s="221">
        <f>'Weather Data'!B114</f>
        <v>485.6</v>
      </c>
      <c r="D18" s="216">
        <f>'Weather Data'!C114</f>
        <v>0</v>
      </c>
      <c r="E18" s="9">
        <v>30</v>
      </c>
      <c r="F18" s="9">
        <v>1</v>
      </c>
      <c r="G18" s="18">
        <v>0</v>
      </c>
      <c r="H18" s="38">
        <v>114.77290430973115</v>
      </c>
      <c r="I18" s="218">
        <f>'[11]CoS 2017 Load History'!J56</f>
        <v>4465</v>
      </c>
      <c r="J18" s="9">
        <v>303.83999999999997</v>
      </c>
      <c r="K18" s="9"/>
      <c r="L18" s="9"/>
      <c r="M18" s="14"/>
    </row>
    <row r="19" spans="1:13" hidden="1">
      <c r="A19" s="2">
        <v>36647</v>
      </c>
      <c r="B19" s="90">
        <f>'[11]CoS 2017 Load History'!H57</f>
        <v>11503053.680000041</v>
      </c>
      <c r="C19" s="221">
        <f>'Weather Data'!B115</f>
        <v>260.5</v>
      </c>
      <c r="D19" s="216">
        <f>'Weather Data'!C115</f>
        <v>0</v>
      </c>
      <c r="E19" s="9">
        <v>31</v>
      </c>
      <c r="F19" s="9">
        <v>1</v>
      </c>
      <c r="G19" s="18">
        <v>0</v>
      </c>
      <c r="H19" s="38">
        <v>115.30017774683859</v>
      </c>
      <c r="I19" s="218">
        <f>'[11]CoS 2017 Load History'!J57</f>
        <v>4459</v>
      </c>
      <c r="J19" s="9">
        <v>351.91199999999998</v>
      </c>
      <c r="K19" s="9"/>
      <c r="L19" s="9"/>
      <c r="M19" s="14"/>
    </row>
    <row r="20" spans="1:13" hidden="1">
      <c r="A20" s="2">
        <v>36678</v>
      </c>
      <c r="B20" s="90">
        <f>'[11]CoS 2017 Load History'!H58</f>
        <v>11209215.519999966</v>
      </c>
      <c r="C20" s="221">
        <f>'Weather Data'!B116</f>
        <v>155.69999999999999</v>
      </c>
      <c r="D20" s="216">
        <f>'Weather Data'!C116</f>
        <v>2.2999999999999998</v>
      </c>
      <c r="E20" s="9">
        <v>30</v>
      </c>
      <c r="F20" s="9">
        <v>0</v>
      </c>
      <c r="G20" s="18">
        <v>0</v>
      </c>
      <c r="H20" s="38">
        <v>115.82987350896386</v>
      </c>
      <c r="I20" s="218">
        <f>'[11]CoS 2017 Load History'!J58</f>
        <v>4438</v>
      </c>
      <c r="J20" s="9">
        <v>352.08</v>
      </c>
      <c r="K20" s="9"/>
      <c r="L20" s="9"/>
      <c r="M20" s="14"/>
    </row>
    <row r="21" spans="1:13" hidden="1">
      <c r="A21" s="2">
        <v>36708</v>
      </c>
      <c r="B21" s="90">
        <f>'[11]CoS 2017 Load History'!H59</f>
        <v>11730066.360000063</v>
      </c>
      <c r="C21" s="221">
        <f>'Weather Data'!B117</f>
        <v>55.7</v>
      </c>
      <c r="D21" s="216">
        <f>'Weather Data'!C117</f>
        <v>20.8</v>
      </c>
      <c r="E21" s="9">
        <v>31</v>
      </c>
      <c r="F21" s="9">
        <v>0</v>
      </c>
      <c r="G21" s="18">
        <v>0</v>
      </c>
      <c r="H21" s="38">
        <v>116.36200272440982</v>
      </c>
      <c r="I21" s="218">
        <f>'[11]CoS 2017 Load History'!J59</f>
        <v>4493</v>
      </c>
      <c r="J21" s="9">
        <v>319.92</v>
      </c>
      <c r="K21" s="9"/>
      <c r="L21" s="9"/>
      <c r="M21" s="14"/>
    </row>
    <row r="22" spans="1:13" hidden="1">
      <c r="A22" s="2">
        <v>36739</v>
      </c>
      <c r="B22" s="90">
        <f>'[11]CoS 2017 Load History'!H60</f>
        <v>11661961.490000008</v>
      </c>
      <c r="C22" s="221">
        <f>'Weather Data'!B118</f>
        <v>63.4</v>
      </c>
      <c r="D22" s="216">
        <f>'Weather Data'!C118</f>
        <v>9.8000000000000007</v>
      </c>
      <c r="E22" s="9">
        <v>31</v>
      </c>
      <c r="F22" s="9">
        <v>0</v>
      </c>
      <c r="G22" s="18">
        <v>0</v>
      </c>
      <c r="H22" s="38">
        <v>116.89657657260338</v>
      </c>
      <c r="I22" s="218">
        <f>'[11]CoS 2017 Load History'!J60</f>
        <v>4491</v>
      </c>
      <c r="J22" s="9">
        <v>351.91199999999998</v>
      </c>
      <c r="K22" s="9"/>
      <c r="L22" s="9"/>
      <c r="M22" s="14"/>
    </row>
    <row r="23" spans="1:13" hidden="1">
      <c r="A23" s="2">
        <v>36770</v>
      </c>
      <c r="B23" s="90">
        <f>'[11]CoS 2017 Load History'!H61</f>
        <v>10980046.939999988</v>
      </c>
      <c r="C23" s="221">
        <f>'Weather Data'!B119</f>
        <v>223.3</v>
      </c>
      <c r="D23" s="216">
        <f>'Weather Data'!C119</f>
        <v>0</v>
      </c>
      <c r="E23" s="9">
        <v>30</v>
      </c>
      <c r="F23" s="9">
        <v>1</v>
      </c>
      <c r="G23" s="18">
        <v>0</v>
      </c>
      <c r="H23" s="38">
        <v>117.43360628433041</v>
      </c>
      <c r="I23" s="218">
        <f>'[11]CoS 2017 Load History'!J61</f>
        <v>4492</v>
      </c>
      <c r="J23" s="9">
        <v>319.68</v>
      </c>
      <c r="K23" s="9"/>
      <c r="L23" s="9"/>
      <c r="M23" s="14"/>
    </row>
    <row r="24" spans="1:13" hidden="1">
      <c r="A24" s="2">
        <v>36800</v>
      </c>
      <c r="B24" s="90">
        <f>'[11]CoS 2017 Load History'!H62</f>
        <v>11662354.17</v>
      </c>
      <c r="C24" s="221">
        <f>'Weather Data'!B120</f>
        <v>372.2</v>
      </c>
      <c r="D24" s="216">
        <f>'Weather Data'!C120</f>
        <v>0</v>
      </c>
      <c r="E24" s="9">
        <v>31</v>
      </c>
      <c r="F24" s="9">
        <v>1</v>
      </c>
      <c r="G24" s="18">
        <v>0</v>
      </c>
      <c r="H24" s="38">
        <v>117.97310314197166</v>
      </c>
      <c r="I24" s="218">
        <f>'[11]CoS 2017 Load History'!J62</f>
        <v>4507</v>
      </c>
      <c r="J24" s="9">
        <v>336.28800000000001</v>
      </c>
      <c r="K24" s="9"/>
      <c r="L24" s="9"/>
      <c r="M24" s="14"/>
    </row>
    <row r="25" spans="1:13" hidden="1">
      <c r="A25" s="2">
        <v>36831</v>
      </c>
      <c r="B25" s="90">
        <f>'[11]CoS 2017 Load History'!H63</f>
        <v>12675809.860000007</v>
      </c>
      <c r="C25" s="221">
        <f>'Weather Data'!B121</f>
        <v>561.6</v>
      </c>
      <c r="D25" s="216">
        <f>'Weather Data'!C121</f>
        <v>0</v>
      </c>
      <c r="E25" s="9">
        <v>30</v>
      </c>
      <c r="F25" s="9">
        <v>1</v>
      </c>
      <c r="G25" s="18">
        <v>0</v>
      </c>
      <c r="H25" s="38">
        <v>118.51507847973981</v>
      </c>
      <c r="I25" s="218">
        <f>'[11]CoS 2017 Load History'!J63</f>
        <v>4517</v>
      </c>
      <c r="J25" s="9">
        <v>352.08</v>
      </c>
      <c r="K25" s="9"/>
      <c r="L25" s="9"/>
      <c r="M25" s="14"/>
    </row>
    <row r="26" spans="1:13" hidden="1">
      <c r="A26" s="2">
        <v>36861</v>
      </c>
      <c r="B26" s="90">
        <f>'[11]CoS 2017 Load History'!H64</f>
        <v>15116274.879999993</v>
      </c>
      <c r="C26" s="221">
        <f>'Weather Data'!B122</f>
        <v>1041.3</v>
      </c>
      <c r="D26" s="216">
        <f>'Weather Data'!C122</f>
        <v>0</v>
      </c>
      <c r="E26" s="9">
        <v>31</v>
      </c>
      <c r="F26" s="9">
        <v>0</v>
      </c>
      <c r="G26" s="18">
        <v>0</v>
      </c>
      <c r="H26" s="38">
        <v>119.05954368391765</v>
      </c>
      <c r="I26" s="218">
        <f>'[11]CoS 2017 Load History'!J64</f>
        <v>4526</v>
      </c>
      <c r="J26" s="9">
        <v>304.29599999999999</v>
      </c>
      <c r="K26" s="9"/>
      <c r="L26" s="9"/>
      <c r="M26" s="14"/>
    </row>
    <row r="27" spans="1:13" hidden="1">
      <c r="A27" s="2">
        <v>36892</v>
      </c>
      <c r="B27" s="90">
        <f>'[11]CoS 2017 Load History'!H65</f>
        <v>15154298.049999971</v>
      </c>
      <c r="C27" s="221">
        <f>'Weather Data'!B123</f>
        <v>898.8</v>
      </c>
      <c r="D27" s="216">
        <f>'Weather Data'!C123</f>
        <v>0</v>
      </c>
      <c r="E27" s="9">
        <v>31</v>
      </c>
      <c r="F27" s="9">
        <v>0</v>
      </c>
      <c r="G27" s="18">
        <v>0</v>
      </c>
      <c r="H27" s="38">
        <v>119.23206305749976</v>
      </c>
      <c r="I27" s="218">
        <f>'[11]CoS 2017 Load History'!J65</f>
        <v>4498</v>
      </c>
      <c r="J27" s="9">
        <v>351.91199999999998</v>
      </c>
      <c r="K27" s="9"/>
      <c r="L27" s="9"/>
      <c r="M27" s="14"/>
    </row>
    <row r="28" spans="1:13" hidden="1">
      <c r="A28" s="2">
        <v>36925</v>
      </c>
      <c r="B28" s="90">
        <f>'[11]CoS 2017 Load History'!H66</f>
        <v>13641936.870000023</v>
      </c>
      <c r="C28" s="221">
        <f>'Weather Data'!B124</f>
        <v>918.9</v>
      </c>
      <c r="D28" s="216">
        <f>'Weather Data'!C124</f>
        <v>0</v>
      </c>
      <c r="E28" s="9">
        <v>28</v>
      </c>
      <c r="F28" s="9">
        <v>0</v>
      </c>
      <c r="G28" s="18">
        <v>0</v>
      </c>
      <c r="H28" s="38">
        <v>119.40483241468957</v>
      </c>
      <c r="I28" s="218">
        <f>'[11]CoS 2017 Load History'!J66</f>
        <v>4491</v>
      </c>
      <c r="J28" s="9">
        <v>319.87200000000001</v>
      </c>
      <c r="K28" s="9"/>
      <c r="L28" s="9"/>
      <c r="M28" s="14"/>
    </row>
    <row r="29" spans="1:13" hidden="1">
      <c r="A29" s="2">
        <v>36958</v>
      </c>
      <c r="B29" s="90">
        <f>'[11]CoS 2017 Load History'!H67</f>
        <v>13648088.129999986</v>
      </c>
      <c r="C29" s="221">
        <f>'Weather Data'!B125</f>
        <v>702.7</v>
      </c>
      <c r="D29" s="216">
        <f>'Weather Data'!C125</f>
        <v>0</v>
      </c>
      <c r="E29" s="9">
        <v>31</v>
      </c>
      <c r="F29" s="9">
        <v>1</v>
      </c>
      <c r="G29" s="18">
        <v>0</v>
      </c>
      <c r="H29" s="38">
        <v>119.57785211771773</v>
      </c>
      <c r="I29" s="218">
        <f>'[11]CoS 2017 Load History'!J67</f>
        <v>4480</v>
      </c>
      <c r="J29" s="9">
        <v>351.91199999999998</v>
      </c>
      <c r="K29" s="9"/>
      <c r="L29" s="9"/>
      <c r="M29" s="14"/>
    </row>
    <row r="30" spans="1:13" hidden="1">
      <c r="A30" s="2">
        <v>36991</v>
      </c>
      <c r="B30" s="90">
        <f>'[11]CoS 2017 Load History'!H68</f>
        <v>11856071.629999984</v>
      </c>
      <c r="C30" s="221">
        <f>'Weather Data'!B126</f>
        <v>430.7</v>
      </c>
      <c r="D30" s="216">
        <f>'Weather Data'!C126</f>
        <v>0</v>
      </c>
      <c r="E30" s="9">
        <v>30</v>
      </c>
      <c r="F30" s="9">
        <v>1</v>
      </c>
      <c r="G30" s="18">
        <v>0</v>
      </c>
      <c r="H30" s="38">
        <v>119.75112252933975</v>
      </c>
      <c r="I30" s="218">
        <f>'[11]CoS 2017 Load History'!J68</f>
        <v>4472</v>
      </c>
      <c r="J30" s="9">
        <v>319.68</v>
      </c>
      <c r="K30" s="9"/>
      <c r="L30" s="9"/>
      <c r="M30" s="14"/>
    </row>
    <row r="31" spans="1:13" hidden="1">
      <c r="A31" s="2">
        <v>37024</v>
      </c>
      <c r="B31" s="90">
        <f>'[11]CoS 2017 Load History'!H69</f>
        <v>11342214.670000011</v>
      </c>
      <c r="C31" s="221">
        <f>'Weather Data'!B127</f>
        <v>239.9</v>
      </c>
      <c r="D31" s="216">
        <f>'Weather Data'!C127</f>
        <v>0</v>
      </c>
      <c r="E31" s="9">
        <v>31</v>
      </c>
      <c r="F31" s="9">
        <v>1</v>
      </c>
      <c r="G31" s="18">
        <v>0</v>
      </c>
      <c r="H31" s="38">
        <v>119.92464401283681</v>
      </c>
      <c r="I31" s="218">
        <f>'[11]CoS 2017 Load History'!J69</f>
        <v>4445</v>
      </c>
      <c r="J31" s="9">
        <v>351.91199999999998</v>
      </c>
      <c r="K31" s="9"/>
      <c r="L31" s="9"/>
      <c r="M31" s="14"/>
    </row>
    <row r="32" spans="1:13" hidden="1">
      <c r="A32" s="2">
        <v>37057</v>
      </c>
      <c r="B32" s="90">
        <f>'[11]CoS 2017 Load History'!H70</f>
        <v>11131037.810000004</v>
      </c>
      <c r="C32" s="221">
        <f>'Weather Data'!B128</f>
        <v>114</v>
      </c>
      <c r="D32" s="216">
        <f>'Weather Data'!C128</f>
        <v>15.2</v>
      </c>
      <c r="E32" s="9">
        <v>30</v>
      </c>
      <c r="F32" s="9">
        <v>0</v>
      </c>
      <c r="G32" s="18">
        <v>0</v>
      </c>
      <c r="H32" s="38">
        <v>120.09841693201646</v>
      </c>
      <c r="I32" s="218">
        <f>'[11]CoS 2017 Load History'!J70</f>
        <v>4450</v>
      </c>
      <c r="J32" s="9">
        <v>336.24</v>
      </c>
      <c r="K32" s="9"/>
      <c r="L32" s="9"/>
      <c r="M32" s="14"/>
    </row>
    <row r="33" spans="1:13" hidden="1">
      <c r="A33" s="2">
        <v>37090</v>
      </c>
      <c r="B33" s="90">
        <f>'[11]CoS 2017 Load History'!H71</f>
        <v>11725874.649999997</v>
      </c>
      <c r="C33" s="221">
        <f>'Weather Data'!B129</f>
        <v>67.2</v>
      </c>
      <c r="D33" s="216">
        <f>'Weather Data'!C129</f>
        <v>29.7</v>
      </c>
      <c r="E33" s="9">
        <v>31</v>
      </c>
      <c r="F33" s="9">
        <v>0</v>
      </c>
      <c r="G33" s="18">
        <v>0</v>
      </c>
      <c r="H33" s="38">
        <v>120.27244165121344</v>
      </c>
      <c r="I33" s="218">
        <f>'[11]CoS 2017 Load History'!J71</f>
        <v>4422</v>
      </c>
      <c r="J33" s="9">
        <v>336.28800000000001</v>
      </c>
      <c r="K33" s="9"/>
      <c r="L33" s="9"/>
      <c r="M33" s="14"/>
    </row>
    <row r="34" spans="1:13" hidden="1">
      <c r="A34" s="2">
        <v>37123</v>
      </c>
      <c r="B34" s="90">
        <f>'[11]CoS 2017 Load History'!H72</f>
        <v>11877642.739999982</v>
      </c>
      <c r="C34" s="221">
        <f>'Weather Data'!B130</f>
        <v>40.200000000000003</v>
      </c>
      <c r="D34" s="216">
        <f>'Weather Data'!C130</f>
        <v>56.1</v>
      </c>
      <c r="E34" s="9">
        <v>31</v>
      </c>
      <c r="F34" s="9">
        <v>0</v>
      </c>
      <c r="G34" s="18">
        <v>0</v>
      </c>
      <c r="H34" s="38">
        <v>120.4467185352904</v>
      </c>
      <c r="I34" s="218">
        <f>'[11]CoS 2017 Load History'!J72</f>
        <v>4435</v>
      </c>
      <c r="J34" s="9">
        <v>351.91199999999998</v>
      </c>
      <c r="K34" s="9"/>
      <c r="L34" s="9"/>
      <c r="M34" s="14"/>
    </row>
    <row r="35" spans="1:13" hidden="1">
      <c r="A35" s="2">
        <v>37156</v>
      </c>
      <c r="B35" s="90">
        <f>'[11]CoS 2017 Load History'!H73</f>
        <v>11035991.490000013</v>
      </c>
      <c r="C35" s="221">
        <f>'Weather Data'!B131</f>
        <v>187.7</v>
      </c>
      <c r="D35" s="216">
        <f>'Weather Data'!C131</f>
        <v>6.8</v>
      </c>
      <c r="E35" s="9">
        <v>30</v>
      </c>
      <c r="F35" s="9">
        <v>1</v>
      </c>
      <c r="G35" s="18">
        <v>0</v>
      </c>
      <c r="H35" s="38">
        <v>120.62124794963869</v>
      </c>
      <c r="I35" s="218">
        <f>'[11]CoS 2017 Load History'!J73</f>
        <v>4439</v>
      </c>
      <c r="J35" s="9">
        <v>303.83999999999997</v>
      </c>
      <c r="K35" s="9"/>
      <c r="L35" s="9"/>
      <c r="M35" s="14"/>
    </row>
    <row r="36" spans="1:13" hidden="1">
      <c r="A36" s="2">
        <v>37189</v>
      </c>
      <c r="B36" s="90">
        <f>'[11]CoS 2017 Load History'!H74</f>
        <v>11725611.659999957</v>
      </c>
      <c r="C36" s="221">
        <f>'Weather Data'!B132</f>
        <v>408.6</v>
      </c>
      <c r="D36" s="216">
        <f>'Weather Data'!C132</f>
        <v>0</v>
      </c>
      <c r="E36" s="9">
        <v>31</v>
      </c>
      <c r="F36" s="9">
        <v>1</v>
      </c>
      <c r="G36" s="18">
        <v>0</v>
      </c>
      <c r="H36" s="38">
        <v>120.79603026017911</v>
      </c>
      <c r="I36" s="218">
        <f>'[11]CoS 2017 Load History'!J74</f>
        <v>4440</v>
      </c>
      <c r="J36" s="9">
        <v>351.91199999999998</v>
      </c>
      <c r="K36" s="9"/>
      <c r="L36" s="9"/>
      <c r="M36" s="14"/>
    </row>
    <row r="37" spans="1:13" hidden="1">
      <c r="A37" s="2">
        <v>37222</v>
      </c>
      <c r="B37" s="90">
        <f>'[11]CoS 2017 Load History'!H75</f>
        <v>12317932.960000003</v>
      </c>
      <c r="C37" s="221">
        <f>'Weather Data'!B133</f>
        <v>458.8</v>
      </c>
      <c r="D37" s="216">
        <f>'Weather Data'!C133</f>
        <v>0</v>
      </c>
      <c r="E37" s="9">
        <v>30</v>
      </c>
      <c r="F37" s="9">
        <v>1</v>
      </c>
      <c r="G37" s="18">
        <v>0</v>
      </c>
      <c r="H37" s="38">
        <v>120.9710658333627</v>
      </c>
      <c r="I37" s="218">
        <f>'[11]CoS 2017 Load History'!J75</f>
        <v>4465</v>
      </c>
      <c r="J37" s="9">
        <v>352.08</v>
      </c>
      <c r="K37" s="9"/>
      <c r="L37" s="9"/>
      <c r="M37" s="14"/>
    </row>
    <row r="38" spans="1:13" hidden="1">
      <c r="A38" s="2">
        <v>37255</v>
      </c>
      <c r="B38" s="90">
        <f>'[11]CoS 2017 Load History'!H76</f>
        <v>13753116.740000051</v>
      </c>
      <c r="C38" s="221">
        <f>'Weather Data'!B134</f>
        <v>716.4</v>
      </c>
      <c r="D38" s="216">
        <f>'Weather Data'!C134</f>
        <v>0</v>
      </c>
      <c r="E38" s="9">
        <v>31</v>
      </c>
      <c r="F38" s="9">
        <v>0</v>
      </c>
      <c r="G38" s="18">
        <v>0</v>
      </c>
      <c r="H38" s="38">
        <v>121.1463550361714</v>
      </c>
      <c r="I38" s="218">
        <f>'[11]CoS 2017 Load History'!J76</f>
        <v>4471</v>
      </c>
      <c r="J38" s="9">
        <v>304.29599999999999</v>
      </c>
      <c r="K38" s="9"/>
      <c r="L38" s="9"/>
      <c r="M38" s="14"/>
    </row>
    <row r="39" spans="1:13" hidden="1">
      <c r="A39" s="13">
        <v>37275</v>
      </c>
      <c r="B39" s="90">
        <f>'[11]CoS 2017 Load History'!H77</f>
        <v>14717580.350000001</v>
      </c>
      <c r="C39" s="221">
        <f>'Weather Data'!B135</f>
        <v>873.9</v>
      </c>
      <c r="D39" s="216">
        <f>'Weather Data'!C135</f>
        <v>0</v>
      </c>
      <c r="E39" s="9">
        <v>31</v>
      </c>
      <c r="F39" s="9">
        <v>0</v>
      </c>
      <c r="G39" s="18">
        <v>0</v>
      </c>
      <c r="H39" s="38">
        <v>121.50450639216388</v>
      </c>
      <c r="I39" s="218">
        <f>'[11]CoS 2017 Load History'!J77</f>
        <v>4441</v>
      </c>
      <c r="J39" s="9">
        <v>351.91199999999998</v>
      </c>
      <c r="K39" s="9"/>
      <c r="L39" s="9"/>
      <c r="M39" s="14"/>
    </row>
    <row r="40" spans="1:13" hidden="1">
      <c r="A40" s="2">
        <v>37308</v>
      </c>
      <c r="B40" s="90">
        <f>'[11]CoS 2017 Load History'!H78</f>
        <v>13558641.52</v>
      </c>
      <c r="C40" s="221">
        <f>'Weather Data'!B136</f>
        <v>733</v>
      </c>
      <c r="D40" s="216">
        <f>'Weather Data'!C136</f>
        <v>0</v>
      </c>
      <c r="E40" s="9">
        <v>28</v>
      </c>
      <c r="F40" s="9">
        <v>0</v>
      </c>
      <c r="G40" s="18">
        <v>0</v>
      </c>
      <c r="H40" s="38">
        <v>121.86371656989111</v>
      </c>
      <c r="I40" s="218">
        <f>'[11]CoS 2017 Load History'!J78</f>
        <v>4426</v>
      </c>
      <c r="J40" s="9">
        <v>319.87200000000001</v>
      </c>
      <c r="K40" s="9"/>
      <c r="L40" s="9"/>
      <c r="M40" s="14"/>
    </row>
    <row r="41" spans="1:13" hidden="1">
      <c r="A41" s="2">
        <v>37341</v>
      </c>
      <c r="B41" s="90">
        <f>'[11]CoS 2017 Load History'!H79</f>
        <v>14209911.489999987</v>
      </c>
      <c r="C41" s="221">
        <f>'Weather Data'!B137</f>
        <v>804.7</v>
      </c>
      <c r="D41" s="216">
        <f>'Weather Data'!C137</f>
        <v>0</v>
      </c>
      <c r="E41" s="9">
        <v>31</v>
      </c>
      <c r="F41" s="9">
        <v>1</v>
      </c>
      <c r="G41" s="18">
        <v>0</v>
      </c>
      <c r="H41" s="38">
        <v>122.22398869960362</v>
      </c>
      <c r="I41" s="218">
        <f>'[11]CoS 2017 Load History'!J79</f>
        <v>4441</v>
      </c>
      <c r="J41" s="9">
        <v>319.92</v>
      </c>
      <c r="K41" s="9"/>
      <c r="L41" s="9"/>
      <c r="M41" s="14"/>
    </row>
    <row r="42" spans="1:13" hidden="1">
      <c r="A42" s="2">
        <v>37374</v>
      </c>
      <c r="B42" s="90">
        <f>'[11]CoS 2017 Load History'!H80</f>
        <v>12272586.760000007</v>
      </c>
      <c r="C42" s="221">
        <f>'Weather Data'!B138</f>
        <v>462.3</v>
      </c>
      <c r="D42" s="216">
        <f>'Weather Data'!C138</f>
        <v>0</v>
      </c>
      <c r="E42" s="9">
        <v>30</v>
      </c>
      <c r="F42" s="9">
        <v>1</v>
      </c>
      <c r="G42" s="18">
        <v>0</v>
      </c>
      <c r="H42" s="38">
        <v>122.58532592080604</v>
      </c>
      <c r="I42" s="218">
        <f>'[11]CoS 2017 Load History'!J80</f>
        <v>4442</v>
      </c>
      <c r="J42" s="9">
        <v>352.08</v>
      </c>
      <c r="K42" s="9"/>
      <c r="L42" s="9"/>
      <c r="M42" s="14"/>
    </row>
    <row r="43" spans="1:13" hidden="1">
      <c r="A43" s="2">
        <v>37407</v>
      </c>
      <c r="B43" s="90">
        <f>'[11]CoS 2017 Load History'!H81</f>
        <v>11551602.899999985</v>
      </c>
      <c r="C43" s="221">
        <f>'Weather Data'!B139</f>
        <v>335</v>
      </c>
      <c r="D43" s="216">
        <f>'Weather Data'!C139</f>
        <v>0.5</v>
      </c>
      <c r="E43" s="9">
        <v>31</v>
      </c>
      <c r="F43" s="9">
        <v>1</v>
      </c>
      <c r="G43" s="18">
        <v>0</v>
      </c>
      <c r="H43" s="38">
        <v>122.9477313822845</v>
      </c>
      <c r="I43" s="218">
        <f>'[11]CoS 2017 Load History'!J81</f>
        <v>4426</v>
      </c>
      <c r="J43" s="9">
        <v>351.91199999999998</v>
      </c>
      <c r="K43" s="9"/>
      <c r="L43" s="9"/>
      <c r="M43" s="14"/>
    </row>
    <row r="44" spans="1:13" hidden="1">
      <c r="A44" s="2">
        <v>37408</v>
      </c>
      <c r="B44" s="90">
        <f>'[11]CoS 2017 Load History'!H82</f>
        <v>11122434.069999963</v>
      </c>
      <c r="C44" s="221">
        <f>'Weather Data'!B140</f>
        <v>114.4</v>
      </c>
      <c r="D44" s="216">
        <f>'Weather Data'!C140</f>
        <v>14.2</v>
      </c>
      <c r="E44" s="9">
        <v>30</v>
      </c>
      <c r="F44" s="9">
        <v>0</v>
      </c>
      <c r="G44" s="18">
        <v>0</v>
      </c>
      <c r="H44" s="38">
        <v>123.31120824213403</v>
      </c>
      <c r="I44" s="218">
        <f>'[11]CoS 2017 Load History'!J82</f>
        <v>4443</v>
      </c>
      <c r="J44" s="9">
        <v>319.68</v>
      </c>
      <c r="K44" s="9"/>
      <c r="L44" s="9"/>
      <c r="M44" s="14"/>
    </row>
    <row r="45" spans="1:13" hidden="1">
      <c r="A45" s="2">
        <v>37440</v>
      </c>
      <c r="B45" s="90">
        <f>'[11]CoS 2017 Load History'!H83</f>
        <v>12307378.490000024</v>
      </c>
      <c r="C45" s="221">
        <f>'Weather Data'!B141</f>
        <v>17.899999999999999</v>
      </c>
      <c r="D45" s="216">
        <f>'Weather Data'!C141</f>
        <v>79.3</v>
      </c>
      <c r="E45" s="9">
        <v>31</v>
      </c>
      <c r="F45" s="9">
        <v>0</v>
      </c>
      <c r="G45" s="18">
        <v>0</v>
      </c>
      <c r="H45" s="38">
        <v>123.67575966778612</v>
      </c>
      <c r="I45" s="218">
        <f>'[11]CoS 2017 Load History'!J83</f>
        <v>4432</v>
      </c>
      <c r="J45" s="9">
        <v>351.91199999999998</v>
      </c>
      <c r="K45" s="9"/>
      <c r="L45" s="9"/>
      <c r="M45" s="14"/>
    </row>
    <row r="46" spans="1:13" hidden="1">
      <c r="A46" s="2">
        <v>37473</v>
      </c>
      <c r="B46" s="90">
        <f>'[11]CoS 2017 Load History'!H84</f>
        <v>11929052.770000022</v>
      </c>
      <c r="C46" s="221">
        <f>'Weather Data'!B142</f>
        <v>49.7</v>
      </c>
      <c r="D46" s="216">
        <f>'Weather Data'!C142</f>
        <v>15.5</v>
      </c>
      <c r="E46" s="9">
        <v>31</v>
      </c>
      <c r="F46" s="9">
        <v>0</v>
      </c>
      <c r="G46" s="18">
        <v>0</v>
      </c>
      <c r="H46" s="38">
        <v>124.04138883603632</v>
      </c>
      <c r="I46" s="218">
        <f>'[11]CoS 2017 Load History'!J84</f>
        <v>4437</v>
      </c>
      <c r="J46" s="9">
        <v>336.28800000000001</v>
      </c>
      <c r="K46" s="9"/>
      <c r="L46" s="9"/>
      <c r="M46" s="14"/>
    </row>
    <row r="47" spans="1:13" hidden="1">
      <c r="A47" s="2">
        <v>37506</v>
      </c>
      <c r="B47" s="90">
        <f>'[11]CoS 2017 Load History'!H85</f>
        <v>11239412.900000025</v>
      </c>
      <c r="C47" s="221">
        <f>'Weather Data'!B143</f>
        <v>143.5</v>
      </c>
      <c r="D47" s="216">
        <f>'Weather Data'!C143</f>
        <v>20.9</v>
      </c>
      <c r="E47" s="9">
        <v>30</v>
      </c>
      <c r="F47" s="9">
        <v>1</v>
      </c>
      <c r="G47" s="18">
        <v>0</v>
      </c>
      <c r="H47" s="38">
        <v>124.40809893307186</v>
      </c>
      <c r="I47" s="218">
        <f>'[11]CoS 2017 Load History'!J85</f>
        <v>4403</v>
      </c>
      <c r="J47" s="9">
        <v>319.68</v>
      </c>
      <c r="K47" s="9"/>
      <c r="L47" s="9"/>
      <c r="M47" s="14"/>
    </row>
    <row r="48" spans="1:13" hidden="1">
      <c r="A48" s="2">
        <v>37539</v>
      </c>
      <c r="B48" s="90">
        <f>'[11]CoS 2017 Load History'!H86</f>
        <v>11801421.799999995</v>
      </c>
      <c r="C48" s="221">
        <f>'Weather Data'!B144</f>
        <v>510.1</v>
      </c>
      <c r="D48" s="216">
        <f>'Weather Data'!C144</f>
        <v>0</v>
      </c>
      <c r="E48" s="9">
        <v>31</v>
      </c>
      <c r="F48" s="9">
        <v>1</v>
      </c>
      <c r="G48" s="18">
        <v>0</v>
      </c>
      <c r="H48" s="38">
        <v>124.7758931544995</v>
      </c>
      <c r="I48" s="218">
        <f>'[11]CoS 2017 Load History'!J86</f>
        <v>4432</v>
      </c>
      <c r="J48" s="9">
        <v>351.91199999999998</v>
      </c>
      <c r="K48" s="9"/>
      <c r="L48" s="9"/>
      <c r="M48" s="14"/>
    </row>
    <row r="49" spans="1:13" hidden="1">
      <c r="A49" s="2">
        <v>37572</v>
      </c>
      <c r="B49" s="90">
        <f>'[11]CoS 2017 Load History'!H87</f>
        <v>12822028.619999986</v>
      </c>
      <c r="C49" s="221">
        <f>'Weather Data'!B145</f>
        <v>668</v>
      </c>
      <c r="D49" s="216">
        <f>'Weather Data'!C145</f>
        <v>0</v>
      </c>
      <c r="E49" s="9">
        <v>30</v>
      </c>
      <c r="F49" s="9">
        <v>1</v>
      </c>
      <c r="G49" s="18">
        <v>0</v>
      </c>
      <c r="H49" s="38">
        <v>125.14477470537335</v>
      </c>
      <c r="I49" s="218">
        <f>'[11]CoS 2017 Load History'!J87</f>
        <v>4430</v>
      </c>
      <c r="J49" s="9">
        <v>336.24</v>
      </c>
      <c r="K49" s="9"/>
      <c r="L49" s="9"/>
      <c r="M49" s="14"/>
    </row>
    <row r="50" spans="1:13" hidden="1">
      <c r="A50" s="34">
        <v>37605</v>
      </c>
      <c r="B50" s="90">
        <f>'[11]CoS 2017 Load History'!H88</f>
        <v>14078380.420000011</v>
      </c>
      <c r="C50" s="221">
        <f>'Weather Data'!B146</f>
        <v>785.6</v>
      </c>
      <c r="D50" s="216">
        <f>'Weather Data'!C146</f>
        <v>0</v>
      </c>
      <c r="E50" s="18">
        <v>31</v>
      </c>
      <c r="F50" s="18">
        <v>0</v>
      </c>
      <c r="G50" s="18">
        <v>0</v>
      </c>
      <c r="H50" s="39">
        <v>125.51474680022261</v>
      </c>
      <c r="I50" s="218">
        <f>'[11]CoS 2017 Load History'!J88</f>
        <v>4411</v>
      </c>
      <c r="J50" s="9">
        <v>319.92</v>
      </c>
      <c r="K50" s="9"/>
      <c r="L50" s="9"/>
      <c r="M50" s="33"/>
    </row>
    <row r="51" spans="1:13" hidden="1">
      <c r="A51" s="2">
        <v>37622</v>
      </c>
      <c r="B51" s="90">
        <f>'[11]CoS 2017 Load History'!H89</f>
        <v>14832051.379999967</v>
      </c>
      <c r="C51" s="221">
        <f>'Weather Data'!B147</f>
        <v>907.4</v>
      </c>
      <c r="D51" s="216">
        <f>'Weather Data'!C147</f>
        <v>0</v>
      </c>
      <c r="E51" s="9">
        <v>31</v>
      </c>
      <c r="F51" s="9">
        <v>0</v>
      </c>
      <c r="G51" s="18">
        <v>0</v>
      </c>
      <c r="H51" s="38">
        <v>125.66024937363977</v>
      </c>
      <c r="I51" s="218">
        <f>'[11]CoS 2017 Load History'!J89</f>
        <v>4415</v>
      </c>
      <c r="J51" s="9">
        <v>351.91199999999998</v>
      </c>
      <c r="K51" s="9"/>
      <c r="L51" s="9"/>
      <c r="M51" s="14"/>
    </row>
    <row r="52" spans="1:13" hidden="1">
      <c r="A52" s="2">
        <v>37653</v>
      </c>
      <c r="B52" s="90">
        <f>'[11]CoS 2017 Load History'!H90</f>
        <v>13779215.899999993</v>
      </c>
      <c r="C52" s="221">
        <f>'Weather Data'!B148</f>
        <v>969.6</v>
      </c>
      <c r="D52" s="216">
        <f>'Weather Data'!C148</f>
        <v>0</v>
      </c>
      <c r="E52" s="9">
        <v>28</v>
      </c>
      <c r="F52" s="9">
        <v>0</v>
      </c>
      <c r="G52" s="18">
        <v>0</v>
      </c>
      <c r="H52" s="38">
        <v>125.80592062045517</v>
      </c>
      <c r="I52" s="218">
        <f>'[11]CoS 2017 Load History'!J90</f>
        <v>4377</v>
      </c>
      <c r="J52" s="9">
        <v>319.87200000000001</v>
      </c>
      <c r="K52" s="9"/>
      <c r="L52" s="9"/>
      <c r="M52" s="14"/>
    </row>
    <row r="53" spans="1:13" hidden="1">
      <c r="A53" s="2">
        <v>37681</v>
      </c>
      <c r="B53" s="90">
        <f>'[11]CoS 2017 Load History'!H91</f>
        <v>13829301.070000036</v>
      </c>
      <c r="C53" s="221">
        <f>'Weather Data'!B149</f>
        <v>765.1</v>
      </c>
      <c r="D53" s="216">
        <f>'Weather Data'!C149</f>
        <v>0</v>
      </c>
      <c r="E53" s="9">
        <v>31</v>
      </c>
      <c r="F53" s="9">
        <v>1</v>
      </c>
      <c r="G53" s="18">
        <v>0</v>
      </c>
      <c r="H53" s="38">
        <v>125.9517607362029</v>
      </c>
      <c r="I53" s="218">
        <f>'[11]CoS 2017 Load History'!J91</f>
        <v>4394</v>
      </c>
      <c r="J53" s="9">
        <v>336.28800000000001</v>
      </c>
      <c r="K53" s="9"/>
      <c r="L53" s="9"/>
      <c r="M53" s="14"/>
    </row>
    <row r="54" spans="1:13" hidden="1">
      <c r="A54" s="2">
        <v>37712</v>
      </c>
      <c r="B54" s="90">
        <f>'[11]CoS 2017 Load History'!H92</f>
        <v>11430988.720000001</v>
      </c>
      <c r="C54" s="221">
        <f>'Weather Data'!B150</f>
        <v>499.3</v>
      </c>
      <c r="D54" s="216">
        <f>'Weather Data'!C150</f>
        <v>0</v>
      </c>
      <c r="E54" s="9">
        <v>30</v>
      </c>
      <c r="F54" s="9">
        <v>1</v>
      </c>
      <c r="G54" s="18">
        <v>0</v>
      </c>
      <c r="H54" s="38">
        <v>126.09776991664374</v>
      </c>
      <c r="I54" s="218">
        <f>'[11]CoS 2017 Load History'!J92</f>
        <v>4387</v>
      </c>
      <c r="J54" s="9">
        <v>336.24</v>
      </c>
      <c r="K54" s="9"/>
      <c r="L54" s="9"/>
      <c r="M54" s="14"/>
    </row>
    <row r="55" spans="1:13" hidden="1">
      <c r="A55" s="2">
        <v>37742</v>
      </c>
      <c r="B55" s="90">
        <f>'[11]CoS 2017 Load History'!H93</f>
        <v>10893804.240000037</v>
      </c>
      <c r="C55" s="221">
        <f>'Weather Data'!B151</f>
        <v>276.39999999999998</v>
      </c>
      <c r="D55" s="216">
        <f>'Weather Data'!C151</f>
        <v>0</v>
      </c>
      <c r="E55" s="9">
        <v>31</v>
      </c>
      <c r="F55" s="9">
        <v>1</v>
      </c>
      <c r="G55" s="18">
        <v>0</v>
      </c>
      <c r="H55" s="38">
        <v>126.2439483577654</v>
      </c>
      <c r="I55" s="218">
        <f>'[11]CoS 2017 Load History'!J93</f>
        <v>4398</v>
      </c>
      <c r="J55" s="9">
        <v>336.28800000000001</v>
      </c>
      <c r="K55" s="9"/>
      <c r="L55" s="9"/>
      <c r="M55" s="14"/>
    </row>
    <row r="56" spans="1:13" hidden="1">
      <c r="A56" s="2">
        <v>37773</v>
      </c>
      <c r="B56" s="90">
        <f>'[11]CoS 2017 Load History'!H94</f>
        <v>10521914.630000027</v>
      </c>
      <c r="C56" s="221">
        <f>'Weather Data'!B152</f>
        <v>129.30000000000001</v>
      </c>
      <c r="D56" s="216">
        <f>'Weather Data'!C152</f>
        <v>0</v>
      </c>
      <c r="E56" s="9">
        <v>30</v>
      </c>
      <c r="F56" s="9">
        <v>0</v>
      </c>
      <c r="G56" s="18">
        <v>0</v>
      </c>
      <c r="H56" s="38">
        <v>126.3902962557828</v>
      </c>
      <c r="I56" s="218">
        <f>'[11]CoS 2017 Load History'!J94</f>
        <v>4361</v>
      </c>
      <c r="J56" s="9">
        <v>336.24</v>
      </c>
      <c r="K56" s="9"/>
      <c r="L56" s="9"/>
      <c r="M56" s="14"/>
    </row>
    <row r="57" spans="1:13" hidden="1">
      <c r="A57" s="2">
        <v>37803</v>
      </c>
      <c r="B57" s="90">
        <f>'[11]CoS 2017 Load History'!H95</f>
        <v>11128406.430000007</v>
      </c>
      <c r="C57" s="221">
        <f>'Weather Data'!B153</f>
        <v>29.9</v>
      </c>
      <c r="D57" s="216">
        <f>'Weather Data'!C153</f>
        <v>18.2</v>
      </c>
      <c r="E57" s="9">
        <v>31</v>
      </c>
      <c r="F57" s="9">
        <v>0</v>
      </c>
      <c r="G57" s="18">
        <v>0</v>
      </c>
      <c r="H57" s="38">
        <v>126.5368138071383</v>
      </c>
      <c r="I57" s="218">
        <f>'[11]CoS 2017 Load History'!J95</f>
        <v>4354</v>
      </c>
      <c r="J57" s="9">
        <v>351.91199999999998</v>
      </c>
      <c r="K57" s="9"/>
      <c r="L57" s="9"/>
      <c r="M57" s="14"/>
    </row>
    <row r="58" spans="1:13" hidden="1">
      <c r="A58" s="2">
        <v>37834</v>
      </c>
      <c r="B58" s="90">
        <f>'[11]CoS 2017 Load History'!H96</f>
        <v>11424088.600000011</v>
      </c>
      <c r="C58" s="221">
        <f>'Weather Data'!B154</f>
        <v>35.6</v>
      </c>
      <c r="D58" s="216">
        <f>'Weather Data'!C154</f>
        <v>50.9</v>
      </c>
      <c r="E58" s="9">
        <v>31</v>
      </c>
      <c r="F58" s="9">
        <v>0</v>
      </c>
      <c r="G58" s="18">
        <v>0</v>
      </c>
      <c r="H58" s="38">
        <v>126.68350120850199</v>
      </c>
      <c r="I58" s="218">
        <f>'[11]CoS 2017 Load History'!J96</f>
        <v>4366</v>
      </c>
      <c r="J58" s="9">
        <v>319.92</v>
      </c>
      <c r="K58" s="9"/>
      <c r="L58" s="9"/>
      <c r="M58" s="14"/>
    </row>
    <row r="59" spans="1:13" hidden="1">
      <c r="A59" s="2">
        <v>37865</v>
      </c>
      <c r="B59" s="90">
        <f>'[11]CoS 2017 Load History'!H97</f>
        <v>10536500.330000013</v>
      </c>
      <c r="C59" s="221">
        <f>'Weather Data'!B155</f>
        <v>164</v>
      </c>
      <c r="D59" s="216">
        <f>'Weather Data'!C155</f>
        <v>6.7</v>
      </c>
      <c r="E59" s="9">
        <v>30</v>
      </c>
      <c r="F59" s="9">
        <v>1</v>
      </c>
      <c r="G59" s="18">
        <v>0</v>
      </c>
      <c r="H59" s="38">
        <v>126.83035865677196</v>
      </c>
      <c r="I59" s="218">
        <f>'[11]CoS 2017 Load History'!J97</f>
        <v>4384</v>
      </c>
      <c r="J59" s="9">
        <v>336.24</v>
      </c>
      <c r="K59" s="9"/>
      <c r="L59" s="9"/>
      <c r="M59" s="14"/>
    </row>
    <row r="60" spans="1:13" hidden="1">
      <c r="A60" s="2">
        <v>37895</v>
      </c>
      <c r="B60" s="90">
        <f>'[11]CoS 2017 Load History'!H98</f>
        <v>11282977.670000009</v>
      </c>
      <c r="C60" s="221">
        <f>'Weather Data'!B156</f>
        <v>414.2</v>
      </c>
      <c r="D60" s="216">
        <f>'Weather Data'!C156</f>
        <v>0</v>
      </c>
      <c r="E60" s="9">
        <v>31</v>
      </c>
      <c r="F60" s="9">
        <v>1</v>
      </c>
      <c r="G60" s="18">
        <v>0</v>
      </c>
      <c r="H60" s="38">
        <v>126.97738634907456</v>
      </c>
      <c r="I60" s="218">
        <f>'[11]CoS 2017 Load History'!J98</f>
        <v>4391</v>
      </c>
      <c r="J60" s="9">
        <v>351.91199999999998</v>
      </c>
      <c r="K60" s="9"/>
      <c r="L60" s="9"/>
      <c r="M60" s="14"/>
    </row>
    <row r="61" spans="1:13" hidden="1">
      <c r="A61" s="2">
        <v>37926</v>
      </c>
      <c r="B61" s="90">
        <f>'[11]CoS 2017 Load History'!H99</f>
        <v>12256111.299999986</v>
      </c>
      <c r="C61" s="221">
        <f>'Weather Data'!B157</f>
        <v>632.9</v>
      </c>
      <c r="D61" s="216">
        <f>'Weather Data'!C157</f>
        <v>0</v>
      </c>
      <c r="E61" s="9">
        <v>30</v>
      </c>
      <c r="F61" s="9">
        <v>1</v>
      </c>
      <c r="G61" s="18">
        <v>0</v>
      </c>
      <c r="H61" s="38">
        <v>127.12458448276465</v>
      </c>
      <c r="I61" s="218">
        <f>'[11]CoS 2017 Load History'!J99</f>
        <v>4392</v>
      </c>
      <c r="J61" s="9">
        <v>319.68</v>
      </c>
      <c r="K61" s="9"/>
      <c r="L61" s="9"/>
      <c r="M61" s="14"/>
    </row>
    <row r="62" spans="1:13" hidden="1">
      <c r="A62" s="2">
        <v>37956</v>
      </c>
      <c r="B62" s="90">
        <f>'[11]CoS 2017 Load History'!H100</f>
        <v>13505417.100000024</v>
      </c>
      <c r="C62" s="221">
        <f>'Weather Data'!B158</f>
        <v>785.9</v>
      </c>
      <c r="D62" s="216">
        <f>'Weather Data'!C158</f>
        <v>0</v>
      </c>
      <c r="E62" s="9">
        <v>31</v>
      </c>
      <c r="F62" s="9">
        <v>0</v>
      </c>
      <c r="G62" s="18">
        <v>0</v>
      </c>
      <c r="H62" s="38">
        <v>127.27195325542573</v>
      </c>
      <c r="I62" s="218">
        <f>'[11]CoS 2017 Load History'!J100</f>
        <v>4385</v>
      </c>
      <c r="J62" s="9">
        <v>336.28800000000001</v>
      </c>
      <c r="K62" s="9"/>
      <c r="L62" s="9"/>
      <c r="M62" s="14"/>
    </row>
    <row r="63" spans="1:13" hidden="1">
      <c r="A63" s="2">
        <v>37987</v>
      </c>
      <c r="B63" s="90">
        <f>'[11]CoS 2017 Load History'!H101</f>
        <v>14816217.600000024</v>
      </c>
      <c r="C63" s="221">
        <f>'Weather Data'!B159</f>
        <v>1140.5999999999999</v>
      </c>
      <c r="D63" s="216">
        <f>'Weather Data'!C159</f>
        <v>0</v>
      </c>
      <c r="E63" s="9">
        <v>31</v>
      </c>
      <c r="F63" s="9">
        <v>0</v>
      </c>
      <c r="G63" s="18">
        <v>0</v>
      </c>
      <c r="H63" s="38">
        <v>127.53411264087498</v>
      </c>
      <c r="I63" s="218">
        <f>'[11]CoS 2017 Load History'!J101</f>
        <v>4415</v>
      </c>
      <c r="J63" s="9">
        <v>336.28800000000001</v>
      </c>
      <c r="K63" s="9"/>
      <c r="L63" s="9"/>
      <c r="M63" s="14"/>
    </row>
    <row r="64" spans="1:13" hidden="1">
      <c r="A64" s="2">
        <v>38018</v>
      </c>
      <c r="B64" s="90">
        <f>'[11]CoS 2017 Load History'!H102</f>
        <v>13887023.500000006</v>
      </c>
      <c r="C64" s="221">
        <f>'Weather Data'!B160</f>
        <v>778.3</v>
      </c>
      <c r="D64" s="216">
        <f>'Weather Data'!C160</f>
        <v>0</v>
      </c>
      <c r="E64" s="9">
        <v>29</v>
      </c>
      <c r="F64" s="9">
        <v>0</v>
      </c>
      <c r="G64" s="18">
        <v>0</v>
      </c>
      <c r="H64" s="38">
        <v>127.79681203173486</v>
      </c>
      <c r="I64" s="218">
        <f>'[11]CoS 2017 Load History'!J102</f>
        <v>4423</v>
      </c>
      <c r="J64" s="9">
        <v>320.16000000000003</v>
      </c>
      <c r="K64" s="9"/>
      <c r="L64" s="9"/>
      <c r="M64" s="14"/>
    </row>
    <row r="65" spans="1:41" hidden="1">
      <c r="A65" s="2">
        <v>38047</v>
      </c>
      <c r="B65" s="90">
        <f>'[11]CoS 2017 Load History'!H103</f>
        <v>13418396.62999998</v>
      </c>
      <c r="C65" s="221">
        <f>'Weather Data'!B161</f>
        <v>684.3</v>
      </c>
      <c r="D65" s="216">
        <f>'Weather Data'!C161</f>
        <v>0</v>
      </c>
      <c r="E65" s="9">
        <v>31</v>
      </c>
      <c r="F65" s="9">
        <v>1</v>
      </c>
      <c r="G65" s="18">
        <v>0</v>
      </c>
      <c r="H65" s="38">
        <v>128.06005254032812</v>
      </c>
      <c r="I65" s="218">
        <f>'[11]CoS 2017 Load History'!J103</f>
        <v>4412</v>
      </c>
      <c r="J65" s="9">
        <v>368.28</v>
      </c>
      <c r="K65" s="9"/>
      <c r="L65" s="9"/>
      <c r="M65" s="14"/>
    </row>
    <row r="66" spans="1:41" hidden="1">
      <c r="A66" s="2">
        <v>38078</v>
      </c>
      <c r="B66" s="90">
        <f>'[11]CoS 2017 Load History'!H104</f>
        <v>11743989.460000006</v>
      </c>
      <c r="C66" s="221">
        <f>'Weather Data'!B162</f>
        <v>472.4</v>
      </c>
      <c r="D66" s="216">
        <f>'Weather Data'!C162</f>
        <v>0</v>
      </c>
      <c r="E66" s="9">
        <v>30</v>
      </c>
      <c r="F66" s="9">
        <v>1</v>
      </c>
      <c r="G66" s="18">
        <v>0</v>
      </c>
      <c r="H66" s="38">
        <v>128.32383528126866</v>
      </c>
      <c r="I66" s="218">
        <f>'[11]CoS 2017 Load History'!J104</f>
        <v>4398</v>
      </c>
      <c r="J66" s="9">
        <v>336.24</v>
      </c>
      <c r="K66" s="9"/>
      <c r="L66" s="9"/>
      <c r="M66" s="14"/>
    </row>
    <row r="67" spans="1:41" hidden="1">
      <c r="A67" s="2">
        <v>38108</v>
      </c>
      <c r="B67" s="90">
        <f>'[11]CoS 2017 Load History'!H105</f>
        <v>11392997.179999998</v>
      </c>
      <c r="C67" s="221">
        <f>'Weather Data'!B163</f>
        <v>333.2</v>
      </c>
      <c r="D67" s="216">
        <f>'Weather Data'!C163</f>
        <v>0</v>
      </c>
      <c r="E67" s="9">
        <v>31</v>
      </c>
      <c r="F67" s="9">
        <v>1</v>
      </c>
      <c r="G67" s="18">
        <v>0</v>
      </c>
      <c r="H67" s="38">
        <v>128.58816137146633</v>
      </c>
      <c r="I67" s="218">
        <f>'[11]CoS 2017 Load History'!J105</f>
        <v>4405</v>
      </c>
      <c r="J67" s="9">
        <v>319.92</v>
      </c>
      <c r="K67" s="9"/>
      <c r="L67" s="9"/>
      <c r="M67" s="14"/>
    </row>
    <row r="68" spans="1:41" hidden="1">
      <c r="A68" s="2">
        <v>38139</v>
      </c>
      <c r="B68" s="90">
        <f>'[11]CoS 2017 Load History'!H106</f>
        <v>10739165.880000006</v>
      </c>
      <c r="C68" s="221">
        <f>'Weather Data'!B164</f>
        <v>145.80000000000001</v>
      </c>
      <c r="D68" s="216">
        <f>'Weather Data'!C164</f>
        <v>3.1</v>
      </c>
      <c r="E68" s="9">
        <v>30</v>
      </c>
      <c r="F68" s="9">
        <v>0</v>
      </c>
      <c r="G68" s="18">
        <v>0</v>
      </c>
      <c r="H68" s="38">
        <v>128.85303193013166</v>
      </c>
      <c r="I68" s="218">
        <f>'[11]CoS 2017 Load History'!J106</f>
        <v>4421</v>
      </c>
      <c r="J68" s="9">
        <v>352.08</v>
      </c>
      <c r="K68" s="9"/>
      <c r="L68" s="9"/>
      <c r="M68" s="14"/>
    </row>
    <row r="69" spans="1:41" hidden="1">
      <c r="A69" s="2">
        <v>38169</v>
      </c>
      <c r="B69" s="90">
        <f>'[11]CoS 2017 Load History'!H107</f>
        <v>11518786.739999982</v>
      </c>
      <c r="C69" s="221">
        <f>'Weather Data'!B165</f>
        <v>67.400000000000006</v>
      </c>
      <c r="D69" s="216">
        <f>'Weather Data'!C165</f>
        <v>22</v>
      </c>
      <c r="E69" s="9">
        <v>31</v>
      </c>
      <c r="F69" s="9">
        <v>0</v>
      </c>
      <c r="G69" s="18">
        <v>0</v>
      </c>
      <c r="H69" s="38">
        <v>129.11844807878055</v>
      </c>
      <c r="I69" s="218">
        <f>'[11]CoS 2017 Load History'!J107</f>
        <v>4428</v>
      </c>
      <c r="J69" s="9">
        <v>336.28800000000001</v>
      </c>
      <c r="K69" s="9"/>
      <c r="L69" s="9"/>
      <c r="M69" s="14"/>
    </row>
    <row r="70" spans="1:41" hidden="1">
      <c r="A70" s="2">
        <v>38200</v>
      </c>
      <c r="B70" s="90">
        <f>'[11]CoS 2017 Load History'!H108</f>
        <v>11273129.019999975</v>
      </c>
      <c r="C70" s="221">
        <f>'Weather Data'!B166</f>
        <v>123</v>
      </c>
      <c r="D70" s="216">
        <f>'Weather Data'!C166</f>
        <v>1.8</v>
      </c>
      <c r="E70" s="9">
        <v>31</v>
      </c>
      <c r="F70" s="9">
        <v>0</v>
      </c>
      <c r="G70" s="18">
        <v>0</v>
      </c>
      <c r="H70" s="38">
        <v>129.38441094123903</v>
      </c>
      <c r="I70" s="218">
        <f>'[11]CoS 2017 Load History'!J108</f>
        <v>4394</v>
      </c>
      <c r="J70" s="9">
        <v>336.28800000000001</v>
      </c>
      <c r="K70" s="9"/>
      <c r="L70" s="9"/>
      <c r="M70" s="14"/>
    </row>
    <row r="71" spans="1:41" hidden="1">
      <c r="A71" s="2">
        <v>38231</v>
      </c>
      <c r="B71" s="90">
        <f>'[11]CoS 2017 Load History'!H109</f>
        <v>10874645.45999998</v>
      </c>
      <c r="C71" s="221">
        <f>'Weather Data'!B167</f>
        <v>132.9</v>
      </c>
      <c r="D71" s="216">
        <f>'Weather Data'!C167</f>
        <v>4.7</v>
      </c>
      <c r="E71" s="9">
        <v>30</v>
      </c>
      <c r="F71" s="9">
        <v>1</v>
      </c>
      <c r="G71" s="18">
        <v>0</v>
      </c>
      <c r="H71" s="38">
        <v>129.65092164364802</v>
      </c>
      <c r="I71" s="218">
        <f>'[11]CoS 2017 Load History'!J109</f>
        <v>4392</v>
      </c>
      <c r="J71" s="9">
        <v>336.24</v>
      </c>
      <c r="K71" s="9"/>
      <c r="L71" s="9"/>
      <c r="M71" s="14"/>
    </row>
    <row r="72" spans="1:41" hidden="1">
      <c r="A72" s="2">
        <v>38261</v>
      </c>
      <c r="B72" s="90">
        <f>'[11]CoS 2017 Load History'!H110</f>
        <v>11638624.420000004</v>
      </c>
      <c r="C72" s="221">
        <f>'Weather Data'!B168</f>
        <v>372.7</v>
      </c>
      <c r="D72" s="216">
        <f>'Weather Data'!C168</f>
        <v>0</v>
      </c>
      <c r="E72" s="9">
        <v>31</v>
      </c>
      <c r="F72" s="9">
        <v>1</v>
      </c>
      <c r="G72" s="18">
        <v>0</v>
      </c>
      <c r="H72" s="38">
        <v>129.91798131446814</v>
      </c>
      <c r="I72" s="218">
        <f>'[11]CoS 2017 Load History'!J110</f>
        <v>4412</v>
      </c>
      <c r="J72" s="9">
        <v>319.92</v>
      </c>
      <c r="K72" s="9"/>
      <c r="L72" s="9"/>
      <c r="M72" s="14"/>
    </row>
    <row r="73" spans="1:41" hidden="1">
      <c r="A73" s="2">
        <v>38292</v>
      </c>
      <c r="B73" s="90">
        <f>'[11]CoS 2017 Load History'!H111</f>
        <v>12406564.950000012</v>
      </c>
      <c r="C73" s="221">
        <f>'Weather Data'!B169</f>
        <v>554.9</v>
      </c>
      <c r="D73" s="216">
        <f>'Weather Data'!C169</f>
        <v>0</v>
      </c>
      <c r="E73" s="9">
        <v>30</v>
      </c>
      <c r="F73" s="9">
        <v>1</v>
      </c>
      <c r="G73" s="18">
        <v>0</v>
      </c>
      <c r="H73" s="38">
        <v>130.18559108448443</v>
      </c>
      <c r="I73" s="218">
        <f>'[11]CoS 2017 Load History'!J111</f>
        <v>4454</v>
      </c>
      <c r="J73" s="9">
        <v>352.08</v>
      </c>
      <c r="K73" s="9"/>
      <c r="L73" s="9"/>
      <c r="M73" s="14"/>
    </row>
    <row r="74" spans="1:41" hidden="1">
      <c r="A74" s="2">
        <v>38322</v>
      </c>
      <c r="B74" s="90">
        <f>'[11]CoS 2017 Load History'!H112</f>
        <v>14682121.650000013</v>
      </c>
      <c r="C74" s="221">
        <f>'Weather Data'!B170</f>
        <v>926.6</v>
      </c>
      <c r="D74" s="216">
        <f>'Weather Data'!C170</f>
        <v>0</v>
      </c>
      <c r="E74" s="9">
        <v>31</v>
      </c>
      <c r="F74" s="9">
        <v>0</v>
      </c>
      <c r="G74" s="18">
        <v>0</v>
      </c>
      <c r="H74" s="38">
        <v>130.45375208681136</v>
      </c>
      <c r="I74" s="218">
        <f>'[11]CoS 2017 Load History'!J112</f>
        <v>4439</v>
      </c>
      <c r="J74" s="9">
        <v>336.28800000000001</v>
      </c>
      <c r="K74" s="9"/>
      <c r="L74" s="9"/>
      <c r="M74" s="14"/>
    </row>
    <row r="75" spans="1:41" hidden="1">
      <c r="A75" s="2">
        <v>38353</v>
      </c>
      <c r="B75" s="90">
        <f>'[11]CoS 2017 Load History'!H113</f>
        <v>15490461.069999997</v>
      </c>
      <c r="C75" s="221">
        <f>'Weather Data'!B171</f>
        <v>1084.3</v>
      </c>
      <c r="D75" s="216">
        <f>'Weather Data'!C171</f>
        <v>0</v>
      </c>
      <c r="E75" s="9">
        <v>31</v>
      </c>
      <c r="F75" s="9">
        <v>0</v>
      </c>
      <c r="G75" s="18">
        <v>0</v>
      </c>
      <c r="H75" s="38">
        <v>130.74370215685079</v>
      </c>
      <c r="I75" s="218">
        <f>'[11]CoS 2017 Load History'!J113</f>
        <v>4449</v>
      </c>
      <c r="J75" s="9">
        <v>319.92</v>
      </c>
      <c r="K75" s="9"/>
      <c r="L75" s="9"/>
      <c r="M75" s="14"/>
    </row>
    <row r="76" spans="1:41" s="15" customFormat="1" hidden="1">
      <c r="A76" s="2">
        <v>38384</v>
      </c>
      <c r="B76" s="90">
        <f>'[11]CoS 2017 Load History'!H114</f>
        <v>13456927.609999986</v>
      </c>
      <c r="C76" s="221">
        <f>'Weather Data'!B172</f>
        <v>755.9</v>
      </c>
      <c r="D76" s="216">
        <f>'Weather Data'!C172</f>
        <v>0</v>
      </c>
      <c r="E76" s="9">
        <v>28</v>
      </c>
      <c r="F76" s="9">
        <v>0</v>
      </c>
      <c r="G76" s="18">
        <v>0</v>
      </c>
      <c r="H76" s="38">
        <v>131.0342966778299</v>
      </c>
      <c r="I76" s="218">
        <f>'[11]CoS 2017 Load History'!J114</f>
        <v>4434</v>
      </c>
      <c r="J76" s="9">
        <v>319.87200000000001</v>
      </c>
      <c r="K76" s="9"/>
      <c r="L76" s="9"/>
      <c r="M76" s="14"/>
      <c r="N76"/>
      <c r="O76"/>
      <c r="P76"/>
      <c r="Q76"/>
      <c r="R76"/>
      <c r="S76"/>
      <c r="T76"/>
      <c r="U76"/>
      <c r="V76"/>
      <c r="W76"/>
      <c r="X76"/>
      <c r="Y76"/>
      <c r="Z76"/>
      <c r="AA76"/>
      <c r="AB76"/>
      <c r="AC76"/>
      <c r="AD76"/>
      <c r="AE76"/>
      <c r="AF76"/>
      <c r="AG76"/>
      <c r="AH76"/>
      <c r="AI76"/>
      <c r="AJ76"/>
      <c r="AK76"/>
      <c r="AL76"/>
      <c r="AM76"/>
      <c r="AN76"/>
      <c r="AO76"/>
    </row>
    <row r="77" spans="1:41" hidden="1">
      <c r="A77" s="2">
        <v>38412</v>
      </c>
      <c r="B77" s="90">
        <f>'[11]CoS 2017 Load History'!H115</f>
        <v>13345813.870000025</v>
      </c>
      <c r="C77" s="221">
        <f>'Weather Data'!B173</f>
        <v>814.1</v>
      </c>
      <c r="D77" s="216">
        <f>'Weather Data'!C173</f>
        <v>0</v>
      </c>
      <c r="E77" s="9">
        <v>31</v>
      </c>
      <c r="F77" s="9">
        <v>1</v>
      </c>
      <c r="G77" s="18">
        <v>0</v>
      </c>
      <c r="H77" s="38">
        <v>131.32553708212293</v>
      </c>
      <c r="I77" s="218">
        <f>'[11]CoS 2017 Load History'!J115</f>
        <v>4422</v>
      </c>
      <c r="J77" s="9">
        <v>351.91199999999998</v>
      </c>
      <c r="K77" s="9"/>
      <c r="L77" s="9"/>
      <c r="M77" s="14"/>
    </row>
    <row r="78" spans="1:41" hidden="1">
      <c r="A78" s="2">
        <v>38443</v>
      </c>
      <c r="B78" s="90">
        <f>'[11]CoS 2017 Load History'!H116</f>
        <v>11242470.140000001</v>
      </c>
      <c r="C78" s="221">
        <f>'Weather Data'!B174</f>
        <v>408.1</v>
      </c>
      <c r="D78" s="216">
        <f>'Weather Data'!C174</f>
        <v>0</v>
      </c>
      <c r="E78" s="9">
        <v>30</v>
      </c>
      <c r="F78" s="9">
        <v>1</v>
      </c>
      <c r="G78" s="18">
        <v>0</v>
      </c>
      <c r="H78" s="38">
        <v>131.61742480528775</v>
      </c>
      <c r="I78" s="218">
        <f>'[11]CoS 2017 Load History'!J116</f>
        <v>4429</v>
      </c>
      <c r="J78" s="9">
        <v>336.24</v>
      </c>
      <c r="K78" s="9"/>
      <c r="L78" s="9"/>
      <c r="M78" s="14"/>
    </row>
    <row r="79" spans="1:41" hidden="1">
      <c r="A79" s="2">
        <v>38473</v>
      </c>
      <c r="B79" s="90">
        <f>'[11]CoS 2017 Load History'!H117</f>
        <v>11077309.790000007</v>
      </c>
      <c r="C79" s="221">
        <f>'Weather Data'!B175</f>
        <v>306.2</v>
      </c>
      <c r="D79" s="216">
        <f>'Weather Data'!C175</f>
        <v>0</v>
      </c>
      <c r="E79" s="9">
        <v>31</v>
      </c>
      <c r="F79" s="9">
        <v>1</v>
      </c>
      <c r="G79" s="18">
        <v>0</v>
      </c>
      <c r="H79" s="38">
        <v>131.90996128607298</v>
      </c>
      <c r="I79" s="218">
        <f>'[11]CoS 2017 Load History'!J117</f>
        <v>4381</v>
      </c>
      <c r="J79" s="9">
        <v>336.28800000000001</v>
      </c>
      <c r="K79" s="9"/>
      <c r="L79" s="9"/>
      <c r="M79" s="14"/>
    </row>
    <row r="80" spans="1:41" hidden="1">
      <c r="A80" s="2">
        <v>38504</v>
      </c>
      <c r="B80" s="90">
        <f>'[11]CoS 2017 Load History'!H118</f>
        <v>10921396.540000018</v>
      </c>
      <c r="C80" s="221">
        <f>'Weather Data'!B176</f>
        <v>72.599999999999994</v>
      </c>
      <c r="D80" s="216">
        <f>'Weather Data'!C176</f>
        <v>16.8</v>
      </c>
      <c r="E80" s="9">
        <v>30</v>
      </c>
      <c r="F80" s="9">
        <v>0</v>
      </c>
      <c r="G80" s="18">
        <v>0</v>
      </c>
      <c r="H80" s="38">
        <v>132.20314796642501</v>
      </c>
      <c r="I80" s="218">
        <f>'[11]CoS 2017 Load History'!J118</f>
        <v>4385</v>
      </c>
      <c r="J80" s="9">
        <v>352.08</v>
      </c>
      <c r="K80" s="9"/>
      <c r="L80" s="9"/>
      <c r="M80" s="14"/>
    </row>
    <row r="81" spans="1:41" hidden="1">
      <c r="A81" s="2">
        <v>38534</v>
      </c>
      <c r="B81" s="90">
        <f>'[11]CoS 2017 Load History'!H119</f>
        <v>11811198.419999963</v>
      </c>
      <c r="C81" s="221">
        <f>'Weather Data'!B177</f>
        <v>45.3</v>
      </c>
      <c r="D81" s="216">
        <f>'Weather Data'!C177</f>
        <v>53</v>
      </c>
      <c r="E81" s="9">
        <v>31</v>
      </c>
      <c r="F81" s="9">
        <v>0</v>
      </c>
      <c r="G81" s="18">
        <v>0</v>
      </c>
      <c r="H81" s="38">
        <v>132.49698629149512</v>
      </c>
      <c r="I81" s="218">
        <f>'[11]CoS 2017 Load History'!J119</f>
        <v>4385</v>
      </c>
      <c r="J81" s="9">
        <v>319.92</v>
      </c>
      <c r="K81" s="9"/>
      <c r="L81" s="9"/>
      <c r="M81" s="14"/>
    </row>
    <row r="82" spans="1:41" hidden="1">
      <c r="A82" s="2">
        <v>38565</v>
      </c>
      <c r="B82" s="90">
        <f>'[11]CoS 2017 Load History'!H120</f>
        <v>11621455.870000014</v>
      </c>
      <c r="C82" s="221">
        <f>'Weather Data'!B178</f>
        <v>46.3</v>
      </c>
      <c r="D82" s="216">
        <f>'Weather Data'!C178</f>
        <v>29.6</v>
      </c>
      <c r="E82" s="9">
        <v>31</v>
      </c>
      <c r="F82" s="9">
        <v>0</v>
      </c>
      <c r="G82" s="18">
        <v>0</v>
      </c>
      <c r="H82" s="38">
        <v>132.79147770964664</v>
      </c>
      <c r="I82" s="218">
        <f>'[11]CoS 2017 Load History'!J120</f>
        <v>4374</v>
      </c>
      <c r="J82" s="9">
        <v>351.91199999999998</v>
      </c>
      <c r="K82" s="9"/>
      <c r="L82" s="9"/>
      <c r="M82" s="14"/>
    </row>
    <row r="83" spans="1:41" hidden="1">
      <c r="A83" s="2">
        <v>38596</v>
      </c>
      <c r="B83" s="90">
        <f>'[11]CoS 2017 Load History'!H121</f>
        <v>10756551.00999997</v>
      </c>
      <c r="C83" s="221">
        <f>'Weather Data'!B179</f>
        <v>148.80000000000001</v>
      </c>
      <c r="D83" s="216">
        <f>'Weather Data'!C179</f>
        <v>15.2</v>
      </c>
      <c r="E83" s="9">
        <v>30</v>
      </c>
      <c r="F83" s="9">
        <v>1</v>
      </c>
      <c r="G83" s="18">
        <v>0</v>
      </c>
      <c r="H83" s="38">
        <v>133.08662367246211</v>
      </c>
      <c r="I83" s="218">
        <f>'[11]CoS 2017 Load History'!J121</f>
        <v>4400</v>
      </c>
      <c r="J83" s="9">
        <v>336.24</v>
      </c>
      <c r="K83" s="9"/>
      <c r="L83" s="9"/>
      <c r="M83" s="14"/>
    </row>
    <row r="84" spans="1:41" hidden="1">
      <c r="A84" s="2">
        <v>38626</v>
      </c>
      <c r="B84" s="90">
        <f>'[11]CoS 2017 Load History'!H122</f>
        <v>11210250.469999989</v>
      </c>
      <c r="C84" s="221">
        <f>'Weather Data'!B180</f>
        <v>347.3</v>
      </c>
      <c r="D84" s="216">
        <f>'Weather Data'!C180</f>
        <v>0</v>
      </c>
      <c r="E84" s="9">
        <v>31</v>
      </c>
      <c r="F84" s="9">
        <v>1</v>
      </c>
      <c r="G84" s="18">
        <v>0</v>
      </c>
      <c r="H84" s="38">
        <v>133.38242563475035</v>
      </c>
      <c r="I84" s="218">
        <f>'[11]CoS 2017 Load History'!J122</f>
        <v>4427</v>
      </c>
      <c r="J84" s="9">
        <v>319.92</v>
      </c>
      <c r="K84" s="9"/>
      <c r="L84" s="9"/>
      <c r="M84" s="14"/>
    </row>
    <row r="85" spans="1:41" hidden="1">
      <c r="A85" s="2">
        <v>38657</v>
      </c>
      <c r="B85" s="90">
        <f>'[11]CoS 2017 Load History'!H123</f>
        <v>12421436.97000001</v>
      </c>
      <c r="C85" s="221">
        <f>'Weather Data'!B181</f>
        <v>606.9</v>
      </c>
      <c r="D85" s="216">
        <f>'Weather Data'!C181</f>
        <v>0</v>
      </c>
      <c r="E85" s="9">
        <v>30</v>
      </c>
      <c r="F85" s="9">
        <v>1</v>
      </c>
      <c r="G85" s="18">
        <v>0</v>
      </c>
      <c r="H85" s="38">
        <v>133.67888505455369</v>
      </c>
      <c r="I85" s="218">
        <f>'[11]CoS 2017 Load History'!J123</f>
        <v>4431</v>
      </c>
      <c r="J85" s="9">
        <v>352.08</v>
      </c>
      <c r="K85" s="9"/>
      <c r="L85" s="9"/>
      <c r="M85" s="14"/>
    </row>
    <row r="86" spans="1:41" hidden="1">
      <c r="A86" s="2">
        <v>38687</v>
      </c>
      <c r="B86" s="90">
        <f>'[11]CoS 2017 Load History'!H124</f>
        <v>14062601.490000019</v>
      </c>
      <c r="C86" s="221">
        <f>'Weather Data'!B182</f>
        <v>833.4</v>
      </c>
      <c r="D86" s="216">
        <f>'Weather Data'!C182</f>
        <v>0</v>
      </c>
      <c r="E86" s="9">
        <v>31</v>
      </c>
      <c r="F86" s="9">
        <v>0</v>
      </c>
      <c r="G86" s="18">
        <v>0</v>
      </c>
      <c r="H86" s="38">
        <v>133.97600339315525</v>
      </c>
      <c r="I86" s="218">
        <f>'[11]CoS 2017 Load History'!J124</f>
        <v>4434</v>
      </c>
      <c r="J86" s="9">
        <v>319.92</v>
      </c>
      <c r="K86" s="9"/>
      <c r="L86" s="9"/>
      <c r="M86" s="14"/>
    </row>
    <row r="87" spans="1:41" s="35" customFormat="1">
      <c r="A87" s="2">
        <v>38718</v>
      </c>
      <c r="B87" s="90">
        <f>'[11]CoS 2017 Load History'!H125</f>
        <v>14009855.030000025</v>
      </c>
      <c r="C87" s="221">
        <f>'Residential WN'!C87</f>
        <v>960.98000000000013</v>
      </c>
      <c r="D87" s="221">
        <f>'Residential WN'!D87</f>
        <v>0</v>
      </c>
      <c r="E87" s="9">
        <v>31</v>
      </c>
      <c r="F87" s="9">
        <v>0</v>
      </c>
      <c r="G87" s="18">
        <f>'CDM Activity'!O19</f>
        <v>0</v>
      </c>
      <c r="H87" s="38">
        <v>134.25197202423305</v>
      </c>
      <c r="I87" s="218">
        <f>'[11]CoS 2017 Load History'!J125</f>
        <v>4433</v>
      </c>
      <c r="J87" s="9">
        <v>336.28800000000001</v>
      </c>
      <c r="K87" s="9">
        <f>$O$103+C87*$O$104+D87*$O$105+E87*$O$106+F87*$O$107+G87*$O$108+H87*$O$109</f>
        <v>13957909.446544794</v>
      </c>
      <c r="L87" s="9"/>
      <c r="M87" s="14"/>
      <c r="N87" t="s">
        <v>15</v>
      </c>
      <c r="O87"/>
      <c r="P87"/>
      <c r="Q87"/>
      <c r="R87"/>
      <c r="S87"/>
      <c r="T87"/>
      <c r="U87"/>
      <c r="V87"/>
      <c r="W87"/>
      <c r="X87"/>
      <c r="Y87"/>
      <c r="Z87"/>
      <c r="AA87"/>
      <c r="AB87"/>
      <c r="AC87"/>
      <c r="AD87"/>
      <c r="AE87"/>
      <c r="AF87"/>
      <c r="AG87"/>
      <c r="AH87"/>
      <c r="AI87"/>
      <c r="AJ87"/>
      <c r="AK87"/>
      <c r="AL87"/>
      <c r="AM87"/>
      <c r="AN87"/>
      <c r="AO87"/>
    </row>
    <row r="88" spans="1:41" ht="13.5" thickBot="1">
      <c r="A88" s="2">
        <v>38749</v>
      </c>
      <c r="B88" s="90">
        <f>'[11]CoS 2017 Load History'!H126</f>
        <v>12948095.099999985</v>
      </c>
      <c r="C88" s="221">
        <f>'Residential WN'!C88</f>
        <v>875.5899999999998</v>
      </c>
      <c r="D88" s="221">
        <f>'Residential WN'!D88</f>
        <v>0</v>
      </c>
      <c r="E88" s="9">
        <v>28</v>
      </c>
      <c r="F88" s="9">
        <v>0</v>
      </c>
      <c r="G88" s="18">
        <f>'CDM Activity'!O20</f>
        <v>0</v>
      </c>
      <c r="H88" s="38">
        <v>134.52850910550649</v>
      </c>
      <c r="I88" s="218">
        <f>'[11]CoS 2017 Load History'!J126</f>
        <v>4414</v>
      </c>
      <c r="J88" s="9">
        <v>319.87200000000001</v>
      </c>
      <c r="K88" s="9">
        <f t="shared" ref="K88:K151" si="0">$O$103+C88*$O$104+D88*$O$105+E88*$O$106+F88*$O$107+G88*$O$108+H88*$O$109</f>
        <v>12751603.003149804</v>
      </c>
      <c r="L88" s="9"/>
      <c r="M88" s="14"/>
    </row>
    <row r="89" spans="1:41">
      <c r="A89" s="2">
        <v>38777</v>
      </c>
      <c r="B89" s="90">
        <f>'[11]CoS 2017 Load History'!H127</f>
        <v>13054109.160000017</v>
      </c>
      <c r="C89" s="221">
        <f>'Residential WN'!C89</f>
        <v>702.91</v>
      </c>
      <c r="D89" s="221">
        <f>'Residential WN'!D89</f>
        <v>0</v>
      </c>
      <c r="E89" s="9">
        <v>31</v>
      </c>
      <c r="F89" s="9">
        <v>1</v>
      </c>
      <c r="G89" s="18">
        <f>'CDM Activity'!O21</f>
        <v>0</v>
      </c>
      <c r="H89" s="38">
        <v>134.80561580788986</v>
      </c>
      <c r="I89" s="218">
        <f>'[11]CoS 2017 Load History'!J127</f>
        <v>4391</v>
      </c>
      <c r="J89" s="9">
        <v>368.28</v>
      </c>
      <c r="K89" s="9">
        <f t="shared" si="0"/>
        <v>12338853.80544721</v>
      </c>
      <c r="L89" s="9"/>
      <c r="M89" s="14"/>
      <c r="N89" s="53" t="s">
        <v>16</v>
      </c>
      <c r="O89" s="53"/>
    </row>
    <row r="90" spans="1:41">
      <c r="A90" s="2">
        <v>38808</v>
      </c>
      <c r="B90" s="90">
        <f>'[11]CoS 2017 Load History'!H128</f>
        <v>10956512.820000019</v>
      </c>
      <c r="C90" s="221">
        <f>'Residential WN'!C90</f>
        <v>450.5200000000001</v>
      </c>
      <c r="D90" s="221">
        <f>'Residential WN'!D90</f>
        <v>0</v>
      </c>
      <c r="E90" s="9">
        <v>30</v>
      </c>
      <c r="F90" s="9">
        <v>1</v>
      </c>
      <c r="G90" s="18">
        <f>'CDM Activity'!O22</f>
        <v>0</v>
      </c>
      <c r="H90" s="38">
        <v>135.08329330470943</v>
      </c>
      <c r="I90" s="218">
        <f>'[11]CoS 2017 Load History'!J128</f>
        <v>4406</v>
      </c>
      <c r="J90" s="9">
        <v>303.83999999999997</v>
      </c>
      <c r="K90" s="9">
        <f t="shared" si="0"/>
        <v>10965421.956434432</v>
      </c>
      <c r="L90" s="9"/>
      <c r="M90" s="14"/>
      <c r="N90" s="40" t="s">
        <v>17</v>
      </c>
      <c r="O90" s="56">
        <v>0.97301341788933604</v>
      </c>
    </row>
    <row r="91" spans="1:41">
      <c r="A91" s="2">
        <v>38838</v>
      </c>
      <c r="B91" s="90">
        <f>'[11]CoS 2017 Load History'!H129</f>
        <v>10855268.19999999</v>
      </c>
      <c r="C91" s="221">
        <f>'Residential WN'!C91</f>
        <v>271.46000000000004</v>
      </c>
      <c r="D91" s="221">
        <f>'Residential WN'!D91</f>
        <v>0.47000000000000003</v>
      </c>
      <c r="E91" s="9">
        <v>31</v>
      </c>
      <c r="F91" s="9">
        <v>1</v>
      </c>
      <c r="G91" s="18">
        <f>'CDM Activity'!O23</f>
        <v>0</v>
      </c>
      <c r="H91" s="38">
        <v>135.36154277170829</v>
      </c>
      <c r="I91" s="218">
        <f>'[11]CoS 2017 Load History'!J129</f>
        <v>4345</v>
      </c>
      <c r="J91" s="9">
        <v>351.91199999999998</v>
      </c>
      <c r="K91" s="9">
        <f t="shared" si="0"/>
        <v>10486429.665599342</v>
      </c>
      <c r="L91" s="9"/>
      <c r="M91" s="14"/>
      <c r="N91" s="40" t="s">
        <v>18</v>
      </c>
      <c r="O91" s="56">
        <v>0.94675511139268775</v>
      </c>
    </row>
    <row r="92" spans="1:41">
      <c r="A92" s="2">
        <v>38869</v>
      </c>
      <c r="B92" s="90">
        <f>'[11]CoS 2017 Load History'!H130</f>
        <v>10708123.620000008</v>
      </c>
      <c r="C92" s="221">
        <f>'Residential WN'!C92</f>
        <v>109.59</v>
      </c>
      <c r="D92" s="221">
        <f>'Residential WN'!D92</f>
        <v>6.7</v>
      </c>
      <c r="E92" s="9">
        <v>30</v>
      </c>
      <c r="F92" s="9">
        <v>0</v>
      </c>
      <c r="G92" s="18">
        <f>'CDM Activity'!O24</f>
        <v>0</v>
      </c>
      <c r="H92" s="38">
        <v>135.64036538705133</v>
      </c>
      <c r="I92" s="218">
        <f>'[11]CoS 2017 Load History'!J130</f>
        <v>4313</v>
      </c>
      <c r="J92" s="9">
        <v>352.08</v>
      </c>
      <c r="K92" s="9">
        <f t="shared" si="0"/>
        <v>10154816.828847142</v>
      </c>
      <c r="L92" s="9"/>
      <c r="M92" s="14"/>
      <c r="N92" s="40" t="s">
        <v>19</v>
      </c>
      <c r="O92" s="56">
        <v>0.94392794916575085</v>
      </c>
    </row>
    <row r="93" spans="1:41">
      <c r="A93" s="2">
        <v>38899</v>
      </c>
      <c r="B93" s="90">
        <f>'[11]CoS 2017 Load History'!H131</f>
        <v>11588558.24</v>
      </c>
      <c r="C93" s="221">
        <f>'Residential WN'!C93</f>
        <v>36.33</v>
      </c>
      <c r="D93" s="221">
        <f>'Residential WN'!D93</f>
        <v>40.369999999999997</v>
      </c>
      <c r="E93" s="9">
        <v>31</v>
      </c>
      <c r="F93" s="9">
        <v>0</v>
      </c>
      <c r="G93" s="18">
        <f>'CDM Activity'!O25</f>
        <v>0</v>
      </c>
      <c r="H93" s="38">
        <v>135.9197623313303</v>
      </c>
      <c r="I93" s="218">
        <f>'[11]CoS 2017 Load History'!J131</f>
        <v>4283</v>
      </c>
      <c r="J93" s="9">
        <v>319.92</v>
      </c>
      <c r="K93" s="9">
        <f t="shared" si="0"/>
        <v>10832383.026158746</v>
      </c>
      <c r="L93" s="9"/>
      <c r="M93" s="14"/>
      <c r="N93" s="40" t="s">
        <v>20</v>
      </c>
      <c r="O93" s="63">
        <v>330790.06672669796</v>
      </c>
    </row>
    <row r="94" spans="1:41" ht="13.5" thickBot="1">
      <c r="A94" s="2">
        <v>38930</v>
      </c>
      <c r="B94" s="90">
        <f>'[11]CoS 2017 Load History'!H132</f>
        <v>11264379.980000004</v>
      </c>
      <c r="C94" s="221">
        <f>'Residential WN'!C94</f>
        <v>51.55</v>
      </c>
      <c r="D94" s="221">
        <f>'Residential WN'!D94</f>
        <v>29.669999999999998</v>
      </c>
      <c r="E94" s="9">
        <v>31</v>
      </c>
      <c r="F94" s="9">
        <v>0</v>
      </c>
      <c r="G94" s="18">
        <f>'CDM Activity'!O26</f>
        <v>0</v>
      </c>
      <c r="H94" s="38">
        <v>136.19973478756879</v>
      </c>
      <c r="I94" s="218">
        <f>'[11]CoS 2017 Load History'!J132</f>
        <v>4211</v>
      </c>
      <c r="J94" s="9">
        <v>351.91199999999998</v>
      </c>
      <c r="K94" s="9">
        <f t="shared" si="0"/>
        <v>10688555.29445063</v>
      </c>
      <c r="L94" s="9"/>
      <c r="M94" s="14"/>
      <c r="N94" s="51" t="s">
        <v>21</v>
      </c>
      <c r="O94" s="51">
        <v>120</v>
      </c>
    </row>
    <row r="95" spans="1:41">
      <c r="A95" s="2">
        <v>38961</v>
      </c>
      <c r="B95" s="90">
        <f>'[11]CoS 2017 Load History'!H133</f>
        <v>10343203.63999998</v>
      </c>
      <c r="C95" s="221">
        <f>'Residential WN'!C95</f>
        <v>176.97</v>
      </c>
      <c r="D95" s="221">
        <f>'Residential WN'!D95</f>
        <v>5.05</v>
      </c>
      <c r="E95" s="9">
        <v>30</v>
      </c>
      <c r="F95" s="9">
        <v>1</v>
      </c>
      <c r="G95" s="18">
        <f>'CDM Activity'!O27</f>
        <v>0</v>
      </c>
      <c r="H95" s="38">
        <v>136.48028394122719</v>
      </c>
      <c r="I95" s="218">
        <f>'[11]CoS 2017 Load History'!J133</f>
        <v>4237</v>
      </c>
      <c r="J95" s="9">
        <v>319.68</v>
      </c>
      <c r="K95" s="9">
        <f t="shared" si="0"/>
        <v>9938947.4518037699</v>
      </c>
      <c r="L95" s="9"/>
      <c r="M95" s="14"/>
    </row>
    <row r="96" spans="1:41" ht="13.5" thickBot="1">
      <c r="A96" s="2">
        <v>38991</v>
      </c>
      <c r="B96" s="90">
        <f>'[11]CoS 2017 Load History'!H134</f>
        <v>11071073.29999999</v>
      </c>
      <c r="C96" s="221">
        <f>'Residential WN'!C96</f>
        <v>372.15</v>
      </c>
      <c r="D96" s="221">
        <f>'Residential WN'!D96</f>
        <v>0.54</v>
      </c>
      <c r="E96" s="9">
        <v>31</v>
      </c>
      <c r="F96" s="9">
        <v>1</v>
      </c>
      <c r="G96" s="18">
        <f>'CDM Activity'!O28</f>
        <v>0</v>
      </c>
      <c r="H96" s="38">
        <v>136.76141098020776</v>
      </c>
      <c r="I96" s="218">
        <f>'[11]CoS 2017 Load History'!J134</f>
        <v>4240</v>
      </c>
      <c r="J96" s="9">
        <v>336.28800000000001</v>
      </c>
      <c r="K96" s="9">
        <f t="shared" si="0"/>
        <v>10993881.187734917</v>
      </c>
      <c r="L96" s="9"/>
      <c r="M96" s="14"/>
      <c r="N96" t="s">
        <v>22</v>
      </c>
    </row>
    <row r="97" spans="1:20">
      <c r="A97" s="2">
        <v>39022</v>
      </c>
      <c r="B97" s="90">
        <f>'[11]CoS 2017 Load History'!H135</f>
        <v>11834500.279999968</v>
      </c>
      <c r="C97" s="221">
        <f>'Residential WN'!C97</f>
        <v>567.61000000000013</v>
      </c>
      <c r="D97" s="221">
        <f>'Residential WN'!D97</f>
        <v>0</v>
      </c>
      <c r="E97" s="9">
        <v>30</v>
      </c>
      <c r="F97" s="9">
        <v>1</v>
      </c>
      <c r="G97" s="18">
        <f>'CDM Activity'!O29</f>
        <v>0</v>
      </c>
      <c r="H97" s="38">
        <v>137.04311709485967</v>
      </c>
      <c r="I97" s="218">
        <f>'[11]CoS 2017 Load History'!J135</f>
        <v>4239</v>
      </c>
      <c r="J97" s="9">
        <v>352.08</v>
      </c>
      <c r="K97" s="9">
        <f t="shared" si="0"/>
        <v>11569317.123710278</v>
      </c>
      <c r="L97" s="9"/>
      <c r="M97" s="14"/>
      <c r="N97" s="52"/>
      <c r="O97" s="52" t="s">
        <v>26</v>
      </c>
      <c r="P97" s="52" t="s">
        <v>27</v>
      </c>
      <c r="Q97" s="52" t="s">
        <v>28</v>
      </c>
      <c r="R97" s="52" t="s">
        <v>29</v>
      </c>
      <c r="S97" s="52" t="s">
        <v>30</v>
      </c>
    </row>
    <row r="98" spans="1:20">
      <c r="A98" s="2">
        <v>39052</v>
      </c>
      <c r="B98" s="90">
        <f>'[11]CoS 2017 Load History'!H136</f>
        <v>12997339.17999999</v>
      </c>
      <c r="C98" s="221">
        <f>'Residential WN'!C98</f>
        <v>852.28999999999974</v>
      </c>
      <c r="D98" s="221">
        <f>'Residential WN'!D98</f>
        <v>0</v>
      </c>
      <c r="E98" s="9">
        <v>31</v>
      </c>
      <c r="F98" s="9">
        <v>0</v>
      </c>
      <c r="G98" s="18">
        <f>'CDM Activity'!O30</f>
        <v>0</v>
      </c>
      <c r="H98" s="38">
        <v>137.32540347798411</v>
      </c>
      <c r="I98" s="218">
        <f>'[11]CoS 2017 Load History'!J136</f>
        <v>4254</v>
      </c>
      <c r="J98" s="9">
        <v>304.29599999999999</v>
      </c>
      <c r="K98" s="9">
        <f t="shared" si="0"/>
        <v>13625679.123069361</v>
      </c>
      <c r="L98" s="9"/>
      <c r="M98" s="14"/>
      <c r="N98" s="40" t="s">
        <v>23</v>
      </c>
      <c r="O98" s="40">
        <v>6</v>
      </c>
      <c r="P98" s="40">
        <v>219858417935367.06</v>
      </c>
      <c r="Q98" s="40">
        <v>36643069655894.508</v>
      </c>
      <c r="R98" s="40">
        <v>334.8782402269303</v>
      </c>
      <c r="S98" s="40">
        <v>1.6361427822500591E-69</v>
      </c>
    </row>
    <row r="99" spans="1:20">
      <c r="A99" s="2">
        <v>39083</v>
      </c>
      <c r="B99" s="90">
        <f>'[11]CoS 2017 Load History'!H137</f>
        <v>14031526.530000027</v>
      </c>
      <c r="C99" s="221">
        <f>'Residential WN'!C99</f>
        <v>960.98000000000013</v>
      </c>
      <c r="D99" s="221">
        <f>'Residential WN'!D99</f>
        <v>0</v>
      </c>
      <c r="E99" s="9">
        <v>31</v>
      </c>
      <c r="F99" s="9">
        <v>0</v>
      </c>
      <c r="G99" s="18">
        <f>'CDM Activity'!O31</f>
        <v>0</v>
      </c>
      <c r="H99" s="38">
        <v>137.552207546647</v>
      </c>
      <c r="I99" s="218">
        <f>'[11]CoS 2017 Load History'!J137</f>
        <v>4297</v>
      </c>
      <c r="J99" s="9">
        <v>351.91199999999998</v>
      </c>
      <c r="K99" s="9">
        <f t="shared" si="0"/>
        <v>14111932.274683766</v>
      </c>
      <c r="L99" s="9"/>
      <c r="M99" s="14"/>
      <c r="N99" s="40" t="s">
        <v>24</v>
      </c>
      <c r="O99" s="40">
        <v>113</v>
      </c>
      <c r="P99" s="40">
        <v>12364693711691.02</v>
      </c>
      <c r="Q99" s="40">
        <v>109422068245.05327</v>
      </c>
      <c r="R99" s="40"/>
      <c r="S99" s="40"/>
    </row>
    <row r="100" spans="1:20" ht="13.5" thickBot="1">
      <c r="A100" s="2">
        <v>39114</v>
      </c>
      <c r="B100" s="90">
        <f>'[11]CoS 2017 Load History'!H138</f>
        <v>13413294.690000024</v>
      </c>
      <c r="C100" s="221">
        <f>'Residential WN'!C100</f>
        <v>875.5899999999998</v>
      </c>
      <c r="D100" s="221">
        <f>'Residential WN'!D100</f>
        <v>0</v>
      </c>
      <c r="E100" s="9">
        <v>28</v>
      </c>
      <c r="F100" s="9">
        <v>0</v>
      </c>
      <c r="G100" s="18">
        <f>'CDM Activity'!O32</f>
        <v>0</v>
      </c>
      <c r="H100" s="38">
        <v>137.77938620066888</v>
      </c>
      <c r="I100" s="218">
        <f>'[11]CoS 2017 Load History'!J138</f>
        <v>4295</v>
      </c>
      <c r="J100" s="9">
        <v>319.87200000000001</v>
      </c>
      <c r="K100" s="9">
        <f t="shared" si="0"/>
        <v>12903322.260981098</v>
      </c>
      <c r="L100" s="9"/>
      <c r="M100" s="14"/>
      <c r="N100" s="51" t="s">
        <v>5</v>
      </c>
      <c r="O100" s="51">
        <v>119</v>
      </c>
      <c r="P100" s="51">
        <v>232223111647058.09</v>
      </c>
      <c r="Q100" s="51"/>
      <c r="R100" s="51"/>
      <c r="S100" s="51"/>
    </row>
    <row r="101" spans="1:20" ht="13.5" thickBot="1">
      <c r="A101" s="2">
        <v>39142</v>
      </c>
      <c r="B101" s="90">
        <f>'[11]CoS 2017 Load History'!H139</f>
        <v>13148947.050000003</v>
      </c>
      <c r="C101" s="221">
        <f>'Residential WN'!C101</f>
        <v>702.91</v>
      </c>
      <c r="D101" s="221">
        <f>'Residential WN'!D101</f>
        <v>0</v>
      </c>
      <c r="E101" s="9">
        <v>31</v>
      </c>
      <c r="F101" s="9">
        <v>1</v>
      </c>
      <c r="G101" s="18">
        <f>'CDM Activity'!O33</f>
        <v>0</v>
      </c>
      <c r="H101" s="38">
        <v>138.00694005870795</v>
      </c>
      <c r="I101" s="218">
        <f>'[11]CoS 2017 Load History'!J139</f>
        <v>4289</v>
      </c>
      <c r="J101" s="9">
        <v>351.91199999999998</v>
      </c>
      <c r="K101" s="9">
        <f t="shared" si="0"/>
        <v>12488260.419475839</v>
      </c>
      <c r="L101" s="9"/>
      <c r="M101" s="14"/>
    </row>
    <row r="102" spans="1:20">
      <c r="A102" s="2">
        <v>39173</v>
      </c>
      <c r="B102" s="90">
        <f>'[11]CoS 2017 Load History'!H140</f>
        <v>11132064.210000025</v>
      </c>
      <c r="C102" s="221">
        <f>'Residential WN'!C102</f>
        <v>450.5200000000001</v>
      </c>
      <c r="D102" s="221">
        <f>'Residential WN'!D102</f>
        <v>0</v>
      </c>
      <c r="E102" s="9">
        <v>30</v>
      </c>
      <c r="F102" s="9">
        <v>1</v>
      </c>
      <c r="G102" s="18">
        <f>'CDM Activity'!O34</f>
        <v>0</v>
      </c>
      <c r="H102" s="38">
        <v>138.23486974044414</v>
      </c>
      <c r="I102" s="218">
        <f>'[11]CoS 2017 Load History'!J140</f>
        <v>4308</v>
      </c>
      <c r="J102" s="9">
        <v>319.68</v>
      </c>
      <c r="K102" s="9">
        <f t="shared" si="0"/>
        <v>11112506.8273266</v>
      </c>
      <c r="L102" s="9"/>
      <c r="M102" s="14"/>
      <c r="N102" s="52"/>
      <c r="O102" s="52" t="s">
        <v>31</v>
      </c>
      <c r="P102" s="52" t="s">
        <v>20</v>
      </c>
      <c r="Q102" s="52" t="s">
        <v>32</v>
      </c>
      <c r="R102" s="52" t="s">
        <v>33</v>
      </c>
      <c r="S102" s="52" t="s">
        <v>34</v>
      </c>
      <c r="T102" s="52" t="s">
        <v>35</v>
      </c>
    </row>
    <row r="103" spans="1:20">
      <c r="A103" s="2">
        <v>39203</v>
      </c>
      <c r="B103" s="90">
        <f>'[11]CoS 2017 Load History'!H141</f>
        <v>10476503.350000001</v>
      </c>
      <c r="C103" s="221">
        <f>'Residential WN'!C103</f>
        <v>271.46000000000004</v>
      </c>
      <c r="D103" s="221">
        <f>'Residential WN'!D103</f>
        <v>0.47000000000000003</v>
      </c>
      <c r="E103" s="9">
        <v>31</v>
      </c>
      <c r="F103" s="9">
        <v>1</v>
      </c>
      <c r="G103" s="18">
        <f>'CDM Activity'!O35</f>
        <v>0</v>
      </c>
      <c r="H103" s="38">
        <v>138.46317586658083</v>
      </c>
      <c r="I103" s="218">
        <f>'[11]CoS 2017 Load History'!J141</f>
        <v>4288</v>
      </c>
      <c r="J103" s="9">
        <v>351.91199999999998</v>
      </c>
      <c r="K103" s="9">
        <f t="shared" si="0"/>
        <v>10631183.6681174</v>
      </c>
      <c r="L103" s="9"/>
      <c r="M103" s="14"/>
      <c r="N103" s="40" t="s">
        <v>25</v>
      </c>
      <c r="O103" s="63">
        <v>-5250249.2433850924</v>
      </c>
      <c r="P103" s="63">
        <v>2355840.157850489</v>
      </c>
      <c r="Q103" s="54">
        <v>-2.2286101312474078</v>
      </c>
      <c r="R103" s="40">
        <v>2.7818731031661947E-2</v>
      </c>
      <c r="S103" s="63">
        <v>-9917593.4940388184</v>
      </c>
      <c r="T103" s="63">
        <v>-582904.99273136631</v>
      </c>
    </row>
    <row r="104" spans="1:20">
      <c r="A104" s="2">
        <v>39234</v>
      </c>
      <c r="B104" s="90">
        <f>'[11]CoS 2017 Load History'!H142</f>
        <v>10397828.820000019</v>
      </c>
      <c r="C104" s="221">
        <f>'Residential WN'!C104</f>
        <v>109.59</v>
      </c>
      <c r="D104" s="221">
        <f>'Residential WN'!D104</f>
        <v>6.7</v>
      </c>
      <c r="E104" s="9">
        <v>30</v>
      </c>
      <c r="F104" s="9">
        <v>0</v>
      </c>
      <c r="G104" s="18">
        <f>'CDM Activity'!O36</f>
        <v>0</v>
      </c>
      <c r="H104" s="38">
        <v>138.69185905884657</v>
      </c>
      <c r="I104" s="218">
        <f>'[11]CoS 2017 Load History'!J142</f>
        <v>4266</v>
      </c>
      <c r="J104" s="9">
        <v>336.24</v>
      </c>
      <c r="K104" s="9">
        <f t="shared" si="0"/>
        <v>10297230.811784424</v>
      </c>
      <c r="L104" s="9"/>
      <c r="M104" s="14"/>
      <c r="N104" s="40" t="s">
        <v>1</v>
      </c>
      <c r="O104" s="63">
        <v>4376.3745354293342</v>
      </c>
      <c r="P104" s="63">
        <v>119.55562838413557</v>
      </c>
      <c r="Q104" s="54">
        <v>36.605340916012089</v>
      </c>
      <c r="R104" s="40">
        <v>1.6728452792159149E-64</v>
      </c>
      <c r="S104" s="63">
        <v>4139.5132726172069</v>
      </c>
      <c r="T104" s="63">
        <v>4613.2357982414615</v>
      </c>
    </row>
    <row r="105" spans="1:20">
      <c r="A105" s="2">
        <v>39264</v>
      </c>
      <c r="B105" s="90">
        <f>'[11]CoS 2017 Load History'!H143</f>
        <v>11107289.329999989</v>
      </c>
      <c r="C105" s="221">
        <f>'Residential WN'!C105</f>
        <v>36.33</v>
      </c>
      <c r="D105" s="221">
        <f>'Residential WN'!D105</f>
        <v>40.369999999999997</v>
      </c>
      <c r="E105" s="9">
        <v>31</v>
      </c>
      <c r="F105" s="9">
        <v>0</v>
      </c>
      <c r="G105" s="18">
        <f>'CDM Activity'!O37</f>
        <v>0</v>
      </c>
      <c r="H105" s="38">
        <v>138.92091993999671</v>
      </c>
      <c r="I105" s="218">
        <f>'[11]CoS 2017 Load History'!J143</f>
        <v>4253</v>
      </c>
      <c r="J105" s="9">
        <v>336.28800000000001</v>
      </c>
      <c r="K105" s="9">
        <f t="shared" si="0"/>
        <v>10972447.812274219</v>
      </c>
      <c r="L105" s="9"/>
      <c r="M105" s="14"/>
      <c r="N105" s="40" t="s">
        <v>2</v>
      </c>
      <c r="O105" s="63">
        <v>20888.087627796107</v>
      </c>
      <c r="P105" s="63">
        <v>2872.5956194790565</v>
      </c>
      <c r="Q105" s="54">
        <v>7.2715029871082759</v>
      </c>
      <c r="R105" s="40">
        <v>4.9695708781407311E-11</v>
      </c>
      <c r="S105" s="63">
        <v>15196.957605943606</v>
      </c>
      <c r="T105" s="63">
        <v>26579.217649648606</v>
      </c>
    </row>
    <row r="106" spans="1:20">
      <c r="A106" s="2">
        <v>39295</v>
      </c>
      <c r="B106" s="90">
        <f>'[11]CoS 2017 Load History'!H144</f>
        <v>10981653.73</v>
      </c>
      <c r="C106" s="221">
        <f>'Residential WN'!C106</f>
        <v>51.55</v>
      </c>
      <c r="D106" s="221">
        <f>'Residential WN'!D106</f>
        <v>29.669999999999998</v>
      </c>
      <c r="E106" s="9">
        <v>31</v>
      </c>
      <c r="F106" s="9">
        <v>0</v>
      </c>
      <c r="G106" s="18">
        <f>'CDM Activity'!O38</f>
        <v>0</v>
      </c>
      <c r="H106" s="38">
        <v>139.15035913381516</v>
      </c>
      <c r="I106" s="218">
        <f>'[11]CoS 2017 Load History'!J144</f>
        <v>4241</v>
      </c>
      <c r="J106" s="9">
        <v>351.91199999999998</v>
      </c>
      <c r="K106" s="9">
        <f t="shared" si="0"/>
        <v>10826261.680403396</v>
      </c>
      <c r="L106" s="9"/>
      <c r="M106" s="14"/>
      <c r="N106" s="40" t="s">
        <v>3</v>
      </c>
      <c r="O106" s="63">
        <v>281837.9591581907</v>
      </c>
      <c r="P106" s="63">
        <v>38469.496421458032</v>
      </c>
      <c r="Q106" s="54">
        <v>7.3262710816506385</v>
      </c>
      <c r="R106" s="40">
        <v>3.7690424341523553E-11</v>
      </c>
      <c r="S106" s="63">
        <v>205622.9484114254</v>
      </c>
      <c r="T106" s="63">
        <v>358052.969904956</v>
      </c>
    </row>
    <row r="107" spans="1:20">
      <c r="A107" s="2">
        <v>39326</v>
      </c>
      <c r="B107" s="90">
        <f>'[11]CoS 2017 Load History'!H145</f>
        <v>10221738.110000003</v>
      </c>
      <c r="C107" s="221">
        <f>'Residential WN'!C107</f>
        <v>176.97</v>
      </c>
      <c r="D107" s="221">
        <f>'Residential WN'!D107</f>
        <v>5.05</v>
      </c>
      <c r="E107" s="9">
        <v>30</v>
      </c>
      <c r="F107" s="9">
        <v>1</v>
      </c>
      <c r="G107" s="18">
        <f>'CDM Activity'!O39</f>
        <v>0</v>
      </c>
      <c r="H107" s="38">
        <v>139.38017726511606</v>
      </c>
      <c r="I107" s="218">
        <f>'[11]CoS 2017 Load History'!J145</f>
        <v>4242</v>
      </c>
      <c r="J107" s="9">
        <v>303.83999999999997</v>
      </c>
      <c r="K107" s="9">
        <f t="shared" si="0"/>
        <v>10074286.208087437</v>
      </c>
      <c r="L107" s="9"/>
      <c r="M107" s="14"/>
      <c r="N107" s="40" t="s">
        <v>14</v>
      </c>
      <c r="O107" s="63">
        <v>-515483.36042067053</v>
      </c>
      <c r="P107" s="63">
        <v>72266.191994987195</v>
      </c>
      <c r="Q107" s="54">
        <v>-7.1331191832610674</v>
      </c>
      <c r="R107" s="40">
        <v>9.9634620503398702E-11</v>
      </c>
      <c r="S107" s="63">
        <v>-658655.72065082821</v>
      </c>
      <c r="T107" s="63">
        <v>-372311.00019051286</v>
      </c>
    </row>
    <row r="108" spans="1:20">
      <c r="A108" s="2">
        <v>39356</v>
      </c>
      <c r="B108" s="90">
        <f>'[11]CoS 2017 Load History'!H146</f>
        <v>10659311.449999996</v>
      </c>
      <c r="C108" s="221">
        <f>'Residential WN'!C108</f>
        <v>372.15</v>
      </c>
      <c r="D108" s="221">
        <f>'Residential WN'!D108</f>
        <v>0.54</v>
      </c>
      <c r="E108" s="9">
        <v>31</v>
      </c>
      <c r="F108" s="9">
        <v>1</v>
      </c>
      <c r="G108" s="18">
        <f>'CDM Activity'!O40</f>
        <v>0</v>
      </c>
      <c r="H108" s="38">
        <v>139.61037495974546</v>
      </c>
      <c r="I108" s="218">
        <f>'[11]CoS 2017 Load History'!J146</f>
        <v>4267</v>
      </c>
      <c r="J108" s="9">
        <v>351.91199999999998</v>
      </c>
      <c r="K108" s="9">
        <f t="shared" si="0"/>
        <v>11126843.058611784</v>
      </c>
      <c r="L108" s="9"/>
      <c r="M108" s="14"/>
      <c r="N108" s="40" t="s">
        <v>56</v>
      </c>
      <c r="O108" s="54">
        <v>-1.566795284531681</v>
      </c>
      <c r="P108" s="54">
        <v>0.39813811195632459</v>
      </c>
      <c r="Q108" s="54">
        <v>-3.9353059591128949</v>
      </c>
      <c r="R108" s="40">
        <v>1.4392995092215157E-4</v>
      </c>
      <c r="S108" s="54">
        <v>-2.355578692273987</v>
      </c>
      <c r="T108" s="54">
        <v>-0.77801187678937489</v>
      </c>
    </row>
    <row r="109" spans="1:20" ht="13.5" thickBot="1">
      <c r="A109" s="2">
        <v>39387</v>
      </c>
      <c r="B109" s="90">
        <f>'[11]CoS 2017 Load History'!H147</f>
        <v>11710992.839999968</v>
      </c>
      <c r="C109" s="221">
        <f>'Residential WN'!C109</f>
        <v>567.61000000000013</v>
      </c>
      <c r="D109" s="221">
        <f>'Residential WN'!D109</f>
        <v>0</v>
      </c>
      <c r="E109" s="9">
        <v>30</v>
      </c>
      <c r="F109" s="9">
        <v>1</v>
      </c>
      <c r="G109" s="18">
        <f>'CDM Activity'!O41</f>
        <v>0</v>
      </c>
      <c r="H109" s="38">
        <v>139.84095284458306</v>
      </c>
      <c r="I109" s="218">
        <f>'[11]CoS 2017 Load History'!J147</f>
        <v>4274</v>
      </c>
      <c r="J109" s="9">
        <v>352.08</v>
      </c>
      <c r="K109" s="9">
        <f t="shared" si="0"/>
        <v>11699892.827145381</v>
      </c>
      <c r="L109" s="9"/>
      <c r="M109" s="14"/>
      <c r="N109" s="51" t="s">
        <v>4</v>
      </c>
      <c r="O109" s="55">
        <v>46670.253408554257</v>
      </c>
      <c r="P109" s="55">
        <v>15354.277813255383</v>
      </c>
      <c r="Q109" s="55">
        <v>3.0395603086107847</v>
      </c>
      <c r="R109" s="51">
        <v>2.9442654268642806E-3</v>
      </c>
      <c r="S109" s="55">
        <v>16250.659771936385</v>
      </c>
      <c r="T109" s="55">
        <v>77089.847045172122</v>
      </c>
    </row>
    <row r="110" spans="1:20">
      <c r="A110" s="2">
        <v>39417</v>
      </c>
      <c r="B110" s="90">
        <f>'[11]CoS 2017 Load History'!H148</f>
        <v>13514465.429999996</v>
      </c>
      <c r="C110" s="221">
        <f>'Residential WN'!C110</f>
        <v>852.28999999999974</v>
      </c>
      <c r="D110" s="221">
        <f>'Residential WN'!D110</f>
        <v>0</v>
      </c>
      <c r="E110" s="9">
        <v>31</v>
      </c>
      <c r="F110" s="9">
        <v>0</v>
      </c>
      <c r="G110" s="18">
        <f>'CDM Activity'!O42</f>
        <v>0</v>
      </c>
      <c r="H110" s="38">
        <v>140.07191154754381</v>
      </c>
      <c r="I110" s="218">
        <f>'[11]CoS 2017 Load History'!J148</f>
        <v>4259</v>
      </c>
      <c r="J110" s="9">
        <v>304.29599999999999</v>
      </c>
      <c r="K110" s="9">
        <f t="shared" si="0"/>
        <v>13753859.350664351</v>
      </c>
      <c r="L110" s="9"/>
      <c r="M110" s="14"/>
    </row>
    <row r="111" spans="1:20">
      <c r="A111" s="2">
        <v>39448</v>
      </c>
      <c r="B111" s="90">
        <f>'[11]CoS 2017 Load History'!H149</f>
        <v>14087644.269999996</v>
      </c>
      <c r="C111" s="221">
        <f>'Residential WN'!C111</f>
        <v>960.98000000000013</v>
      </c>
      <c r="D111" s="221">
        <f>'Residential WN'!D111</f>
        <v>0</v>
      </c>
      <c r="E111" s="9">
        <v>31</v>
      </c>
      <c r="F111" s="9">
        <v>0</v>
      </c>
      <c r="G111" s="18">
        <f>'CDM Activity'!O43</f>
        <v>641.43816707100723</v>
      </c>
      <c r="H111" s="37">
        <v>139.96642175819056</v>
      </c>
      <c r="I111" s="218">
        <f>'[11]CoS 2017 Load History'!J149</f>
        <v>4276</v>
      </c>
      <c r="J111" s="228">
        <v>352</v>
      </c>
      <c r="K111" s="9">
        <f t="shared" si="0"/>
        <v>14223599.261423551</v>
      </c>
      <c r="L111" s="9"/>
    </row>
    <row r="112" spans="1:20">
      <c r="A112" s="2">
        <v>39479</v>
      </c>
      <c r="B112" s="90">
        <f>'[11]CoS 2017 Load History'!H150</f>
        <v>13323309.449999977</v>
      </c>
      <c r="C112" s="221">
        <f>'Residential WN'!C112</f>
        <v>875.5899999999998</v>
      </c>
      <c r="D112" s="221">
        <f>'Residential WN'!D112</f>
        <v>0</v>
      </c>
      <c r="E112" s="9">
        <v>29</v>
      </c>
      <c r="F112" s="9">
        <v>0</v>
      </c>
      <c r="G112" s="18">
        <f>'CDM Activity'!O44</f>
        <v>1282.8763341420145</v>
      </c>
      <c r="H112" s="37">
        <v>139.86101141442734</v>
      </c>
      <c r="I112" s="218">
        <f>'[11]CoS 2017 Load History'!J150</f>
        <v>4253</v>
      </c>
      <c r="J112" s="228">
        <v>320</v>
      </c>
      <c r="K112" s="9">
        <f t="shared" si="0"/>
        <v>13280300.19177606</v>
      </c>
      <c r="L112" s="9"/>
    </row>
    <row r="113" spans="1:13">
      <c r="A113" s="2">
        <v>39508</v>
      </c>
      <c r="B113" s="90">
        <f>'[11]CoS 2017 Load History'!H151</f>
        <v>12857263.979999973</v>
      </c>
      <c r="C113" s="221">
        <f>'Residential WN'!C113</f>
        <v>702.91</v>
      </c>
      <c r="D113" s="221">
        <f>'Residential WN'!D113</f>
        <v>0</v>
      </c>
      <c r="E113" s="9">
        <v>31</v>
      </c>
      <c r="F113" s="9">
        <v>1</v>
      </c>
      <c r="G113" s="18">
        <f>'CDM Activity'!O45</f>
        <v>1924.3145012130217</v>
      </c>
      <c r="H113" s="37">
        <v>139.75568045642274</v>
      </c>
      <c r="I113" s="218">
        <f>'[11]CoS 2017 Load History'!J151</f>
        <v>4240</v>
      </c>
      <c r="J113" s="228">
        <v>304</v>
      </c>
      <c r="K113" s="9">
        <f t="shared" si="0"/>
        <v>12566859.570096508</v>
      </c>
      <c r="L113" s="9"/>
    </row>
    <row r="114" spans="1:13">
      <c r="A114" s="2">
        <v>39539</v>
      </c>
      <c r="B114" s="90">
        <f>'[11]CoS 2017 Load History'!H152</f>
        <v>11209729.860000009</v>
      </c>
      <c r="C114" s="221">
        <f>'Residential WN'!C114</f>
        <v>450.5200000000001</v>
      </c>
      <c r="D114" s="221">
        <f>'Residential WN'!D114</f>
        <v>0</v>
      </c>
      <c r="E114" s="9">
        <v>30</v>
      </c>
      <c r="F114" s="9">
        <v>1</v>
      </c>
      <c r="G114" s="18">
        <f>'CDM Activity'!O46</f>
        <v>2565.7526682840289</v>
      </c>
      <c r="H114" s="37">
        <v>139.65042882439042</v>
      </c>
      <c r="I114" s="218">
        <f>'[11]CoS 2017 Load History'!J152</f>
        <v>4255</v>
      </c>
      <c r="J114" s="228">
        <v>352</v>
      </c>
      <c r="K114" s="9">
        <f t="shared" si="0"/>
        <v>11174551.319307212</v>
      </c>
      <c r="L114" s="9"/>
    </row>
    <row r="115" spans="1:13">
      <c r="A115" s="2">
        <v>39569</v>
      </c>
      <c r="B115" s="90">
        <f>'[11]CoS 2017 Load History'!H153</f>
        <v>10641515.859999977</v>
      </c>
      <c r="C115" s="221">
        <f>'Residential WN'!C115</f>
        <v>271.46000000000004</v>
      </c>
      <c r="D115" s="221">
        <f>'Residential WN'!D115</f>
        <v>0.47000000000000003</v>
      </c>
      <c r="E115" s="9">
        <v>31</v>
      </c>
      <c r="F115" s="9">
        <v>1</v>
      </c>
      <c r="G115" s="18">
        <f>'CDM Activity'!O47</f>
        <v>3207.1908353550361</v>
      </c>
      <c r="H115" s="37">
        <v>139.54525645858905</v>
      </c>
      <c r="I115" s="218">
        <f>'[11]CoS 2017 Load History'!J153</f>
        <v>4261</v>
      </c>
      <c r="J115" s="228">
        <v>336</v>
      </c>
      <c r="K115" s="9">
        <f t="shared" si="0"/>
        <v>10676659.632077476</v>
      </c>
      <c r="L115" s="9"/>
    </row>
    <row r="116" spans="1:13">
      <c r="A116" s="2">
        <v>39600</v>
      </c>
      <c r="B116" s="90">
        <f>'[11]CoS 2017 Load History'!H154</f>
        <v>10314120.790000018</v>
      </c>
      <c r="C116" s="221">
        <f>'Residential WN'!C116</f>
        <v>109.59</v>
      </c>
      <c r="D116" s="221">
        <f>'Residential WN'!D116</f>
        <v>6.7</v>
      </c>
      <c r="E116" s="9">
        <v>30</v>
      </c>
      <c r="F116" s="9">
        <v>0</v>
      </c>
      <c r="G116" s="18">
        <f>'CDM Activity'!O48</f>
        <v>3848.6290024260434</v>
      </c>
      <c r="H116" s="37">
        <v>139.44016329932234</v>
      </c>
      <c r="I116" s="218">
        <f>'[11]CoS 2017 Load History'!J154</f>
        <v>4242</v>
      </c>
      <c r="J116" s="228">
        <v>336</v>
      </c>
      <c r="K116" s="9">
        <f t="shared" si="0"/>
        <v>10326124.346541211</v>
      </c>
      <c r="L116" s="9"/>
    </row>
    <row r="117" spans="1:13">
      <c r="A117" s="2">
        <v>39630</v>
      </c>
      <c r="B117" s="90">
        <f>'[11]CoS 2017 Load History'!H155</f>
        <v>11042847.349999966</v>
      </c>
      <c r="C117" s="221">
        <f>'Residential WN'!C117</f>
        <v>36.33</v>
      </c>
      <c r="D117" s="221">
        <f>'Residential WN'!D117</f>
        <v>40.369999999999997</v>
      </c>
      <c r="E117" s="9">
        <v>31</v>
      </c>
      <c r="F117" s="9">
        <v>0</v>
      </c>
      <c r="G117" s="18">
        <f>'CDM Activity'!O49</f>
        <v>4490.0671694970506</v>
      </c>
      <c r="H117" s="37">
        <v>139.3351492869389</v>
      </c>
      <c r="I117" s="218">
        <f>'[11]CoS 2017 Load History'!J155</f>
        <v>4223</v>
      </c>
      <c r="J117" s="228">
        <v>352</v>
      </c>
      <c r="K117" s="9">
        <f t="shared" si="0"/>
        <v>10984744.984796872</v>
      </c>
      <c r="L117" s="9"/>
    </row>
    <row r="118" spans="1:13">
      <c r="A118" s="2">
        <v>39661</v>
      </c>
      <c r="B118" s="90">
        <f>'[11]CoS 2017 Load History'!H156</f>
        <v>10916451.01</v>
      </c>
      <c r="C118" s="221">
        <f>'Residential WN'!C118</f>
        <v>51.55</v>
      </c>
      <c r="D118" s="221">
        <f>'Residential WN'!D118</f>
        <v>29.669999999999998</v>
      </c>
      <c r="E118" s="9">
        <v>31</v>
      </c>
      <c r="F118" s="9">
        <v>0</v>
      </c>
      <c r="G118" s="18">
        <f>'CDM Activity'!O50</f>
        <v>5131.5053365680578</v>
      </c>
      <c r="H118" s="37">
        <v>139.23021436183228</v>
      </c>
      <c r="I118" s="218">
        <f>'[11]CoS 2017 Load History'!J156</f>
        <v>4227</v>
      </c>
      <c r="J118" s="228">
        <v>320</v>
      </c>
      <c r="K118" s="9">
        <f t="shared" si="0"/>
        <v>10821948.525767069</v>
      </c>
      <c r="L118" s="9"/>
    </row>
    <row r="119" spans="1:13">
      <c r="A119" s="2">
        <v>39692</v>
      </c>
      <c r="B119" s="90">
        <f>'[11]CoS 2017 Load History'!H157</f>
        <v>10097320.279999997</v>
      </c>
      <c r="C119" s="221">
        <f>'Residential WN'!C119</f>
        <v>176.97</v>
      </c>
      <c r="D119" s="221">
        <f>'Residential WN'!D119</f>
        <v>5.05</v>
      </c>
      <c r="E119" s="9">
        <v>30</v>
      </c>
      <c r="F119" s="9">
        <v>1</v>
      </c>
      <c r="G119" s="18">
        <f>'CDM Activity'!O51</f>
        <v>5772.9435036390651</v>
      </c>
      <c r="H119" s="37">
        <v>139.12535846444095</v>
      </c>
      <c r="I119" s="218">
        <f>'[11]CoS 2017 Load History'!J157</f>
        <v>4233</v>
      </c>
      <c r="J119" s="228">
        <v>336</v>
      </c>
      <c r="K119" s="9">
        <f t="shared" si="0"/>
        <v>10053348.729427297</v>
      </c>
      <c r="L119" s="9"/>
    </row>
    <row r="120" spans="1:13">
      <c r="A120" s="2">
        <v>39722</v>
      </c>
      <c r="B120" s="90">
        <f>'[11]CoS 2017 Load History'!H158</f>
        <v>10600173.260000022</v>
      </c>
      <c r="C120" s="221">
        <f>'Residential WN'!C120</f>
        <v>372.15</v>
      </c>
      <c r="D120" s="221">
        <f>'Residential WN'!D120</f>
        <v>0.54</v>
      </c>
      <c r="E120" s="9">
        <v>31</v>
      </c>
      <c r="F120" s="9">
        <v>1</v>
      </c>
      <c r="G120" s="18">
        <f>'CDM Activity'!O52</f>
        <v>6414.3816707100723</v>
      </c>
      <c r="H120" s="37">
        <v>139.02058153524823</v>
      </c>
      <c r="I120" s="218">
        <f>'[11]CoS 2017 Load History'!J158</f>
        <v>4277</v>
      </c>
      <c r="J120" s="228">
        <v>352</v>
      </c>
      <c r="K120" s="9">
        <f t="shared" si="0"/>
        <v>11089267.227076944</v>
      </c>
      <c r="L120" s="9"/>
    </row>
    <row r="121" spans="1:13">
      <c r="A121" s="2">
        <v>39753</v>
      </c>
      <c r="B121" s="90">
        <f>'[11]CoS 2017 Load History'!H159</f>
        <v>11883390.629999967</v>
      </c>
      <c r="C121" s="221">
        <f>'Residential WN'!C121</f>
        <v>567.61000000000013</v>
      </c>
      <c r="D121" s="221">
        <f>'Residential WN'!D121</f>
        <v>0</v>
      </c>
      <c r="E121" s="9">
        <v>30</v>
      </c>
      <c r="F121" s="9">
        <v>1</v>
      </c>
      <c r="G121" s="18">
        <f>'CDM Activity'!O53</f>
        <v>7055.8198377810795</v>
      </c>
      <c r="H121" s="37">
        <v>138.91588351478222</v>
      </c>
      <c r="I121" s="218">
        <f>'[11]CoS 2017 Load History'!J159</f>
        <v>4304</v>
      </c>
      <c r="J121" s="228">
        <v>304</v>
      </c>
      <c r="K121" s="9">
        <f t="shared" si="0"/>
        <v>11645664.581852755</v>
      </c>
      <c r="L121" s="9"/>
    </row>
    <row r="122" spans="1:13">
      <c r="A122" s="2">
        <v>39783</v>
      </c>
      <c r="B122" s="90">
        <f>'[11]CoS 2017 Load History'!H160</f>
        <v>13928152.380000029</v>
      </c>
      <c r="C122" s="221">
        <f>'Residential WN'!C122</f>
        <v>852.28999999999974</v>
      </c>
      <c r="D122" s="221">
        <f>'Residential WN'!D122</f>
        <v>0</v>
      </c>
      <c r="E122" s="9">
        <v>31</v>
      </c>
      <c r="F122" s="9">
        <v>0</v>
      </c>
      <c r="G122" s="18">
        <f>'CDM Activity'!O54</f>
        <v>7697.2580048520867</v>
      </c>
      <c r="H122" s="37">
        <v>138.8112643436159</v>
      </c>
      <c r="I122" s="218">
        <f>'[11]CoS 2017 Load History'!J160</f>
        <v>4292</v>
      </c>
      <c r="J122" s="228">
        <v>336</v>
      </c>
      <c r="K122" s="9">
        <f t="shared" si="0"/>
        <v>13682964.598652426</v>
      </c>
      <c r="L122" s="9"/>
      <c r="M122" s="24"/>
    </row>
    <row r="123" spans="1:13">
      <c r="A123" s="2">
        <v>39814</v>
      </c>
      <c r="B123" s="90">
        <f>'[11]CoS 2017 Load History'!H161</f>
        <v>14782282.100000059</v>
      </c>
      <c r="C123" s="221">
        <f>'Residential WN'!C123</f>
        <v>960.98000000000013</v>
      </c>
      <c r="D123" s="221">
        <f>'Residential WN'!D123</f>
        <v>0</v>
      </c>
      <c r="E123" s="9">
        <v>31</v>
      </c>
      <c r="F123" s="9">
        <v>0</v>
      </c>
      <c r="G123" s="18">
        <f>'CDM Activity'!O55</f>
        <v>15658.760164996896</v>
      </c>
      <c r="H123" s="37">
        <v>138.43555825854429</v>
      </c>
      <c r="I123" s="218">
        <f>'[11]CoS 2017 Load History'!J161</f>
        <v>4287</v>
      </c>
      <c r="J123" s="228">
        <v>336</v>
      </c>
      <c r="K123" s="9">
        <f t="shared" si="0"/>
        <v>14128624.40466851</v>
      </c>
      <c r="L123" s="9"/>
    </row>
    <row r="124" spans="1:13">
      <c r="A124" s="2">
        <v>39845</v>
      </c>
      <c r="B124" s="90">
        <f>'[11]CoS 2017 Load History'!H162</f>
        <v>12729982.000000009</v>
      </c>
      <c r="C124" s="221">
        <f>'Residential WN'!C124</f>
        <v>875.5899999999998</v>
      </c>
      <c r="D124" s="221">
        <f>'Residential WN'!D124</f>
        <v>0</v>
      </c>
      <c r="E124" s="9">
        <v>28</v>
      </c>
      <c r="F124" s="9">
        <v>0</v>
      </c>
      <c r="G124" s="18">
        <f>'CDM Activity'!O56</f>
        <v>23620.262325141706</v>
      </c>
      <c r="H124" s="37">
        <v>138.06086905825526</v>
      </c>
      <c r="I124" s="218">
        <f>'[11]CoS 2017 Load History'!J162</f>
        <v>4283</v>
      </c>
      <c r="J124" s="228">
        <v>304</v>
      </c>
      <c r="K124" s="9">
        <f t="shared" si="0"/>
        <v>12879451.021644384</v>
      </c>
      <c r="L124" s="9"/>
    </row>
    <row r="125" spans="1:13">
      <c r="A125" s="2">
        <v>39873</v>
      </c>
      <c r="B125" s="90">
        <f>'[11]CoS 2017 Load History'!H163</f>
        <v>12895508.210000023</v>
      </c>
      <c r="C125" s="221">
        <f>'Residential WN'!C125</f>
        <v>702.91</v>
      </c>
      <c r="D125" s="221">
        <f>'Residential WN'!D125</f>
        <v>0</v>
      </c>
      <c r="E125" s="9">
        <v>31</v>
      </c>
      <c r="F125" s="9">
        <v>1</v>
      </c>
      <c r="G125" s="18">
        <f>'CDM Activity'!O57</f>
        <v>31581.764485286516</v>
      </c>
      <c r="H125" s="37">
        <v>137.68719399045199</v>
      </c>
      <c r="I125" s="218">
        <f>'[11]CoS 2017 Load History'!J163</f>
        <v>4262</v>
      </c>
      <c r="J125" s="228">
        <v>352</v>
      </c>
      <c r="K125" s="9">
        <f t="shared" si="0"/>
        <v>12423855.629771207</v>
      </c>
      <c r="L125" s="9"/>
    </row>
    <row r="126" spans="1:13">
      <c r="A126" s="2">
        <v>39904</v>
      </c>
      <c r="B126" s="90">
        <f>'[11]CoS 2017 Load History'!H164</f>
        <v>10958049.76999999</v>
      </c>
      <c r="C126" s="221">
        <f>'Residential WN'!C126</f>
        <v>450.5200000000001</v>
      </c>
      <c r="D126" s="221">
        <f>'Residential WN'!D126</f>
        <v>0</v>
      </c>
      <c r="E126" s="9">
        <v>30</v>
      </c>
      <c r="F126" s="9">
        <v>1</v>
      </c>
      <c r="G126" s="18">
        <f>'CDM Activity'!O58</f>
        <v>39543.266645431322</v>
      </c>
      <c r="H126" s="37">
        <v>137.31453031028698</v>
      </c>
      <c r="I126" s="218">
        <f>'[11]CoS 2017 Load History'!J164</f>
        <v>4267</v>
      </c>
      <c r="J126" s="228">
        <v>320</v>
      </c>
      <c r="K126" s="9">
        <f t="shared" si="0"/>
        <v>11007598.14918424</v>
      </c>
      <c r="L126" s="9"/>
      <c r="M126" s="49"/>
    </row>
    <row r="127" spans="1:13">
      <c r="A127" s="2">
        <v>39934</v>
      </c>
      <c r="B127" s="90">
        <f>'[11]CoS 2017 Load History'!H165</f>
        <v>10456056.380000023</v>
      </c>
      <c r="C127" s="221">
        <f>'Residential WN'!C127</f>
        <v>271.46000000000004</v>
      </c>
      <c r="D127" s="221">
        <f>'Residential WN'!D127</f>
        <v>0.47000000000000003</v>
      </c>
      <c r="E127" s="9">
        <v>31</v>
      </c>
      <c r="F127" s="9">
        <v>1</v>
      </c>
      <c r="G127" s="18">
        <f>'CDM Activity'!O59</f>
        <v>47504.768805576132</v>
      </c>
      <c r="H127" s="37">
        <v>136.94287528034204</v>
      </c>
      <c r="I127" s="218">
        <f>'[11]CoS 2017 Load History'!J165</f>
        <v>4262</v>
      </c>
      <c r="J127" s="228">
        <v>320</v>
      </c>
      <c r="K127" s="9">
        <f t="shared" si="0"/>
        <v>10485800.60674312</v>
      </c>
      <c r="L127" s="9"/>
    </row>
    <row r="128" spans="1:13">
      <c r="A128" s="2">
        <v>39965</v>
      </c>
      <c r="B128" s="90">
        <f>'[11]CoS 2017 Load History'!H166</f>
        <v>9998205.9600000195</v>
      </c>
      <c r="C128" s="221">
        <f>'Residential WN'!C128</f>
        <v>109.59</v>
      </c>
      <c r="D128" s="221">
        <f>'Residential WN'!D128</f>
        <v>6.7</v>
      </c>
      <c r="E128" s="9">
        <v>30</v>
      </c>
      <c r="F128" s="9">
        <v>0</v>
      </c>
      <c r="G128" s="18">
        <f>'CDM Activity'!O60</f>
        <v>55466.270965720942</v>
      </c>
      <c r="H128" s="37">
        <v>136.57222617060793</v>
      </c>
      <c r="I128" s="218">
        <f>'[11]CoS 2017 Load History'!J166</f>
        <v>4231</v>
      </c>
      <c r="J128" s="228">
        <v>352</v>
      </c>
      <c r="K128" s="9">
        <f t="shared" si="0"/>
        <v>10111402.715957575</v>
      </c>
      <c r="L128" s="9"/>
    </row>
    <row r="129" spans="1:12">
      <c r="A129" s="2">
        <v>39995</v>
      </c>
      <c r="B129" s="90">
        <f>'[11]CoS 2017 Load History'!H167</f>
        <v>10339691.300000004</v>
      </c>
      <c r="C129" s="221">
        <f>'Residential WN'!C129</f>
        <v>36.33</v>
      </c>
      <c r="D129" s="221">
        <f>'Residential WN'!D129</f>
        <v>40.369999999999997</v>
      </c>
      <c r="E129" s="9">
        <v>31</v>
      </c>
      <c r="F129" s="9">
        <v>0</v>
      </c>
      <c r="G129" s="18">
        <f>'CDM Activity'!O61</f>
        <v>63427.773125865751</v>
      </c>
      <c r="H129" s="37">
        <v>136.20258025846454</v>
      </c>
      <c r="I129" s="218">
        <f>'[11]CoS 2017 Load History'!J167</f>
        <v>4236</v>
      </c>
      <c r="J129" s="228">
        <v>352</v>
      </c>
      <c r="K129" s="9">
        <f t="shared" si="0"/>
        <v>10746203.874644633</v>
      </c>
      <c r="L129" s="9"/>
    </row>
    <row r="130" spans="1:12">
      <c r="A130" s="2">
        <v>40026</v>
      </c>
      <c r="B130" s="90">
        <f>'[11]CoS 2017 Load History'!H168</f>
        <v>10369728.639999986</v>
      </c>
      <c r="C130" s="221">
        <f>'Residential WN'!C130</f>
        <v>51.55</v>
      </c>
      <c r="D130" s="221">
        <f>'Residential WN'!D130</f>
        <v>29.669999999999998</v>
      </c>
      <c r="E130" s="9">
        <v>31</v>
      </c>
      <c r="F130" s="9">
        <v>0</v>
      </c>
      <c r="G130" s="18">
        <f>'CDM Activity'!O62</f>
        <v>71389.275286010554</v>
      </c>
      <c r="H130" s="37">
        <v>135.83393482866074</v>
      </c>
      <c r="I130" s="218">
        <f>'[11]CoS 2017 Load History'!J168</f>
        <v>4236</v>
      </c>
      <c r="J130" s="228">
        <v>320</v>
      </c>
      <c r="K130" s="9">
        <f t="shared" si="0"/>
        <v>10559630.937787298</v>
      </c>
      <c r="L130" s="9"/>
    </row>
    <row r="131" spans="1:12">
      <c r="A131" s="2">
        <v>40057</v>
      </c>
      <c r="B131" s="90">
        <f>'[11]CoS 2017 Load History'!H169</f>
        <v>10093112.910000011</v>
      </c>
      <c r="C131" s="221">
        <f>'Residential WN'!C131</f>
        <v>176.97</v>
      </c>
      <c r="D131" s="221">
        <f>'Residential WN'!D131</f>
        <v>5.05</v>
      </c>
      <c r="E131" s="9">
        <v>30</v>
      </c>
      <c r="F131" s="9">
        <v>1</v>
      </c>
      <c r="G131" s="18">
        <f>'CDM Activity'!O63</f>
        <v>79350.777446155364</v>
      </c>
      <c r="H131" s="37">
        <v>135.46628717329455</v>
      </c>
      <c r="I131" s="218">
        <f>'[11]CoS 2017 Load History'!J169</f>
        <v>4245</v>
      </c>
      <c r="J131" s="228">
        <v>336</v>
      </c>
      <c r="K131" s="9">
        <f t="shared" si="0"/>
        <v>9767297.541762339</v>
      </c>
      <c r="L131" s="9"/>
    </row>
    <row r="132" spans="1:12">
      <c r="A132" s="2">
        <v>40087</v>
      </c>
      <c r="B132" s="90">
        <f>'[11]CoS 2017 Load History'!H170</f>
        <v>10535420.810000017</v>
      </c>
      <c r="C132" s="221">
        <f>'Residential WN'!C132</f>
        <v>372.15</v>
      </c>
      <c r="D132" s="221">
        <f>'Residential WN'!D132</f>
        <v>0.54</v>
      </c>
      <c r="E132" s="9">
        <v>31</v>
      </c>
      <c r="F132" s="9">
        <v>1</v>
      </c>
      <c r="G132" s="18">
        <f>'CDM Activity'!O64</f>
        <v>87312.279606300173</v>
      </c>
      <c r="H132" s="37">
        <v>135.09963459179312</v>
      </c>
      <c r="I132" s="218">
        <f>'[11]CoS 2017 Load History'!J170</f>
        <v>4272</v>
      </c>
      <c r="J132" s="228">
        <v>336</v>
      </c>
      <c r="K132" s="9">
        <f t="shared" si="0"/>
        <v>10779525.194610391</v>
      </c>
      <c r="L132" s="9"/>
    </row>
    <row r="133" spans="1:12">
      <c r="A133" s="2">
        <v>40118</v>
      </c>
      <c r="B133" s="90">
        <f>'[11]CoS 2017 Load History'!H171</f>
        <v>11117076.040000018</v>
      </c>
      <c r="C133" s="221">
        <f>'Residential WN'!C133</f>
        <v>567.61000000000013</v>
      </c>
      <c r="D133" s="221">
        <f>'Residential WN'!D133</f>
        <v>0</v>
      </c>
      <c r="E133" s="9">
        <v>30</v>
      </c>
      <c r="F133" s="9">
        <v>1</v>
      </c>
      <c r="G133" s="18">
        <f>'CDM Activity'!O65</f>
        <v>95273.781766444983</v>
      </c>
      <c r="H133" s="37">
        <v>134.733974390893</v>
      </c>
      <c r="I133" s="218">
        <f>'[11]CoS 2017 Load History'!J171</f>
        <v>4285</v>
      </c>
      <c r="J133" s="228">
        <v>320</v>
      </c>
      <c r="K133" s="9">
        <f t="shared" si="0"/>
        <v>11312274.336548474</v>
      </c>
      <c r="L133" s="9"/>
    </row>
    <row r="134" spans="1:12">
      <c r="A134" s="2">
        <v>40148</v>
      </c>
      <c r="B134" s="90">
        <f>'[11]CoS 2017 Load History'!H172</f>
        <v>13231701.560000025</v>
      </c>
      <c r="C134" s="221">
        <f>'Residential WN'!C134</f>
        <v>852.28999999999974</v>
      </c>
      <c r="D134" s="221">
        <f>'Residential WN'!D134</f>
        <v>0</v>
      </c>
      <c r="E134" s="9">
        <v>31</v>
      </c>
      <c r="F134" s="9">
        <v>0</v>
      </c>
      <c r="G134" s="18">
        <f>'CDM Activity'!O66</f>
        <v>103235.28392658979</v>
      </c>
      <c r="H134" s="37">
        <v>134.36930388462019</v>
      </c>
      <c r="I134" s="218">
        <f>'[11]CoS 2017 Load History'!J172</f>
        <v>4313</v>
      </c>
      <c r="J134" s="228">
        <v>352</v>
      </c>
      <c r="K134" s="9">
        <f t="shared" si="0"/>
        <v>13325968.649892673</v>
      </c>
      <c r="L134" s="9"/>
    </row>
    <row r="135" spans="1:12">
      <c r="A135" s="2">
        <v>40179</v>
      </c>
      <c r="B135" s="90">
        <f>'[11]CoS 2017 Load History'!H173</f>
        <v>13822668.869999984</v>
      </c>
      <c r="C135" s="221">
        <f>'Residential WN'!C135</f>
        <v>960.98000000000013</v>
      </c>
      <c r="D135" s="221">
        <f>'Residential WN'!D135</f>
        <v>0</v>
      </c>
      <c r="E135" s="9">
        <v>31</v>
      </c>
      <c r="F135" s="9">
        <v>0</v>
      </c>
      <c r="G135" s="18">
        <f>'CDM Activity'!O67</f>
        <v>110872.31839091858</v>
      </c>
      <c r="H135" s="37">
        <v>134.73334561620703</v>
      </c>
      <c r="I135" s="218">
        <f>'[11]CoS 2017 Load History'!J173</f>
        <v>4306</v>
      </c>
      <c r="J135" s="9">
        <v>320</v>
      </c>
      <c r="K135" s="9">
        <f t="shared" si="0"/>
        <v>13806661.048426419</v>
      </c>
      <c r="L135" s="9"/>
    </row>
    <row r="136" spans="1:12">
      <c r="A136" s="2">
        <v>40210</v>
      </c>
      <c r="B136" s="90">
        <f>'[11]CoS 2017 Load History'!H174</f>
        <v>11978631.199999979</v>
      </c>
      <c r="C136" s="221">
        <f>'Residential WN'!C136</f>
        <v>875.5899999999998</v>
      </c>
      <c r="D136" s="221">
        <f>'Residential WN'!D136</f>
        <v>0</v>
      </c>
      <c r="E136" s="9">
        <v>28</v>
      </c>
      <c r="F136" s="9">
        <v>0</v>
      </c>
      <c r="G136" s="18">
        <f>'CDM Activity'!O68</f>
        <v>118509.35285524736</v>
      </c>
      <c r="H136" s="37">
        <v>135.09837363244745</v>
      </c>
      <c r="I136" s="218">
        <f>'[11]CoS 2017 Load History'!J174</f>
        <v>4306</v>
      </c>
      <c r="J136" s="9">
        <v>304</v>
      </c>
      <c r="K136" s="9">
        <f t="shared" si="0"/>
        <v>12592518.829804182</v>
      </c>
      <c r="L136" s="9"/>
    </row>
    <row r="137" spans="1:12">
      <c r="A137" s="2">
        <v>40238</v>
      </c>
      <c r="B137" s="90">
        <f>'[11]CoS 2017 Load History'!H175</f>
        <v>11476632.719999976</v>
      </c>
      <c r="C137" s="221">
        <f>'Residential WN'!C137</f>
        <v>702.91</v>
      </c>
      <c r="D137" s="221">
        <f>'Residential WN'!D137</f>
        <v>0</v>
      </c>
      <c r="E137" s="9">
        <v>31</v>
      </c>
      <c r="F137" s="9">
        <v>1</v>
      </c>
      <c r="G137" s="18">
        <f>'CDM Activity'!O69</f>
        <v>126146.38731957614</v>
      </c>
      <c r="H137" s="37">
        <v>135.46439060544563</v>
      </c>
      <c r="I137" s="218">
        <f>'[11]CoS 2017 Load History'!J175</f>
        <v>4314</v>
      </c>
      <c r="J137" s="9">
        <v>368</v>
      </c>
      <c r="K137" s="9">
        <f t="shared" si="0"/>
        <v>12171953.427375287</v>
      </c>
      <c r="L137" s="9"/>
    </row>
    <row r="138" spans="1:12">
      <c r="A138" s="2">
        <v>40269</v>
      </c>
      <c r="B138" s="90">
        <f>'[11]CoS 2017 Load History'!H176</f>
        <v>10116363.230000025</v>
      </c>
      <c r="C138" s="221">
        <f>'Residential WN'!C138</f>
        <v>450.5200000000001</v>
      </c>
      <c r="D138" s="221">
        <f>'Residential WN'!D138</f>
        <v>0</v>
      </c>
      <c r="E138" s="9">
        <v>30</v>
      </c>
      <c r="F138" s="9">
        <v>1</v>
      </c>
      <c r="G138" s="18">
        <f>'CDM Activity'!O70</f>
        <v>133783.42178390492</v>
      </c>
      <c r="H138" s="37">
        <v>135.83139921454512</v>
      </c>
      <c r="I138" s="218">
        <f>'[11]CoS 2017 Load History'!J176</f>
        <v>4307</v>
      </c>
      <c r="J138" s="9">
        <v>320</v>
      </c>
      <c r="K138" s="9">
        <f t="shared" si="0"/>
        <v>10790725.014423367</v>
      </c>
      <c r="L138" s="9"/>
    </row>
    <row r="139" spans="1:12">
      <c r="A139" s="2">
        <v>40299</v>
      </c>
      <c r="B139" s="90">
        <f>'[11]CoS 2017 Load History'!H177</f>
        <v>10174879.319999982</v>
      </c>
      <c r="C139" s="221">
        <f>'Residential WN'!C139</f>
        <v>271.46000000000004</v>
      </c>
      <c r="D139" s="221">
        <f>'Residential WN'!D139</f>
        <v>0.47000000000000003</v>
      </c>
      <c r="E139" s="9">
        <v>31</v>
      </c>
      <c r="F139" s="9">
        <v>1</v>
      </c>
      <c r="G139" s="18">
        <f>'CDM Activity'!O71</f>
        <v>141420.45624823371</v>
      </c>
      <c r="H139" s="37">
        <v>136.19940214634852</v>
      </c>
      <c r="I139" s="218">
        <f>'[11]CoS 2017 Load History'!J177</f>
        <v>4279</v>
      </c>
      <c r="J139" s="9">
        <v>320</v>
      </c>
      <c r="K139" s="9">
        <f t="shared" si="0"/>
        <v>10303955.870948482</v>
      </c>
      <c r="L139" s="9"/>
    </row>
    <row r="140" spans="1:12">
      <c r="A140" s="2">
        <v>40330</v>
      </c>
      <c r="B140" s="90">
        <f>'[11]CoS 2017 Load History'!H178</f>
        <v>9916902.6700000148</v>
      </c>
      <c r="C140" s="221">
        <f>'Residential WN'!C140</f>
        <v>109.59</v>
      </c>
      <c r="D140" s="221">
        <f>'Residential WN'!D140</f>
        <v>6.7</v>
      </c>
      <c r="E140" s="9">
        <v>30</v>
      </c>
      <c r="F140" s="9">
        <v>0</v>
      </c>
      <c r="G140" s="18">
        <f>'CDM Activity'!O72</f>
        <v>149057.49071256249</v>
      </c>
      <c r="H140" s="37">
        <v>136.56840209473719</v>
      </c>
      <c r="I140" s="218">
        <f>'[11]CoS 2017 Load History'!J178</f>
        <v>4287</v>
      </c>
      <c r="J140" s="9">
        <v>352</v>
      </c>
      <c r="K140" s="9">
        <f t="shared" si="0"/>
        <v>9964585.9635947123</v>
      </c>
      <c r="L140" s="9"/>
    </row>
    <row r="141" spans="1:12">
      <c r="A141" s="2">
        <v>40360</v>
      </c>
      <c r="B141" s="90">
        <f>'[11]CoS 2017 Load History'!H179</f>
        <v>10687565.209999999</v>
      </c>
      <c r="C141" s="221">
        <f>'Residential WN'!C141</f>
        <v>36.33</v>
      </c>
      <c r="D141" s="221">
        <f>'Residential WN'!D141</f>
        <v>40.369999999999997</v>
      </c>
      <c r="E141" s="9">
        <v>31</v>
      </c>
      <c r="F141" s="9">
        <v>0</v>
      </c>
      <c r="G141" s="18">
        <f>'CDM Activity'!O73</f>
        <v>156694.52517689127</v>
      </c>
      <c r="H141" s="37">
        <v>136.93840176089088</v>
      </c>
      <c r="I141" s="218">
        <f>'[11]CoS 2017 Load History'!J179</f>
        <v>4285</v>
      </c>
      <c r="J141" s="9">
        <v>336</v>
      </c>
      <c r="K141" s="9">
        <f t="shared" si="0"/>
        <v>10634414.943309203</v>
      </c>
      <c r="L141" s="9"/>
    </row>
    <row r="142" spans="1:12">
      <c r="A142" s="2">
        <v>40391</v>
      </c>
      <c r="B142" s="90">
        <f>'[11]CoS 2017 Load History'!H180</f>
        <v>10774421.849999988</v>
      </c>
      <c r="C142" s="221">
        <f>'Residential WN'!C142</f>
        <v>51.55</v>
      </c>
      <c r="D142" s="221">
        <f>'Residential WN'!D142</f>
        <v>29.669999999999998</v>
      </c>
      <c r="E142" s="9">
        <v>31</v>
      </c>
      <c r="F142" s="9">
        <v>0</v>
      </c>
      <c r="G142" s="18">
        <f>'CDM Activity'!O74</f>
        <v>164331.55964122005</v>
      </c>
      <c r="H142" s="37">
        <v>137.30940385330757</v>
      </c>
      <c r="I142" s="218">
        <f>'[11]CoS 2017 Load History'!J180</f>
        <v>4286</v>
      </c>
      <c r="J142" s="9">
        <v>336</v>
      </c>
      <c r="K142" s="9">
        <f t="shared" si="0"/>
        <v>10482869.918202693</v>
      </c>
      <c r="L142" s="9"/>
    </row>
    <row r="143" spans="1:12">
      <c r="A143" s="2">
        <v>40422</v>
      </c>
      <c r="B143" s="90">
        <f>'[11]CoS 2017 Load History'!H181</f>
        <v>9491235.3699999973</v>
      </c>
      <c r="C143" s="221">
        <f>'Residential WN'!C143</f>
        <v>176.97</v>
      </c>
      <c r="D143" s="221">
        <f>'Residential WN'!D143</f>
        <v>5.05</v>
      </c>
      <c r="E143" s="9">
        <v>30</v>
      </c>
      <c r="F143" s="9">
        <v>1</v>
      </c>
      <c r="G143" s="18">
        <f>'CDM Activity'!O75</f>
        <v>171968.59410554884</v>
      </c>
      <c r="H143" s="37">
        <v>137.68141108782325</v>
      </c>
      <c r="I143" s="218">
        <f>'[11]CoS 2017 Load History'!J181</f>
        <v>4302</v>
      </c>
      <c r="J143" s="9">
        <v>336</v>
      </c>
      <c r="K143" s="9">
        <f t="shared" si="0"/>
        <v>9725564.7777791843</v>
      </c>
      <c r="L143" s="9"/>
    </row>
    <row r="144" spans="1:12">
      <c r="A144" s="2">
        <v>40452</v>
      </c>
      <c r="B144" s="90">
        <f>'[11]CoS 2017 Load History'!H182</f>
        <v>10047653.200000029</v>
      </c>
      <c r="C144" s="221">
        <f>'Residential WN'!C144</f>
        <v>372.15</v>
      </c>
      <c r="D144" s="221">
        <f>'Residential WN'!D144</f>
        <v>0.54</v>
      </c>
      <c r="E144" s="9">
        <v>31</v>
      </c>
      <c r="F144" s="9">
        <v>1</v>
      </c>
      <c r="G144" s="18">
        <f>'CDM Activity'!O76</f>
        <v>179605.62856987762</v>
      </c>
      <c r="H144" s="37">
        <v>138.0544261876318</v>
      </c>
      <c r="I144" s="218">
        <f>'[11]CoS 2017 Load History'!J182</f>
        <v>4331</v>
      </c>
      <c r="J144" s="9">
        <v>320</v>
      </c>
      <c r="K144" s="9">
        <f t="shared" si="0"/>
        <v>10772821.283207878</v>
      </c>
      <c r="L144" s="9"/>
    </row>
    <row r="145" spans="1:12">
      <c r="A145" s="2">
        <v>40483</v>
      </c>
      <c r="B145" s="90">
        <f>'[11]CoS 2017 Load History'!H183</f>
        <v>11121846.869999992</v>
      </c>
      <c r="C145" s="221">
        <f>'Residential WN'!C145</f>
        <v>567.61000000000013</v>
      </c>
      <c r="D145" s="221">
        <f>'Residential WN'!D145</f>
        <v>0</v>
      </c>
      <c r="E145" s="9">
        <v>30</v>
      </c>
      <c r="F145" s="9">
        <v>1</v>
      </c>
      <c r="G145" s="18">
        <f>'CDM Activity'!O77</f>
        <v>187242.6630342064</v>
      </c>
      <c r="H145" s="37">
        <v>138.42845188330503</v>
      </c>
      <c r="I145" s="218">
        <f>'[11]CoS 2017 Load History'!J183</f>
        <v>4335</v>
      </c>
      <c r="J145" s="9">
        <v>336</v>
      </c>
      <c r="K145" s="9">
        <f t="shared" si="0"/>
        <v>11340600.127837561</v>
      </c>
      <c r="L145" s="9"/>
    </row>
    <row r="146" spans="1:12">
      <c r="A146" s="2">
        <v>40513</v>
      </c>
      <c r="B146" s="90">
        <f>'[11]CoS 2017 Load History'!H184</f>
        <v>13156983.93999997</v>
      </c>
      <c r="C146" s="221">
        <f>'Residential WN'!C146</f>
        <v>852.28999999999974</v>
      </c>
      <c r="D146" s="221">
        <f>'Residential WN'!D146</f>
        <v>0</v>
      </c>
      <c r="E146" s="9">
        <v>31</v>
      </c>
      <c r="F146" s="9">
        <v>0</v>
      </c>
      <c r="G146" s="18">
        <f>'CDM Activity'!O78</f>
        <v>194879.69749853518</v>
      </c>
      <c r="H146" s="37">
        <v>138.80349091281266</v>
      </c>
      <c r="I146" s="218">
        <f>'[11]CoS 2017 Load History'!J184</f>
        <v>4331</v>
      </c>
      <c r="J146" s="9">
        <v>368</v>
      </c>
      <c r="K146" s="9">
        <f t="shared" si="0"/>
        <v>13389325.247121144</v>
      </c>
      <c r="L146" s="9"/>
    </row>
    <row r="147" spans="1:12">
      <c r="A147" s="34">
        <v>40544</v>
      </c>
      <c r="B147" s="90">
        <f>'[11]CoS 2017 Load History'!H185</f>
        <v>14302277.350000005</v>
      </c>
      <c r="C147" s="221">
        <f>'Residential WN'!C147</f>
        <v>960.98000000000013</v>
      </c>
      <c r="D147" s="221">
        <f>'Residential WN'!D147</f>
        <v>0</v>
      </c>
      <c r="E147" s="96">
        <v>31</v>
      </c>
      <c r="F147" s="18">
        <v>0</v>
      </c>
      <c r="G147" s="18">
        <f>'CDM Activity'!O79</f>
        <v>197981.19865311679</v>
      </c>
      <c r="H147" s="37">
        <v>139.10070640604135</v>
      </c>
      <c r="I147" s="218">
        <f>'[11]CoS 2017 Load History'!J185</f>
        <v>4329</v>
      </c>
      <c r="J147" s="18">
        <v>336</v>
      </c>
      <c r="K147" s="9">
        <f t="shared" si="0"/>
        <v>13874005.100378923</v>
      </c>
      <c r="L147" s="9"/>
    </row>
    <row r="148" spans="1:12">
      <c r="A148" s="34">
        <v>40575</v>
      </c>
      <c r="B148" s="90">
        <f>'[11]CoS 2017 Load History'!H186</f>
        <v>12447595.389999971</v>
      </c>
      <c r="C148" s="221">
        <f>'Residential WN'!C148</f>
        <v>875.5899999999998</v>
      </c>
      <c r="D148" s="221">
        <f>'Residential WN'!D148</f>
        <v>0</v>
      </c>
      <c r="E148" s="96">
        <v>28</v>
      </c>
      <c r="F148" s="18">
        <v>0</v>
      </c>
      <c r="G148" s="18">
        <f>'CDM Activity'!O80</f>
        <v>201082.6998076984</v>
      </c>
      <c r="H148" s="37">
        <v>139.39855831733732</v>
      </c>
      <c r="I148" s="218">
        <f>'[11]CoS 2017 Load History'!J186</f>
        <v>4324</v>
      </c>
      <c r="J148" s="18">
        <v>304</v>
      </c>
      <c r="K148" s="9">
        <f t="shared" si="0"/>
        <v>12663834.008118477</v>
      </c>
      <c r="L148" s="9"/>
    </row>
    <row r="149" spans="1:12">
      <c r="A149" s="34">
        <v>40603</v>
      </c>
      <c r="B149" s="90">
        <f>'[11]CoS 2017 Load History'!H187</f>
        <v>12509940.990000015</v>
      </c>
      <c r="C149" s="221">
        <f>'Residential WN'!C149</f>
        <v>702.91</v>
      </c>
      <c r="D149" s="221">
        <f>'Residential WN'!D149</f>
        <v>0</v>
      </c>
      <c r="E149" s="96">
        <v>31</v>
      </c>
      <c r="F149" s="18">
        <v>1</v>
      </c>
      <c r="G149" s="18">
        <f>'CDM Activity'!O81</f>
        <v>204184.20096228001</v>
      </c>
      <c r="H149" s="37">
        <v>139.69704800944226</v>
      </c>
      <c r="I149" s="218">
        <f>'[11]CoS 2017 Load History'!J187</f>
        <v>4331</v>
      </c>
      <c r="J149" s="18">
        <v>368</v>
      </c>
      <c r="K149" s="9">
        <f t="shared" si="0"/>
        <v>12247223.342580851</v>
      </c>
      <c r="L149" s="9"/>
    </row>
    <row r="150" spans="1:12">
      <c r="A150" s="34">
        <v>40634</v>
      </c>
      <c r="B150" s="90">
        <f>'[11]CoS 2017 Load History'!H188</f>
        <v>10791805.250000004</v>
      </c>
      <c r="C150" s="221">
        <f>'Residential WN'!C150</f>
        <v>450.5200000000001</v>
      </c>
      <c r="D150" s="221">
        <f>'Residential WN'!D150</f>
        <v>0</v>
      </c>
      <c r="E150" s="96">
        <v>30</v>
      </c>
      <c r="F150" s="18">
        <v>1</v>
      </c>
      <c r="G150" s="18">
        <f>'CDM Activity'!O82</f>
        <v>207285.70211686162</v>
      </c>
      <c r="H150" s="37">
        <v>139.99617684801592</v>
      </c>
      <c r="I150" s="218">
        <f>'[11]CoS 2017 Load History'!J188</f>
        <v>4324</v>
      </c>
      <c r="J150" s="18">
        <v>320</v>
      </c>
      <c r="K150" s="9">
        <f t="shared" si="0"/>
        <v>10869933.215739725</v>
      </c>
      <c r="L150" s="9"/>
    </row>
    <row r="151" spans="1:12">
      <c r="A151" s="34">
        <v>40664</v>
      </c>
      <c r="B151" s="90">
        <f>'[11]CoS 2017 Load History'!H189</f>
        <v>10114377.919999992</v>
      </c>
      <c r="C151" s="221">
        <f>'Residential WN'!C151</f>
        <v>271.46000000000004</v>
      </c>
      <c r="D151" s="221">
        <f>'Residential WN'!D151</f>
        <v>0.47000000000000003</v>
      </c>
      <c r="E151" s="96">
        <v>31</v>
      </c>
      <c r="F151" s="18">
        <v>1</v>
      </c>
      <c r="G151" s="18">
        <f>'CDM Activity'!O83</f>
        <v>210387.20327144323</v>
      </c>
      <c r="H151" s="37">
        <v>140.29594620164227</v>
      </c>
      <c r="I151" s="218">
        <f>'[11]CoS 2017 Load History'!J189</f>
        <v>4319</v>
      </c>
      <c r="J151" s="18">
        <v>336</v>
      </c>
      <c r="K151" s="9">
        <f t="shared" si="0"/>
        <v>10387085.846082894</v>
      </c>
      <c r="L151" s="9"/>
    </row>
    <row r="152" spans="1:12">
      <c r="A152" s="34">
        <v>40695</v>
      </c>
      <c r="B152" s="90">
        <f>'[11]CoS 2017 Load History'!H190</f>
        <v>9658664.0399999935</v>
      </c>
      <c r="C152" s="221">
        <f>'Residential WN'!C152</f>
        <v>109.59</v>
      </c>
      <c r="D152" s="221">
        <f>'Residential WN'!D152</f>
        <v>6.7</v>
      </c>
      <c r="E152" s="96">
        <v>30</v>
      </c>
      <c r="F152" s="18">
        <v>0</v>
      </c>
      <c r="G152" s="18">
        <f>'CDM Activity'!O84</f>
        <v>213488.70442602484</v>
      </c>
      <c r="H152" s="37">
        <v>140.59635744183578</v>
      </c>
      <c r="I152" s="218">
        <f>'[11]CoS 2017 Load History'!J190</f>
        <v>4331</v>
      </c>
      <c r="J152" s="18">
        <v>352</v>
      </c>
      <c r="K152" s="9">
        <f t="shared" ref="K152:K215" si="1">$O$103+C152*$O$104+D152*$O$105+E152*$O$106+F152*$O$107+G152*$O$108+H152*$O$109</f>
        <v>10051621.13853924</v>
      </c>
      <c r="L152" s="9"/>
    </row>
    <row r="153" spans="1:12">
      <c r="A153" s="34">
        <v>40725</v>
      </c>
      <c r="B153" s="90">
        <f>'[11]CoS 2017 Load History'!H191</f>
        <v>10695218.369999992</v>
      </c>
      <c r="C153" s="221">
        <f>'Residential WN'!C153</f>
        <v>36.33</v>
      </c>
      <c r="D153" s="221">
        <f>'Residential WN'!D153</f>
        <v>40.369999999999997</v>
      </c>
      <c r="E153" s="96">
        <v>31</v>
      </c>
      <c r="F153" s="18">
        <v>0</v>
      </c>
      <c r="G153" s="18">
        <f>'CDM Activity'!O85</f>
        <v>216590.20558060645</v>
      </c>
      <c r="H153" s="37">
        <v>140.89741194304773</v>
      </c>
      <c r="I153" s="218">
        <f>'[11]CoS 2017 Load History'!J191</f>
        <v>4334</v>
      </c>
      <c r="J153" s="18">
        <v>320</v>
      </c>
      <c r="K153" s="9">
        <f t="shared" si="1"/>
        <v>10725338.68213715</v>
      </c>
      <c r="L153" s="9"/>
    </row>
    <row r="154" spans="1:12">
      <c r="A154" s="34">
        <v>40756</v>
      </c>
      <c r="B154" s="90">
        <f>'[11]CoS 2017 Load History'!H192</f>
        <v>10770620.640000014</v>
      </c>
      <c r="C154" s="221">
        <f>'Residential WN'!C154</f>
        <v>51.55</v>
      </c>
      <c r="D154" s="221">
        <f>'Residential WN'!D154</f>
        <v>29.669999999999998</v>
      </c>
      <c r="E154" s="96">
        <v>31</v>
      </c>
      <c r="F154" s="18">
        <v>0</v>
      </c>
      <c r="G154" s="18">
        <f>'CDM Activity'!O86</f>
        <v>219691.70673518805</v>
      </c>
      <c r="H154" s="37">
        <v>141.19911108267243</v>
      </c>
      <c r="I154" s="218">
        <f>'[11]CoS 2017 Load History'!J192</f>
        <v>4330</v>
      </c>
      <c r="J154" s="18">
        <v>352</v>
      </c>
      <c r="K154" s="9">
        <f t="shared" si="1"/>
        <v>10577665.522864427</v>
      </c>
      <c r="L154" s="9"/>
    </row>
    <row r="155" spans="1:12">
      <c r="A155" s="34">
        <v>40787</v>
      </c>
      <c r="B155" s="90">
        <f>'[11]CoS 2017 Load History'!H193</f>
        <v>9905090.3899999876</v>
      </c>
      <c r="C155" s="221">
        <f>'Residential WN'!C155</f>
        <v>176.97</v>
      </c>
      <c r="D155" s="221">
        <f>'Residential WN'!D155</f>
        <v>5.05</v>
      </c>
      <c r="E155" s="96">
        <v>30</v>
      </c>
      <c r="F155" s="18">
        <v>1</v>
      </c>
      <c r="G155" s="18">
        <f>'CDM Activity'!O87</f>
        <v>222793.20788976966</v>
      </c>
      <c r="H155" s="37">
        <v>141.50145624105357</v>
      </c>
      <c r="I155" s="218">
        <f>'[11]CoS 2017 Load History'!J193</f>
        <v>4340</v>
      </c>
      <c r="J155" s="18">
        <v>336</v>
      </c>
      <c r="K155" s="9">
        <f t="shared" si="1"/>
        <v>9824215.487897303</v>
      </c>
      <c r="L155" s="9"/>
    </row>
    <row r="156" spans="1:12">
      <c r="A156" s="34">
        <v>40817</v>
      </c>
      <c r="B156" s="90">
        <f>'[11]CoS 2017 Load History'!H194</f>
        <v>10394269.490000017</v>
      </c>
      <c r="C156" s="221">
        <f>'Residential WN'!C156</f>
        <v>372.15</v>
      </c>
      <c r="D156" s="221">
        <f>'Residential WN'!D156</f>
        <v>0.54</v>
      </c>
      <c r="E156" s="96">
        <v>31</v>
      </c>
      <c r="F156" s="18">
        <v>1</v>
      </c>
      <c r="G156" s="18">
        <f>'CDM Activity'!O88</f>
        <v>225894.70904435127</v>
      </c>
      <c r="H156" s="37">
        <v>141.80444880149057</v>
      </c>
      <c r="I156" s="218">
        <f>'[11]CoS 2017 Load History'!J194</f>
        <v>4365</v>
      </c>
      <c r="J156" s="18">
        <v>320</v>
      </c>
      <c r="K156" s="9">
        <f t="shared" si="1"/>
        <v>10875310.275871763</v>
      </c>
      <c r="L156" s="9"/>
    </row>
    <row r="157" spans="1:12">
      <c r="A157" s="34">
        <v>40848</v>
      </c>
      <c r="B157" s="90">
        <f>'[11]CoS 2017 Load History'!H195</f>
        <v>11396702.920000002</v>
      </c>
      <c r="C157" s="221">
        <f>'Residential WN'!C157</f>
        <v>567.61000000000013</v>
      </c>
      <c r="D157" s="221">
        <f>'Residential WN'!D157</f>
        <v>0</v>
      </c>
      <c r="E157" s="96">
        <v>30</v>
      </c>
      <c r="F157" s="18">
        <v>1</v>
      </c>
      <c r="G157" s="18">
        <f>'CDM Activity'!O89</f>
        <v>228996.21019893288</v>
      </c>
      <c r="H157" s="37">
        <v>142.10809015024478</v>
      </c>
      <c r="I157" s="218">
        <f>'[11]CoS 2017 Load History'!J195</f>
        <v>4380</v>
      </c>
      <c r="J157" s="18">
        <v>352</v>
      </c>
      <c r="K157" s="9">
        <f t="shared" si="1"/>
        <v>11446910.517397288</v>
      </c>
      <c r="L157" s="9"/>
    </row>
    <row r="158" spans="1:12">
      <c r="A158" s="34">
        <v>40878</v>
      </c>
      <c r="B158" s="90">
        <f>'[11]CoS 2017 Load History'!H196</f>
        <v>12702124.479999989</v>
      </c>
      <c r="C158" s="221">
        <f>'Residential WN'!C158</f>
        <v>852.28999999999974</v>
      </c>
      <c r="D158" s="221">
        <f>'Residential WN'!D158</f>
        <v>0</v>
      </c>
      <c r="E158" s="96">
        <v>31</v>
      </c>
      <c r="F158" s="18">
        <v>0</v>
      </c>
      <c r="G158" s="18">
        <f>'CDM Activity'!O90</f>
        <v>232097.71135351449</v>
      </c>
      <c r="H158" s="37">
        <v>142.41238167654581</v>
      </c>
      <c r="I158" s="218">
        <f>'[11]CoS 2017 Load History'!J196</f>
        <v>4369</v>
      </c>
      <c r="J158" s="18">
        <v>336</v>
      </c>
      <c r="K158" s="9">
        <f t="shared" si="1"/>
        <v>13499440.084980745</v>
      </c>
      <c r="L158" s="9"/>
    </row>
    <row r="159" spans="1:12">
      <c r="A159" s="34">
        <v>40909</v>
      </c>
      <c r="B159" s="90">
        <f>'[11]CoS 2017 Load History'!H197</f>
        <v>13282492.840000024</v>
      </c>
      <c r="C159" s="221">
        <f>'Residential WN'!C159</f>
        <v>960.98000000000013</v>
      </c>
      <c r="D159" s="221">
        <f>'Residential WN'!D159</f>
        <v>0</v>
      </c>
      <c r="E159" s="18">
        <v>31</v>
      </c>
      <c r="F159" s="18">
        <v>0</v>
      </c>
      <c r="G159" s="18">
        <f>'CDM Activity'!O91</f>
        <v>240218.48796653131</v>
      </c>
      <c r="H159" s="37">
        <v>142.61257743956915</v>
      </c>
      <c r="I159" s="218">
        <f>'[11]CoS 2017 Load History'!J197</f>
        <v>4474</v>
      </c>
      <c r="J159" s="18">
        <v>336</v>
      </c>
      <c r="K159" s="9">
        <f t="shared" si="1"/>
        <v>13971727.82572417</v>
      </c>
      <c r="L159" s="65"/>
    </row>
    <row r="160" spans="1:12">
      <c r="A160" s="34">
        <v>40940</v>
      </c>
      <c r="B160" s="90">
        <f>'[11]CoS 2017 Load History'!H198</f>
        <v>11892077.770000001</v>
      </c>
      <c r="C160" s="221">
        <f>'Residential WN'!C160</f>
        <v>875.5899999999998</v>
      </c>
      <c r="D160" s="221">
        <f>'Residential WN'!D160</f>
        <v>0</v>
      </c>
      <c r="E160" s="18">
        <v>29</v>
      </c>
      <c r="F160" s="18">
        <v>0</v>
      </c>
      <c r="G160" s="18">
        <f>'CDM Activity'!O92</f>
        <v>248339.26457954812</v>
      </c>
      <c r="H160" s="37">
        <v>142.81305462716429</v>
      </c>
      <c r="I160" s="218">
        <f>'[11]CoS 2017 Load History'!J198</f>
        <v>4484</v>
      </c>
      <c r="J160" s="18">
        <v>320</v>
      </c>
      <c r="K160" s="9">
        <f t="shared" si="1"/>
        <v>13030986.012471166</v>
      </c>
      <c r="L160" s="65"/>
    </row>
    <row r="161" spans="1:12">
      <c r="A161" s="34">
        <v>40969</v>
      </c>
      <c r="B161" s="90">
        <f>'[11]CoS 2017 Load History'!H199</f>
        <v>11479099.71000001</v>
      </c>
      <c r="C161" s="221">
        <f>'Residential WN'!C161</f>
        <v>702.91</v>
      </c>
      <c r="D161" s="221">
        <f>'Residential WN'!D161</f>
        <v>0</v>
      </c>
      <c r="E161" s="18">
        <v>31</v>
      </c>
      <c r="F161" s="18">
        <v>1</v>
      </c>
      <c r="G161" s="18">
        <f>'CDM Activity'!O93</f>
        <v>256460.04119256494</v>
      </c>
      <c r="H161" s="37">
        <v>143.01381363494295</v>
      </c>
      <c r="I161" s="218">
        <f>'[11]CoS 2017 Load History'!J199</f>
        <v>4484</v>
      </c>
      <c r="J161" s="18">
        <v>352</v>
      </c>
      <c r="K161" s="9">
        <f t="shared" si="1"/>
        <v>12320112.09485201</v>
      </c>
      <c r="L161" s="65"/>
    </row>
    <row r="162" spans="1:12">
      <c r="A162" s="34">
        <v>41000</v>
      </c>
      <c r="B162" s="90">
        <f>'[11]CoS 2017 Load History'!H200</f>
        <v>10218124.679999998</v>
      </c>
      <c r="C162" s="221">
        <f>'Residential WN'!C162</f>
        <v>450.5200000000001</v>
      </c>
      <c r="D162" s="221">
        <f>'Residential WN'!D162</f>
        <v>0</v>
      </c>
      <c r="E162" s="18">
        <v>30</v>
      </c>
      <c r="F162" s="18">
        <v>1</v>
      </c>
      <c r="G162" s="18">
        <f>'CDM Activity'!O94</f>
        <v>264580.81780558178</v>
      </c>
      <c r="H162" s="37">
        <v>143.21485485907297</v>
      </c>
      <c r="I162" s="218">
        <f>'[11]CoS 2017 Load History'!J200</f>
        <v>4484</v>
      </c>
      <c r="J162" s="18">
        <v>320</v>
      </c>
      <c r="K162" s="9">
        <f t="shared" si="1"/>
        <v>10930380.017068515</v>
      </c>
      <c r="L162" s="65"/>
    </row>
    <row r="163" spans="1:12">
      <c r="A163" s="34">
        <v>41030</v>
      </c>
      <c r="B163" s="90">
        <f>'[11]CoS 2017 Load History'!H201</f>
        <v>10124589.529999997</v>
      </c>
      <c r="C163" s="221">
        <f>'Residential WN'!C163</f>
        <v>271.46000000000004</v>
      </c>
      <c r="D163" s="221">
        <f>'Residential WN'!D163</f>
        <v>0.47000000000000003</v>
      </c>
      <c r="E163" s="18">
        <v>31</v>
      </c>
      <c r="F163" s="18">
        <v>1</v>
      </c>
      <c r="G163" s="18">
        <f>'CDM Activity'!O95</f>
        <v>272701.59441859863</v>
      </c>
      <c r="H163" s="37">
        <v>143.41617869627913</v>
      </c>
      <c r="I163" s="218">
        <f>'[11]CoS 2017 Load History'!J201</f>
        <v>4488</v>
      </c>
      <c r="J163" s="18">
        <v>352</v>
      </c>
      <c r="K163" s="9">
        <f t="shared" si="1"/>
        <v>10435073.993093377</v>
      </c>
      <c r="L163" s="65"/>
    </row>
    <row r="164" spans="1:12">
      <c r="A164" s="34">
        <v>41061</v>
      </c>
      <c r="B164" s="90">
        <f>'[11]CoS 2017 Load History'!H202</f>
        <v>10192835.750000022</v>
      </c>
      <c r="C164" s="221">
        <f>'Residential WN'!C164</f>
        <v>109.59</v>
      </c>
      <c r="D164" s="221">
        <f>'Residential WN'!D164</f>
        <v>6.7</v>
      </c>
      <c r="E164" s="18">
        <v>30</v>
      </c>
      <c r="F164" s="18">
        <v>0</v>
      </c>
      <c r="G164" s="18">
        <f>'CDM Activity'!O96</f>
        <v>280822.37103161548</v>
      </c>
      <c r="H164" s="37">
        <v>143.61778554384387</v>
      </c>
      <c r="I164" s="218">
        <f>'[11]CoS 2017 Load History'!J202</f>
        <v>4490</v>
      </c>
      <c r="J164" s="18">
        <v>336</v>
      </c>
      <c r="K164" s="9">
        <f t="shared" si="1"/>
        <v>10087133.882387817</v>
      </c>
      <c r="L164" s="65"/>
    </row>
    <row r="165" spans="1:12">
      <c r="A165" s="34">
        <v>41091</v>
      </c>
      <c r="B165" s="90">
        <f>'[11]CoS 2017 Load History'!H203</f>
        <v>11177893.739999993</v>
      </c>
      <c r="C165" s="221">
        <f>'Residential WN'!C165</f>
        <v>36.33</v>
      </c>
      <c r="D165" s="221">
        <f>'Residential WN'!D165</f>
        <v>40.369999999999997</v>
      </c>
      <c r="E165" s="18">
        <v>31</v>
      </c>
      <c r="F165" s="18">
        <v>0</v>
      </c>
      <c r="G165" s="18">
        <f>'CDM Activity'!O97</f>
        <v>288943.14764463232</v>
      </c>
      <c r="H165" s="37">
        <v>143.81967579960809</v>
      </c>
      <c r="I165" s="218">
        <f>'[11]CoS 2017 Load History'!J203</f>
        <v>4504</v>
      </c>
      <c r="J165" s="18">
        <v>336</v>
      </c>
      <c r="K165" s="9">
        <f t="shared" si="1"/>
        <v>10748359.228401572</v>
      </c>
      <c r="L165" s="65"/>
    </row>
    <row r="166" spans="1:12">
      <c r="A166" s="34">
        <v>41122</v>
      </c>
      <c r="B166" s="90">
        <f>'[11]CoS 2017 Load History'!H204</f>
        <v>10815121.590000007</v>
      </c>
      <c r="C166" s="221">
        <f>'Residential WN'!C166</f>
        <v>51.55</v>
      </c>
      <c r="D166" s="221">
        <f>'Residential WN'!D166</f>
        <v>29.669999999999998</v>
      </c>
      <c r="E166" s="18">
        <v>31</v>
      </c>
      <c r="F166" s="18">
        <v>0</v>
      </c>
      <c r="G166" s="18">
        <f>'CDM Activity'!O98</f>
        <v>297063.92425764917</v>
      </c>
      <c r="H166" s="37">
        <v>144.02184986197204</v>
      </c>
      <c r="I166" s="218">
        <f>'[11]CoS 2017 Load History'!J204</f>
        <v>4503</v>
      </c>
      <c r="J166" s="18">
        <v>352</v>
      </c>
      <c r="K166" s="9">
        <f t="shared" si="1"/>
        <v>10588177.031432541</v>
      </c>
      <c r="L166" s="65"/>
    </row>
    <row r="167" spans="1:12">
      <c r="A167" s="34">
        <v>41153</v>
      </c>
      <c r="B167" s="90">
        <f>'[11]CoS 2017 Load History'!H205</f>
        <v>9852554.6300000139</v>
      </c>
      <c r="C167" s="221">
        <f>'Residential WN'!C167</f>
        <v>176.97</v>
      </c>
      <c r="D167" s="221">
        <f>'Residential WN'!D167</f>
        <v>5.05</v>
      </c>
      <c r="E167" s="18">
        <v>30</v>
      </c>
      <c r="F167" s="18">
        <v>1</v>
      </c>
      <c r="G167" s="18">
        <f>'CDM Activity'!O99</f>
        <v>305184.70087066601</v>
      </c>
      <c r="H167" s="37">
        <v>144.22430812989595</v>
      </c>
      <c r="I167" s="218">
        <f>'[11]CoS 2017 Load History'!J205</f>
        <v>4504</v>
      </c>
      <c r="J167" s="18">
        <v>304</v>
      </c>
      <c r="K167" s="9">
        <f t="shared" si="1"/>
        <v>9822201.0728555433</v>
      </c>
      <c r="L167" s="65"/>
    </row>
    <row r="168" spans="1:12">
      <c r="A168" s="34">
        <v>41183</v>
      </c>
      <c r="B168" s="90">
        <f>'[11]CoS 2017 Load History'!H206</f>
        <v>10546419.660000006</v>
      </c>
      <c r="C168" s="221">
        <f>'Residential WN'!C168</f>
        <v>372.15</v>
      </c>
      <c r="D168" s="221">
        <f>'Residential WN'!D168</f>
        <v>0.54</v>
      </c>
      <c r="E168" s="18">
        <v>31</v>
      </c>
      <c r="F168" s="18">
        <v>1</v>
      </c>
      <c r="G168" s="18">
        <f>'CDM Activity'!O100</f>
        <v>313305.47748368286</v>
      </c>
      <c r="H168" s="37">
        <v>144.42705100290087</v>
      </c>
      <c r="I168" s="218">
        <f>'[11]CoS 2017 Load History'!J206</f>
        <v>4509</v>
      </c>
      <c r="J168" s="18">
        <v>352</v>
      </c>
      <c r="K168" s="9">
        <f t="shared" si="1"/>
        <v>10860753.005393378</v>
      </c>
      <c r="L168" s="65"/>
    </row>
    <row r="169" spans="1:12">
      <c r="A169" s="34">
        <v>41214</v>
      </c>
      <c r="B169" s="90">
        <f>'[11]CoS 2017 Load History'!H207</f>
        <v>11363637.410000011</v>
      </c>
      <c r="C169" s="221">
        <f>'Residential WN'!C169</f>
        <v>567.61000000000013</v>
      </c>
      <c r="D169" s="221">
        <f>'Residential WN'!D169</f>
        <v>0</v>
      </c>
      <c r="E169" s="18">
        <v>30</v>
      </c>
      <c r="F169" s="18">
        <v>1</v>
      </c>
      <c r="G169" s="18">
        <f>'CDM Activity'!O101</f>
        <v>321426.2540966997</v>
      </c>
      <c r="H169" s="37">
        <v>144.63007888106955</v>
      </c>
      <c r="I169" s="218">
        <f>'[11]CoS 2017 Load History'!J207</f>
        <v>4522</v>
      </c>
      <c r="J169" s="18">
        <v>352</v>
      </c>
      <c r="K169" s="9">
        <f t="shared" si="1"/>
        <v>11419793.41363032</v>
      </c>
      <c r="L169" s="65"/>
    </row>
    <row r="170" spans="1:12">
      <c r="A170" s="34">
        <v>41244</v>
      </c>
      <c r="B170" s="90">
        <f>'[11]CoS 2017 Load History'!H208</f>
        <v>12733993.179999996</v>
      </c>
      <c r="C170" s="221">
        <f>'Residential WN'!C170</f>
        <v>852.28999999999974</v>
      </c>
      <c r="D170" s="221">
        <f>'Residential WN'!D170</f>
        <v>0</v>
      </c>
      <c r="E170" s="18">
        <v>31</v>
      </c>
      <c r="F170" s="18">
        <v>0</v>
      </c>
      <c r="G170" s="18">
        <f>'CDM Activity'!O102</f>
        <v>329547.03070971655</v>
      </c>
      <c r="H170" s="37">
        <v>144.83339216504706</v>
      </c>
      <c r="I170" s="218">
        <f>'[11]CoS 2017 Load History'!J208</f>
        <v>4517</v>
      </c>
      <c r="J170" s="18">
        <v>304</v>
      </c>
      <c r="K170" s="9">
        <f t="shared" si="1"/>
        <v>13459746.123935748</v>
      </c>
      <c r="L170" s="65"/>
    </row>
    <row r="171" spans="1:12">
      <c r="A171" s="34">
        <v>41275</v>
      </c>
      <c r="B171" s="90">
        <f>'[11]CoS 2017 Load History'!H209</f>
        <v>13858539.170000002</v>
      </c>
      <c r="C171" s="221">
        <f>'Residential WN'!C171</f>
        <v>960.98000000000013</v>
      </c>
      <c r="D171" s="221">
        <f>'Residential WN'!D171</f>
        <v>0</v>
      </c>
      <c r="E171" s="18">
        <v>31</v>
      </c>
      <c r="F171" s="18">
        <v>0</v>
      </c>
      <c r="G171" s="18">
        <f>'CDM Activity'!O103</f>
        <v>339841.87623560027</v>
      </c>
      <c r="H171" s="37">
        <v>144.98936781896037</v>
      </c>
      <c r="I171" s="218">
        <f>'[11]CoS 2017 Load History'!J209</f>
        <v>4521</v>
      </c>
      <c r="J171" s="18">
        <v>352</v>
      </c>
      <c r="K171" s="9">
        <f t="shared" si="1"/>
        <v>13926563.780060325</v>
      </c>
      <c r="L171" s="65"/>
    </row>
    <row r="172" spans="1:12">
      <c r="A172" s="34">
        <v>41306</v>
      </c>
      <c r="B172" s="90">
        <f>'[11]CoS 2017 Load History'!H210</f>
        <v>12389058.759999994</v>
      </c>
      <c r="C172" s="221">
        <f>'Residential WN'!C172</f>
        <v>875.5899999999998</v>
      </c>
      <c r="D172" s="221">
        <f>'Residential WN'!D172</f>
        <v>0</v>
      </c>
      <c r="E172" s="18">
        <v>28</v>
      </c>
      <c r="F172" s="18">
        <v>0</v>
      </c>
      <c r="G172" s="18">
        <f>'CDM Activity'!O104</f>
        <v>350136.72176148399</v>
      </c>
      <c r="H172" s="37">
        <v>145.14551144798114</v>
      </c>
      <c r="I172" s="218">
        <f>'[11]CoS 2017 Load History'!J210</f>
        <v>4521</v>
      </c>
      <c r="J172" s="18">
        <v>304</v>
      </c>
      <c r="K172" s="9">
        <f t="shared" si="1"/>
        <v>12698508.628315035</v>
      </c>
      <c r="L172" s="65"/>
    </row>
    <row r="173" spans="1:12">
      <c r="A173" s="34">
        <v>41334</v>
      </c>
      <c r="B173" s="90">
        <f>'[11]CoS 2017 Load History'!H211</f>
        <v>12426306.059999997</v>
      </c>
      <c r="C173" s="221">
        <f>'Residential WN'!C173</f>
        <v>702.91</v>
      </c>
      <c r="D173" s="221">
        <f>'Residential WN'!D173</f>
        <v>0</v>
      </c>
      <c r="E173" s="18">
        <v>31</v>
      </c>
      <c r="F173" s="18">
        <v>1</v>
      </c>
      <c r="G173" s="18">
        <f>'CDM Activity'!O105</f>
        <v>360431.56728736771</v>
      </c>
      <c r="H173" s="37">
        <v>145.30182323300707</v>
      </c>
      <c r="I173" s="218">
        <f>'[11]CoS 2017 Load History'!J211</f>
        <v>4519</v>
      </c>
      <c r="J173" s="18">
        <v>320</v>
      </c>
      <c r="K173" s="9">
        <f t="shared" si="1"/>
        <v>12263991.985783968</v>
      </c>
      <c r="L173" s="65"/>
    </row>
    <row r="174" spans="1:12">
      <c r="A174" s="34">
        <v>41365</v>
      </c>
      <c r="B174" s="90">
        <f>'[11]CoS 2017 Load History'!H212</f>
        <v>11024965.649999976</v>
      </c>
      <c r="C174" s="221">
        <f>'Residential WN'!C174</f>
        <v>450.5200000000001</v>
      </c>
      <c r="D174" s="221">
        <f>'Residential WN'!D174</f>
        <v>0</v>
      </c>
      <c r="E174" s="18">
        <v>30</v>
      </c>
      <c r="F174" s="18">
        <v>1</v>
      </c>
      <c r="G174" s="18">
        <f>'CDM Activity'!O106</f>
        <v>370726.41281325143</v>
      </c>
      <c r="H174" s="37">
        <v>145.45830335513068</v>
      </c>
      <c r="I174" s="218">
        <f>'[11]CoS 2017 Load History'!J212</f>
        <v>4518</v>
      </c>
      <c r="J174" s="18">
        <v>352</v>
      </c>
      <c r="K174" s="9">
        <f t="shared" si="1"/>
        <v>10868773.909156742</v>
      </c>
      <c r="L174" s="65"/>
    </row>
    <row r="175" spans="1:12">
      <c r="A175" s="34">
        <v>41395</v>
      </c>
      <c r="B175" s="90">
        <f>'[11]CoS 2017 Load History'!H213</f>
        <v>10309404.160000015</v>
      </c>
      <c r="C175" s="221">
        <f>'Residential WN'!C175</f>
        <v>271.46000000000004</v>
      </c>
      <c r="D175" s="221">
        <f>'Residential WN'!D175</f>
        <v>0.47000000000000003</v>
      </c>
      <c r="E175" s="18">
        <v>31</v>
      </c>
      <c r="F175" s="18">
        <v>1</v>
      </c>
      <c r="G175" s="18">
        <f>'CDM Activity'!O107</f>
        <v>381021.25833913515</v>
      </c>
      <c r="H175" s="37">
        <v>145.6149519956395</v>
      </c>
      <c r="I175" s="218">
        <f>'[11]CoS 2017 Load History'!J213</f>
        <v>4520</v>
      </c>
      <c r="J175" s="18">
        <v>352</v>
      </c>
      <c r="K175" s="9">
        <f t="shared" si="1"/>
        <v>10367976.561509736</v>
      </c>
      <c r="L175" s="65"/>
    </row>
    <row r="176" spans="1:12">
      <c r="A176" s="34">
        <v>41426</v>
      </c>
      <c r="B176" s="90">
        <f>'[11]CoS 2017 Load History'!H214</f>
        <v>9706763.5499999914</v>
      </c>
      <c r="C176" s="221">
        <f>'Residential WN'!C176</f>
        <v>109.59</v>
      </c>
      <c r="D176" s="221">
        <f>'Residential WN'!D176</f>
        <v>6.7</v>
      </c>
      <c r="E176" s="18">
        <v>30</v>
      </c>
      <c r="F176" s="18">
        <v>0</v>
      </c>
      <c r="G176" s="18">
        <f>'CDM Activity'!O108</f>
        <v>391316.10386501887</v>
      </c>
      <c r="H176" s="37">
        <v>145.77176933601632</v>
      </c>
      <c r="I176" s="218">
        <f>'[11]CoS 2017 Load History'!J214</f>
        <v>4519</v>
      </c>
      <c r="J176" s="18">
        <v>320</v>
      </c>
      <c r="K176" s="9">
        <f t="shared" si="1"/>
        <v>10014539.792232744</v>
      </c>
      <c r="L176" s="65"/>
    </row>
    <row r="177" spans="1:12">
      <c r="A177" s="34">
        <v>41456</v>
      </c>
      <c r="B177" s="90">
        <f>'[11]CoS 2017 Load History'!H215</f>
        <v>10209088.470000006</v>
      </c>
      <c r="C177" s="221">
        <f>'Residential WN'!C177</f>
        <v>36.33</v>
      </c>
      <c r="D177" s="221">
        <f>'Residential WN'!D177</f>
        <v>40.369999999999997</v>
      </c>
      <c r="E177" s="18">
        <v>31</v>
      </c>
      <c r="F177" s="18">
        <v>0</v>
      </c>
      <c r="G177" s="18">
        <f>'CDM Activity'!O109</f>
        <v>401610.94939090259</v>
      </c>
      <c r="H177" s="37">
        <v>145.92875555793933</v>
      </c>
      <c r="I177" s="218">
        <f>'[11]CoS 2017 Load History'!J215</f>
        <v>4527</v>
      </c>
      <c r="J177" s="18">
        <v>352</v>
      </c>
      <c r="K177" s="9">
        <f t="shared" si="1"/>
        <v>10670263.134687137</v>
      </c>
      <c r="L177" s="65"/>
    </row>
    <row r="178" spans="1:12">
      <c r="A178" s="34">
        <v>41487</v>
      </c>
      <c r="B178" s="90">
        <f>'[11]CoS 2017 Load History'!H216</f>
        <v>10283952.329999983</v>
      </c>
      <c r="C178" s="221">
        <f>'Residential WN'!C178</f>
        <v>51.55</v>
      </c>
      <c r="D178" s="221">
        <f>'Residential WN'!D178</f>
        <v>29.669999999999998</v>
      </c>
      <c r="E178" s="18">
        <v>31</v>
      </c>
      <c r="F178" s="18">
        <v>0</v>
      </c>
      <c r="G178" s="18">
        <f>'CDM Activity'!O110</f>
        <v>411905.79491678631</v>
      </c>
      <c r="H178" s="37">
        <v>146.08591084328242</v>
      </c>
      <c r="I178" s="218">
        <f>'[11]CoS 2017 Load History'!J216</f>
        <v>4534</v>
      </c>
      <c r="J178" s="18">
        <v>336</v>
      </c>
      <c r="K178" s="9">
        <f t="shared" si="1"/>
        <v>10504573.579065472</v>
      </c>
      <c r="L178" s="65"/>
    </row>
    <row r="179" spans="1:12">
      <c r="A179" s="34">
        <v>41518</v>
      </c>
      <c r="B179" s="90">
        <f>'[11]CoS 2017 Load History'!H217</f>
        <v>9712165.490000017</v>
      </c>
      <c r="C179" s="221">
        <f>'Residential WN'!C179</f>
        <v>176.97</v>
      </c>
      <c r="D179" s="221">
        <f>'Residential WN'!D179</f>
        <v>5.05</v>
      </c>
      <c r="E179" s="18">
        <v>30</v>
      </c>
      <c r="F179" s="18">
        <v>1</v>
      </c>
      <c r="G179" s="18">
        <f>'CDM Activity'!O111</f>
        <v>422200.64044267003</v>
      </c>
      <c r="H179" s="37">
        <v>146.2432353741153</v>
      </c>
      <c r="I179" s="218">
        <f>'[11]CoS 2017 Load History'!J217</f>
        <v>4529</v>
      </c>
      <c r="J179" s="18">
        <v>320</v>
      </c>
      <c r="K179" s="9">
        <f t="shared" si="1"/>
        <v>9733084.8966202345</v>
      </c>
      <c r="L179" s="65"/>
    </row>
    <row r="180" spans="1:12">
      <c r="A180" s="34">
        <v>41548</v>
      </c>
      <c r="B180" s="90">
        <f>'[11]CoS 2017 Load History'!H218</f>
        <v>10365605.60761201</v>
      </c>
      <c r="C180" s="221">
        <f>'Residential WN'!C180</f>
        <v>372.15</v>
      </c>
      <c r="D180" s="221">
        <f>'Residential WN'!D180</f>
        <v>0.54</v>
      </c>
      <c r="E180" s="18">
        <v>31</v>
      </c>
      <c r="F180" s="18">
        <v>1</v>
      </c>
      <c r="G180" s="18">
        <f>'CDM Activity'!O112</f>
        <v>432495.48596855375</v>
      </c>
      <c r="H180" s="37">
        <v>146.4007293327038</v>
      </c>
      <c r="I180" s="218">
        <f>'[11]CoS 2017 Load History'!J218</f>
        <v>4526</v>
      </c>
      <c r="J180" s="18">
        <v>352</v>
      </c>
      <c r="K180" s="9">
        <f t="shared" si="1"/>
        <v>10766118.729934867</v>
      </c>
      <c r="L180" s="65"/>
    </row>
    <row r="181" spans="1:12">
      <c r="A181" s="34">
        <v>41579</v>
      </c>
      <c r="B181" s="90">
        <f>'[11]CoS 2017 Load History'!H219</f>
        <v>11761751.932388004</v>
      </c>
      <c r="C181" s="221">
        <f>'Residential WN'!C181</f>
        <v>567.61000000000013</v>
      </c>
      <c r="D181" s="221">
        <f>'Residential WN'!D181</f>
        <v>0</v>
      </c>
      <c r="E181" s="18">
        <v>30</v>
      </c>
      <c r="F181" s="18">
        <v>1</v>
      </c>
      <c r="G181" s="18">
        <f>'CDM Activity'!O113</f>
        <v>442790.33149443747</v>
      </c>
      <c r="H181" s="37">
        <v>146.55839290151005</v>
      </c>
      <c r="I181" s="218">
        <f>'[11]CoS 2017 Load History'!J219</f>
        <v>4547</v>
      </c>
      <c r="J181" s="18">
        <v>336</v>
      </c>
      <c r="K181" s="9">
        <f t="shared" si="1"/>
        <v>11319635.653437233</v>
      </c>
      <c r="L181" s="65"/>
    </row>
    <row r="182" spans="1:12">
      <c r="A182" s="34">
        <v>41609</v>
      </c>
      <c r="B182" s="90">
        <f>'[11]CoS 2017 Load History'!H220</f>
        <v>14283584.430000007</v>
      </c>
      <c r="C182" s="221">
        <f>'Residential WN'!C182</f>
        <v>852.28999999999974</v>
      </c>
      <c r="D182" s="221">
        <f>'Residential WN'!D182</f>
        <v>0</v>
      </c>
      <c r="E182" s="18">
        <v>31</v>
      </c>
      <c r="F182" s="18">
        <v>0</v>
      </c>
      <c r="G182" s="18">
        <f>'CDM Activity'!O114</f>
        <v>453085.17702032119</v>
      </c>
      <c r="H182" s="37">
        <v>146.71622626319265</v>
      </c>
      <c r="I182" s="218">
        <f>'[11]CoS 2017 Load History'!J220</f>
        <v>4552</v>
      </c>
      <c r="J182" s="18">
        <v>320</v>
      </c>
      <c r="K182" s="9">
        <f t="shared" si="1"/>
        <v>13354059.483323228</v>
      </c>
      <c r="L182" s="65"/>
    </row>
    <row r="183" spans="1:12">
      <c r="A183" s="34">
        <v>41640</v>
      </c>
      <c r="B183" s="90">
        <f>'[11]CoS 2017 Load History'!H221</f>
        <v>15069643.829999994</v>
      </c>
      <c r="C183" s="221">
        <f>'Residential WN'!C183</f>
        <v>960.98000000000013</v>
      </c>
      <c r="D183" s="221">
        <f>'Residential WN'!D183</f>
        <v>0</v>
      </c>
      <c r="E183" s="18">
        <v>31</v>
      </c>
      <c r="F183" s="18">
        <v>0</v>
      </c>
      <c r="G183" s="18">
        <f>'CDM Activity'!O115</f>
        <v>463660.06694427686</v>
      </c>
      <c r="H183" s="37">
        <v>147.04232175221028</v>
      </c>
      <c r="I183" s="218">
        <f>'[11]CoS 2017 Load History'!J221</f>
        <v>4555</v>
      </c>
      <c r="J183" s="215">
        <v>352</v>
      </c>
      <c r="K183" s="9">
        <f t="shared" si="1"/>
        <v>13828377.903019588</v>
      </c>
      <c r="L183" s="65"/>
    </row>
    <row r="184" spans="1:12">
      <c r="A184" s="34">
        <v>41671</v>
      </c>
      <c r="B184" s="90">
        <f>'[11]CoS 2017 Load History'!H222</f>
        <v>13186660.869999997</v>
      </c>
      <c r="C184" s="221">
        <f>'Residential WN'!C184</f>
        <v>875.5899999999998</v>
      </c>
      <c r="D184" s="221">
        <f>'Residential WN'!D184</f>
        <v>0</v>
      </c>
      <c r="E184" s="18">
        <v>28</v>
      </c>
      <c r="F184" s="18">
        <v>0</v>
      </c>
      <c r="G184" s="18">
        <f>'CDM Activity'!O116</f>
        <v>474234.95686823252</v>
      </c>
      <c r="H184" s="37">
        <v>147.36914202996238</v>
      </c>
      <c r="I184" s="218">
        <f>'[11]CoS 2017 Load History'!J222</f>
        <v>4563</v>
      </c>
      <c r="J184" s="215">
        <v>304</v>
      </c>
      <c r="K184" s="9">
        <f t="shared" si="1"/>
        <v>12607849.501479153</v>
      </c>
      <c r="L184" s="65"/>
    </row>
    <row r="185" spans="1:12">
      <c r="A185" s="34">
        <v>41699</v>
      </c>
      <c r="B185" s="90">
        <f>'[11]CoS 2017 Load History'!H223</f>
        <v>13248227.95999999</v>
      </c>
      <c r="C185" s="221">
        <f>'Residential WN'!C185</f>
        <v>702.91</v>
      </c>
      <c r="D185" s="221">
        <f>'Residential WN'!D185</f>
        <v>0</v>
      </c>
      <c r="E185" s="18">
        <v>31</v>
      </c>
      <c r="F185" s="18">
        <v>1</v>
      </c>
      <c r="G185" s="18">
        <f>'CDM Activity'!O117</f>
        <v>484809.84679218818</v>
      </c>
      <c r="H185" s="37">
        <v>147.69668870738414</v>
      </c>
      <c r="I185" s="218">
        <f>'[11]CoS 2017 Load History'!J223</f>
        <v>4567.5</v>
      </c>
      <c r="J185" s="215">
        <v>336</v>
      </c>
      <c r="K185" s="9">
        <f t="shared" si="1"/>
        <v>12180885.662526226</v>
      </c>
      <c r="L185" s="65"/>
    </row>
    <row r="186" spans="1:12">
      <c r="A186" s="34">
        <v>41730</v>
      </c>
      <c r="B186" s="90">
        <f>'[11]CoS 2017 Load History'!H224</f>
        <v>11070615.160000008</v>
      </c>
      <c r="C186" s="221">
        <f>'Residential WN'!C186</f>
        <v>450.5200000000001</v>
      </c>
      <c r="D186" s="221">
        <f>'Residential WN'!D186</f>
        <v>0</v>
      </c>
      <c r="E186" s="18">
        <v>30</v>
      </c>
      <c r="F186" s="18">
        <v>1</v>
      </c>
      <c r="G186" s="18">
        <f>'CDM Activity'!O118</f>
        <v>495384.73671614385</v>
      </c>
      <c r="H186" s="37">
        <v>148.02496339899133</v>
      </c>
      <c r="I186" s="218">
        <f>'[11]CoS 2017 Load History'!J224</f>
        <v>4568.75</v>
      </c>
      <c r="J186" s="215">
        <v>320</v>
      </c>
      <c r="K186" s="9">
        <f t="shared" si="1"/>
        <v>10793246.509748654</v>
      </c>
      <c r="L186" s="65"/>
    </row>
    <row r="187" spans="1:12">
      <c r="A187" s="34">
        <v>41760</v>
      </c>
      <c r="B187" s="90">
        <f>'[11]CoS 2017 Load History'!H225</f>
        <v>10484312.049999984</v>
      </c>
      <c r="C187" s="221">
        <f>'Residential WN'!C187</f>
        <v>271.46000000000004</v>
      </c>
      <c r="D187" s="221">
        <f>'Residential WN'!D187</f>
        <v>0.47000000000000003</v>
      </c>
      <c r="E187" s="18">
        <v>31</v>
      </c>
      <c r="F187" s="18">
        <v>1</v>
      </c>
      <c r="G187" s="18">
        <f>'CDM Activity'!O119</f>
        <v>505959.62664009951</v>
      </c>
      <c r="H187" s="37">
        <v>148.35396772288814</v>
      </c>
      <c r="I187" s="218">
        <f>'[11]CoS 2017 Load History'!J225</f>
        <v>4576.875</v>
      </c>
      <c r="J187" s="215">
        <v>336</v>
      </c>
      <c r="K187" s="9">
        <f t="shared" si="1"/>
        <v>10300054.273279412</v>
      </c>
      <c r="L187" s="65"/>
    </row>
    <row r="188" spans="1:12">
      <c r="A188" s="34">
        <v>41791</v>
      </c>
      <c r="B188" s="90">
        <f>'[11]CoS 2017 Load History'!H226</f>
        <v>9725922.30999998</v>
      </c>
      <c r="C188" s="221">
        <f>'Residential WN'!C188</f>
        <v>109.59</v>
      </c>
      <c r="D188" s="221">
        <f>'Residential WN'!D188</f>
        <v>6.7</v>
      </c>
      <c r="E188" s="18">
        <v>30</v>
      </c>
      <c r="F188" s="18">
        <v>0</v>
      </c>
      <c r="G188" s="18">
        <f>'CDM Activity'!O120</f>
        <v>516534.51656405517</v>
      </c>
      <c r="H188" s="37">
        <v>148.68370330077519</v>
      </c>
      <c r="I188" s="218">
        <f>'[11]CoS 2017 Load History'!J226</f>
        <v>4582.4375</v>
      </c>
      <c r="J188" s="215">
        <v>336</v>
      </c>
      <c r="K188" s="9">
        <f t="shared" si="1"/>
        <v>9954248.8697236236</v>
      </c>
      <c r="L188" s="65"/>
    </row>
    <row r="189" spans="1:12">
      <c r="A189" s="34">
        <v>41821</v>
      </c>
      <c r="B189" s="90">
        <f>'[11]CoS 2017 Load History'!H227</f>
        <v>10271386.640000001</v>
      </c>
      <c r="C189" s="221">
        <f>'Residential WN'!C189</f>
        <v>36.33</v>
      </c>
      <c r="D189" s="221">
        <f>'Residential WN'!D189</f>
        <v>40.369999999999997</v>
      </c>
      <c r="E189" s="18">
        <v>31</v>
      </c>
      <c r="F189" s="18">
        <v>0</v>
      </c>
      <c r="G189" s="18">
        <f>'CDM Activity'!O121</f>
        <v>527109.40648801078</v>
      </c>
      <c r="H189" s="37">
        <v>149.0141717579576</v>
      </c>
      <c r="I189" s="218">
        <f>'[11]CoS 2017 Load History'!J227</f>
        <v>4583.21875</v>
      </c>
      <c r="J189" s="215">
        <v>352</v>
      </c>
      <c r="K189" s="9">
        <f t="shared" si="1"/>
        <v>10617629.899817096</v>
      </c>
      <c r="L189" s="65"/>
    </row>
    <row r="190" spans="1:12">
      <c r="A190" s="34">
        <v>41852</v>
      </c>
      <c r="B190" s="90">
        <f>'[11]CoS 2017 Load History'!H228</f>
        <v>10274818.47361199</v>
      </c>
      <c r="C190" s="221">
        <f>'Residential WN'!C190</f>
        <v>51.55</v>
      </c>
      <c r="D190" s="221">
        <f>'Residential WN'!D190</f>
        <v>29.669999999999998</v>
      </c>
      <c r="E190" s="18">
        <v>31</v>
      </c>
      <c r="F190" s="18">
        <v>0</v>
      </c>
      <c r="G190" s="18">
        <f>'CDM Activity'!O122</f>
        <v>537684.29641196644</v>
      </c>
      <c r="H190" s="37">
        <v>149.34537472335285</v>
      </c>
      <c r="I190" s="218">
        <f>'[11]CoS 2017 Load History'!J228</f>
        <v>4584.109375</v>
      </c>
      <c r="J190" s="215">
        <v>320</v>
      </c>
      <c r="K190" s="9">
        <f t="shared" si="1"/>
        <v>10459624.421286279</v>
      </c>
      <c r="L190" s="65"/>
    </row>
    <row r="191" spans="1:12">
      <c r="A191" s="34">
        <v>41883</v>
      </c>
      <c r="B191" s="90">
        <f>'[11]CoS 2017 Load History'!H229</f>
        <v>9762010.9039999936</v>
      </c>
      <c r="C191" s="221">
        <f>'Residential WN'!C191</f>
        <v>176.97</v>
      </c>
      <c r="D191" s="221">
        <f>'Residential WN'!D191</f>
        <v>5.05</v>
      </c>
      <c r="E191" s="18">
        <v>30</v>
      </c>
      <c r="F191" s="18">
        <v>1</v>
      </c>
      <c r="G191" s="18">
        <f>'CDM Activity'!O123</f>
        <v>548259.1863359221</v>
      </c>
      <c r="H191" s="37">
        <v>149.67731382949896</v>
      </c>
      <c r="I191" s="218">
        <f>'[11]CoS 2017 Load History'!J229</f>
        <v>4584.0546875</v>
      </c>
      <c r="J191" s="215">
        <v>336</v>
      </c>
      <c r="K191" s="9">
        <f t="shared" si="1"/>
        <v>9695846.273077378</v>
      </c>
      <c r="L191" s="65"/>
    </row>
    <row r="192" spans="1:12">
      <c r="A192" s="34">
        <v>41913</v>
      </c>
      <c r="B192" s="90">
        <f>'[11]CoS 2017 Load History'!H230</f>
        <v>10634292.331000013</v>
      </c>
      <c r="C192" s="221">
        <f>'Residential WN'!C192</f>
        <v>372.15</v>
      </c>
      <c r="D192" s="221">
        <f>'Residential WN'!D192</f>
        <v>0.54</v>
      </c>
      <c r="E192" s="18">
        <v>31</v>
      </c>
      <c r="F192" s="18">
        <v>1</v>
      </c>
      <c r="G192" s="18">
        <f>'CDM Activity'!O124</f>
        <v>558834.07625987777</v>
      </c>
      <c r="H192" s="37">
        <v>150.00999071256246</v>
      </c>
      <c r="I192" s="218">
        <f>'[11]CoS 2017 Load History'!J230</f>
        <v>4587.02734375</v>
      </c>
      <c r="J192" s="215">
        <v>352</v>
      </c>
      <c r="K192" s="9">
        <f t="shared" si="1"/>
        <v>10736617.165627751</v>
      </c>
      <c r="L192" s="65"/>
    </row>
    <row r="193" spans="1:12">
      <c r="A193" s="34">
        <v>41944</v>
      </c>
      <c r="B193" s="90">
        <f>'[11]CoS 2017 Load History'!H231</f>
        <v>12234413.660000009</v>
      </c>
      <c r="C193" s="221">
        <f>'Residential WN'!C193</f>
        <v>567.61000000000013</v>
      </c>
      <c r="D193" s="221">
        <f>'Residential WN'!D193</f>
        <v>0</v>
      </c>
      <c r="E193" s="18">
        <v>30</v>
      </c>
      <c r="F193" s="18">
        <v>1</v>
      </c>
      <c r="G193" s="18">
        <f>'CDM Activity'!O125</f>
        <v>569408.96618383343</v>
      </c>
      <c r="H193" s="37">
        <v>150.34340701234646</v>
      </c>
      <c r="I193" s="218">
        <f>'[11]CoS 2017 Load History'!J231</f>
        <v>4588.513671875</v>
      </c>
      <c r="J193" s="215">
        <v>304</v>
      </c>
      <c r="K193" s="9">
        <f t="shared" si="1"/>
        <v>11297897.741379738</v>
      </c>
      <c r="L193" s="65"/>
    </row>
    <row r="194" spans="1:12">
      <c r="A194" s="34">
        <v>41974</v>
      </c>
      <c r="B194" s="90">
        <f>'[11]CoS 2017 Load History'!H232</f>
        <v>13323531.779999984</v>
      </c>
      <c r="C194" s="221">
        <f>'Residential WN'!C194</f>
        <v>852.28999999999974</v>
      </c>
      <c r="D194" s="221">
        <f>'Residential WN'!D194</f>
        <v>0</v>
      </c>
      <c r="E194" s="18">
        <v>31</v>
      </c>
      <c r="F194" s="18">
        <v>0</v>
      </c>
      <c r="G194" s="18">
        <f>'CDM Activity'!O126</f>
        <v>579983.85610778909</v>
      </c>
      <c r="H194" s="37">
        <v>150.67756437229883</v>
      </c>
      <c r="I194" s="218">
        <f>'[11]CoS 2017 Load History'!J232</f>
        <v>4594.2568359375</v>
      </c>
      <c r="J194" s="215">
        <v>336</v>
      </c>
      <c r="K194" s="9">
        <f t="shared" si="1"/>
        <v>13340111.884704635</v>
      </c>
      <c r="L194" s="65"/>
    </row>
    <row r="195" spans="1:12">
      <c r="A195" s="34">
        <v>42005</v>
      </c>
      <c r="B195" s="90">
        <f>'[11]CoS 2017 Load History'!H233</f>
        <v>14647867.091999978</v>
      </c>
      <c r="C195" s="221">
        <f>'Residential WN'!C195</f>
        <v>960.98000000000013</v>
      </c>
      <c r="D195" s="221">
        <f>'Residential WN'!D195</f>
        <v>0</v>
      </c>
      <c r="E195" s="18">
        <v>31</v>
      </c>
      <c r="F195" s="18">
        <v>0</v>
      </c>
      <c r="G195" s="18">
        <f>'CDM Activity'!O127</f>
        <v>583771.39550289931</v>
      </c>
      <c r="H195" s="37">
        <v>150.98793548444445</v>
      </c>
      <c r="I195" s="218">
        <f>'[11]CoS 2017 Load History'!J233</f>
        <v>4598.62841796875</v>
      </c>
      <c r="J195" s="215">
        <v>336</v>
      </c>
      <c r="K195" s="9">
        <f t="shared" si="1"/>
        <v>13824330.832550742</v>
      </c>
      <c r="L195" s="65"/>
    </row>
    <row r="196" spans="1:12">
      <c r="A196" s="34">
        <v>42036</v>
      </c>
      <c r="B196" s="90">
        <f>'[11]CoS 2017 Load History'!H234</f>
        <v>13318489.569999987</v>
      </c>
      <c r="C196" s="221">
        <f>'Residential WN'!C196</f>
        <v>875.5899999999998</v>
      </c>
      <c r="D196" s="221">
        <f>'Residential WN'!D196</f>
        <v>0</v>
      </c>
      <c r="E196" s="18">
        <v>28</v>
      </c>
      <c r="F196" s="18">
        <v>0</v>
      </c>
      <c r="G196" s="18">
        <f>'CDM Activity'!O128</f>
        <v>587558.93489800952</v>
      </c>
      <c r="H196" s="37">
        <v>151.298945910264</v>
      </c>
      <c r="I196" s="218">
        <f>'[11]CoS 2017 Load History'!J234</f>
        <v>4596.814208984375</v>
      </c>
      <c r="J196" s="215">
        <v>304</v>
      </c>
      <c r="K196" s="9">
        <f t="shared" si="1"/>
        <v>12613698.970017323</v>
      </c>
      <c r="L196" s="65"/>
    </row>
    <row r="197" spans="1:12">
      <c r="A197" s="34">
        <v>42064</v>
      </c>
      <c r="B197" s="90">
        <f>'[11]CoS 2017 Load History'!H235</f>
        <v>12867283.112000031</v>
      </c>
      <c r="C197" s="221">
        <f>'Residential WN'!C197</f>
        <v>702.91</v>
      </c>
      <c r="D197" s="221">
        <f>'Residential WN'!D197</f>
        <v>0</v>
      </c>
      <c r="E197" s="18">
        <v>31</v>
      </c>
      <c r="F197" s="18">
        <v>1</v>
      </c>
      <c r="G197" s="18">
        <f>'CDM Activity'!O129</f>
        <v>591346.47429311974</v>
      </c>
      <c r="H197" s="37">
        <v>151.61059696663892</v>
      </c>
      <c r="I197" s="218">
        <f>'[11]CoS 2017 Load History'!J235</f>
        <v>4593.9071044921875</v>
      </c>
      <c r="J197" s="215">
        <v>352</v>
      </c>
      <c r="K197" s="9">
        <f t="shared" si="1"/>
        <v>12196627.667205114</v>
      </c>
      <c r="L197" s="65"/>
    </row>
    <row r="198" spans="1:12">
      <c r="A198" s="34">
        <v>42095</v>
      </c>
      <c r="B198" s="90">
        <f>'[11]CoS 2017 Load History'!H236</f>
        <v>10749956.162999995</v>
      </c>
      <c r="C198" s="221">
        <f>'Residential WN'!C198</f>
        <v>450.5200000000001</v>
      </c>
      <c r="D198" s="221">
        <f>'Residential WN'!D198</f>
        <v>0</v>
      </c>
      <c r="E198" s="18">
        <v>30</v>
      </c>
      <c r="F198" s="18">
        <v>1</v>
      </c>
      <c r="G198" s="18">
        <f>'CDM Activity'!O130</f>
        <v>595134.01368822996</v>
      </c>
      <c r="H198" s="37">
        <v>151.92288997316331</v>
      </c>
      <c r="I198" s="218">
        <f>'[11]CoS 2017 Load History'!J236</f>
        <v>4593.4535522460937</v>
      </c>
      <c r="J198" s="215">
        <v>336</v>
      </c>
      <c r="K198" s="9">
        <f t="shared" si="1"/>
        <v>10818877.03393789</v>
      </c>
      <c r="L198" s="65"/>
    </row>
    <row r="199" spans="1:12">
      <c r="A199" s="34">
        <v>42125</v>
      </c>
      <c r="B199" s="90">
        <f>'[11]CoS 2017 Load History'!H237</f>
        <v>10401377.499999981</v>
      </c>
      <c r="C199" s="221">
        <f>'Residential WN'!C199</f>
        <v>271.46000000000004</v>
      </c>
      <c r="D199" s="221">
        <f>'Residential WN'!D199</f>
        <v>0.47000000000000003</v>
      </c>
      <c r="E199" s="18">
        <v>31</v>
      </c>
      <c r="F199" s="18">
        <v>1</v>
      </c>
      <c r="G199" s="18">
        <f>'CDM Activity'!O131</f>
        <v>598921.55308334017</v>
      </c>
      <c r="H199" s="37">
        <v>152.23582625214937</v>
      </c>
      <c r="I199" s="218">
        <f>'[11]CoS 2017 Load History'!J237</f>
        <v>4596.2267761230469</v>
      </c>
      <c r="J199" s="215">
        <v>320</v>
      </c>
      <c r="K199" s="9">
        <f t="shared" si="1"/>
        <v>10335569.286543939</v>
      </c>
      <c r="L199" s="65"/>
    </row>
    <row r="200" spans="1:12">
      <c r="A200" s="34">
        <v>42156</v>
      </c>
      <c r="B200" s="90">
        <f>'[11]CoS 2017 Load History'!H238</f>
        <v>9938325.0499999654</v>
      </c>
      <c r="C200" s="221">
        <f>'Residential WN'!C200</f>
        <v>109.59</v>
      </c>
      <c r="D200" s="221">
        <f>'Residential WN'!D200</f>
        <v>6.7</v>
      </c>
      <c r="E200" s="18">
        <v>30</v>
      </c>
      <c r="F200" s="18">
        <v>0</v>
      </c>
      <c r="G200" s="18">
        <f>'CDM Activity'!O132</f>
        <v>602709.09247845039</v>
      </c>
      <c r="H200" s="37">
        <v>152.54940712863302</v>
      </c>
      <c r="I200" s="218">
        <f>'[11]CoS 2017 Load History'!J238</f>
        <v>4605.6133880615234</v>
      </c>
      <c r="J200" s="215">
        <v>352</v>
      </c>
      <c r="K200" s="9">
        <f t="shared" si="1"/>
        <v>9999644.3277829755</v>
      </c>
      <c r="L200" s="65"/>
    </row>
    <row r="201" spans="1:12">
      <c r="A201" s="34">
        <v>42186</v>
      </c>
      <c r="B201" s="90">
        <f>'[11]CoS 2017 Load History'!H239</f>
        <v>10626013.119000008</v>
      </c>
      <c r="C201" s="221">
        <f>'Residential WN'!C201</f>
        <v>36.33</v>
      </c>
      <c r="D201" s="221">
        <f>'Residential WN'!D201</f>
        <v>40.369999999999997</v>
      </c>
      <c r="E201" s="18">
        <v>31</v>
      </c>
      <c r="F201" s="18">
        <v>0</v>
      </c>
      <c r="G201" s="18">
        <f>'CDM Activity'!O133</f>
        <v>606496.6318735606</v>
      </c>
      <c r="H201" s="37">
        <v>152.86363393037959</v>
      </c>
      <c r="I201" s="218">
        <f>'[11]CoS 2017 Load History'!J239</f>
        <v>4610.8066940307617</v>
      </c>
      <c r="J201" s="215">
        <v>352</v>
      </c>
      <c r="K201" s="9">
        <f t="shared" si="1"/>
        <v>10672901.744504541</v>
      </c>
      <c r="L201" s="65"/>
    </row>
    <row r="202" spans="1:12">
      <c r="A202" s="34">
        <v>42217</v>
      </c>
      <c r="B202" s="90">
        <f>'[11]CoS 2017 Load History'!H240</f>
        <v>10677243.822999977</v>
      </c>
      <c r="C202" s="221">
        <f>'Residential WN'!C202</f>
        <v>51.55</v>
      </c>
      <c r="D202" s="221">
        <f>'Residential WN'!D202</f>
        <v>29.669999999999998</v>
      </c>
      <c r="E202" s="18">
        <v>31</v>
      </c>
      <c r="F202" s="18">
        <v>0</v>
      </c>
      <c r="G202" s="18">
        <f>'CDM Activity'!O134</f>
        <v>610284.17126867082</v>
      </c>
      <c r="H202" s="37">
        <v>153.17850798788936</v>
      </c>
      <c r="I202" s="218">
        <f>'[11]CoS 2017 Load History'!J240</f>
        <v>4611.9033470153809</v>
      </c>
      <c r="J202" s="215">
        <v>320</v>
      </c>
      <c r="K202" s="9">
        <f t="shared" si="1"/>
        <v>10524768.580507882</v>
      </c>
      <c r="L202" s="65"/>
    </row>
    <row r="203" spans="1:12">
      <c r="A203" s="34">
        <v>42248</v>
      </c>
      <c r="B203" s="90">
        <f>'[11]CoS 2017 Load History'!H241</f>
        <v>10039638.211999971</v>
      </c>
      <c r="C203" s="221">
        <f>'Residential WN'!C203</f>
        <v>176.97</v>
      </c>
      <c r="D203" s="221">
        <f>'Residential WN'!D203</f>
        <v>5.05</v>
      </c>
      <c r="E203" s="18">
        <v>30</v>
      </c>
      <c r="F203" s="18">
        <v>1</v>
      </c>
      <c r="G203" s="18">
        <f>'CDM Activity'!O135</f>
        <v>614071.71066378104</v>
      </c>
      <c r="H203" s="37">
        <v>153.4940306344032</v>
      </c>
      <c r="I203" s="218">
        <f>'[11]CoS 2017 Load History'!J241</f>
        <v>4612.4516735076904</v>
      </c>
      <c r="J203" s="215">
        <v>336</v>
      </c>
      <c r="K203" s="9">
        <f t="shared" si="1"/>
        <v>9770858.6607709303</v>
      </c>
      <c r="L203" s="65"/>
    </row>
    <row r="204" spans="1:12">
      <c r="A204" s="34">
        <v>42278</v>
      </c>
      <c r="B204" s="90">
        <f>'[11]CoS 2017 Load History'!H242</f>
        <v>10488169.699999997</v>
      </c>
      <c r="C204" s="221">
        <f>'Residential WN'!C204</f>
        <v>372.15</v>
      </c>
      <c r="D204" s="221">
        <f>'Residential WN'!D204</f>
        <v>0.54</v>
      </c>
      <c r="E204" s="18">
        <v>31</v>
      </c>
      <c r="F204" s="18">
        <v>1</v>
      </c>
      <c r="G204" s="18">
        <f>'CDM Activity'!O136</f>
        <v>617859.25005889125</v>
      </c>
      <c r="H204" s="37">
        <v>153.81020320590829</v>
      </c>
      <c r="I204" s="218">
        <f>'[11]CoS 2017 Load History'!J242</f>
        <v>4615.7258367538452</v>
      </c>
      <c r="J204" s="215">
        <v>336</v>
      </c>
      <c r="K204" s="9">
        <f t="shared" si="1"/>
        <v>10821493.681721598</v>
      </c>
      <c r="L204" s="65"/>
    </row>
    <row r="205" spans="1:12">
      <c r="A205" s="34">
        <v>42309</v>
      </c>
      <c r="B205" s="90">
        <f>'[11]CoS 2017 Load History'!H243</f>
        <v>11098768.123999968</v>
      </c>
      <c r="C205" s="221">
        <f>'Residential WN'!C205</f>
        <v>567.61000000000013</v>
      </c>
      <c r="D205" s="221">
        <f>'Residential WN'!D205</f>
        <v>0</v>
      </c>
      <c r="E205" s="18">
        <v>30</v>
      </c>
      <c r="F205" s="18">
        <v>1</v>
      </c>
      <c r="G205" s="18">
        <f>'CDM Activity'!O137</f>
        <v>621646.78945400147</v>
      </c>
      <c r="H205" s="37">
        <v>154.12702704114372</v>
      </c>
      <c r="I205" s="218">
        <f>'[11]CoS 2017 Load History'!J243</f>
        <v>4617.3629183769226</v>
      </c>
      <c r="J205" s="215">
        <v>320</v>
      </c>
      <c r="K205" s="9">
        <f t="shared" si="1"/>
        <v>11392634.271751488</v>
      </c>
      <c r="L205" s="65"/>
    </row>
    <row r="206" spans="1:12">
      <c r="A206" s="34">
        <v>42339</v>
      </c>
      <c r="B206" s="90">
        <f>'[11]CoS 2017 Load History'!H244</f>
        <v>12326270.015000014</v>
      </c>
      <c r="C206" s="221">
        <f>'Residential WN'!C206</f>
        <v>852.28999999999974</v>
      </c>
      <c r="D206" s="221">
        <f>'Residential WN'!D206</f>
        <v>0</v>
      </c>
      <c r="E206" s="18">
        <v>31</v>
      </c>
      <c r="F206" s="18">
        <v>0</v>
      </c>
      <c r="G206" s="18">
        <f>'CDM Activity'!O138</f>
        <v>625434.32884911168</v>
      </c>
      <c r="H206" s="37">
        <v>154.44450348160629</v>
      </c>
      <c r="I206" s="218">
        <f>'[11]CoS 2017 Load History'!J244</f>
        <v>4625.1814591884613</v>
      </c>
      <c r="J206" s="215">
        <v>352</v>
      </c>
      <c r="K206" s="9">
        <f t="shared" si="1"/>
        <v>13444704.301139764</v>
      </c>
      <c r="L206" s="65"/>
    </row>
    <row r="207" spans="1:12">
      <c r="A207" s="34">
        <v>42370</v>
      </c>
      <c r="B207" s="28"/>
      <c r="C207" s="221">
        <f>'Residential WN'!C207</f>
        <v>960.98000000000013</v>
      </c>
      <c r="D207" s="221">
        <f>'Residential WN'!D207</f>
        <v>0</v>
      </c>
      <c r="E207" s="18">
        <v>31</v>
      </c>
      <c r="F207" s="18">
        <v>0</v>
      </c>
      <c r="G207" s="18">
        <f>'CDM Activity'!O139</f>
        <v>621730.08933405636</v>
      </c>
      <c r="H207" s="37">
        <v>154.72483615659849</v>
      </c>
      <c r="I207" s="218"/>
      <c r="J207" s="215">
        <v>320</v>
      </c>
      <c r="K207" s="9">
        <f t="shared" si="1"/>
        <v>13939259.431381129</v>
      </c>
      <c r="L207" s="65"/>
    </row>
    <row r="208" spans="1:12">
      <c r="A208" s="34">
        <v>42401</v>
      </c>
      <c r="B208" s="28"/>
      <c r="C208" s="221">
        <f>'Residential WN'!C208</f>
        <v>875.5899999999998</v>
      </c>
      <c r="D208" s="221">
        <f>'Residential WN'!D208</f>
        <v>0</v>
      </c>
      <c r="E208" s="18">
        <v>29</v>
      </c>
      <c r="F208" s="18">
        <v>0</v>
      </c>
      <c r="G208" s="18">
        <f>'CDM Activity'!O140</f>
        <v>618025.84981900104</v>
      </c>
      <c r="H208" s="37">
        <v>155.00567766425806</v>
      </c>
      <c r="I208" s="18"/>
      <c r="J208" s="215">
        <v>320</v>
      </c>
      <c r="K208" s="9">
        <f t="shared" si="1"/>
        <v>13020795.620819515</v>
      </c>
      <c r="L208" s="65"/>
    </row>
    <row r="209" spans="1:12">
      <c r="A209" s="34">
        <v>42430</v>
      </c>
      <c r="B209" s="28"/>
      <c r="C209" s="221">
        <f>'Residential WN'!C209</f>
        <v>702.91</v>
      </c>
      <c r="D209" s="221">
        <f>'Residential WN'!D209</f>
        <v>0</v>
      </c>
      <c r="E209" s="18">
        <v>31</v>
      </c>
      <c r="F209" s="18">
        <v>1</v>
      </c>
      <c r="G209" s="18">
        <f>'CDM Activity'!O141</f>
        <v>614321.61030394572</v>
      </c>
      <c r="H209" s="37">
        <v>155.2870289281687</v>
      </c>
      <c r="I209" s="18"/>
      <c r="J209" s="215">
        <v>352</v>
      </c>
      <c r="K209" s="9">
        <f t="shared" si="1"/>
        <v>12332210.343725778</v>
      </c>
      <c r="L209" s="65"/>
    </row>
    <row r="210" spans="1:12">
      <c r="A210" s="34">
        <v>42461</v>
      </c>
      <c r="B210" s="28"/>
      <c r="C210" s="221">
        <f>'Residential WN'!C210</f>
        <v>450.5200000000001</v>
      </c>
      <c r="D210" s="221">
        <f>'Residential WN'!D210</f>
        <v>0</v>
      </c>
      <c r="E210" s="18">
        <v>30</v>
      </c>
      <c r="F210" s="18">
        <v>1</v>
      </c>
      <c r="G210" s="18">
        <f>'CDM Activity'!O142</f>
        <v>610617.3707888904</v>
      </c>
      <c r="H210" s="37">
        <v>155.56889087359048</v>
      </c>
      <c r="I210" s="18"/>
      <c r="J210" s="215">
        <v>336</v>
      </c>
      <c r="K210" s="9">
        <f t="shared" si="1"/>
        <v>10964777.568994608</v>
      </c>
      <c r="L210" s="65"/>
    </row>
    <row r="211" spans="1:12">
      <c r="A211" s="34">
        <v>42491</v>
      </c>
      <c r="B211" s="28"/>
      <c r="C211" s="221">
        <f>'Residential WN'!C211</f>
        <v>271.46000000000004</v>
      </c>
      <c r="D211" s="221">
        <f>'Residential WN'!D211</f>
        <v>0.47000000000000003</v>
      </c>
      <c r="E211" s="18">
        <v>31</v>
      </c>
      <c r="F211" s="18">
        <v>1</v>
      </c>
      <c r="G211" s="18">
        <f>'CDM Activity'!O143</f>
        <v>606913.13127383508</v>
      </c>
      <c r="H211" s="37">
        <v>155.85126442746289</v>
      </c>
      <c r="I211" s="18"/>
      <c r="J211" s="215">
        <v>336</v>
      </c>
      <c r="K211" s="9">
        <f t="shared" si="1"/>
        <v>10491781.535343949</v>
      </c>
      <c r="L211" s="65"/>
    </row>
    <row r="212" spans="1:12">
      <c r="A212" s="34">
        <v>42522</v>
      </c>
      <c r="B212" s="28"/>
      <c r="C212" s="221">
        <f>'Residential WN'!C212</f>
        <v>109.59</v>
      </c>
      <c r="D212" s="221">
        <f>'Residential WN'!D212</f>
        <v>6.7</v>
      </c>
      <c r="E212" s="18">
        <v>30</v>
      </c>
      <c r="F212" s="18">
        <v>0</v>
      </c>
      <c r="G212" s="18">
        <f>'CDM Activity'!O144</f>
        <v>603208.89175877976</v>
      </c>
      <c r="H212" s="37">
        <v>156.13415051840798</v>
      </c>
      <c r="I212" s="18"/>
      <c r="J212" s="215">
        <v>352</v>
      </c>
      <c r="K212" s="9">
        <f t="shared" si="1"/>
        <v>10166162.127032781</v>
      </c>
      <c r="L212" s="65"/>
    </row>
    <row r="213" spans="1:12">
      <c r="A213" s="34">
        <v>42552</v>
      </c>
      <c r="B213" s="28"/>
      <c r="C213" s="221">
        <f>'Residential WN'!C213</f>
        <v>36.33</v>
      </c>
      <c r="D213" s="221">
        <f>'Residential WN'!D213</f>
        <v>40.369999999999997</v>
      </c>
      <c r="E213" s="18">
        <v>31</v>
      </c>
      <c r="F213" s="18">
        <v>0</v>
      </c>
      <c r="G213" s="18">
        <f>'CDM Activity'!O145</f>
        <v>599504.65224372444</v>
      </c>
      <c r="H213" s="37">
        <v>156.41755007673331</v>
      </c>
      <c r="I213" s="18"/>
      <c r="J213" s="215">
        <v>320</v>
      </c>
      <c r="K213" s="9">
        <f t="shared" si="1"/>
        <v>10849718.91236119</v>
      </c>
      <c r="L213" s="65"/>
    </row>
    <row r="214" spans="1:12">
      <c r="A214" s="34">
        <v>42583</v>
      </c>
      <c r="B214" s="28"/>
      <c r="C214" s="221">
        <f>'Residential WN'!C214</f>
        <v>51.55</v>
      </c>
      <c r="D214" s="221">
        <f>'Residential WN'!D214</f>
        <v>29.669999999999998</v>
      </c>
      <c r="E214" s="18">
        <v>31</v>
      </c>
      <c r="F214" s="18">
        <v>0</v>
      </c>
      <c r="G214" s="18">
        <f>'CDM Activity'!O146</f>
        <v>595800.41272866912</v>
      </c>
      <c r="H214" s="37">
        <v>156.70146403443502</v>
      </c>
      <c r="I214" s="18"/>
      <c r="J214" s="215">
        <v>352</v>
      </c>
      <c r="K214" s="9">
        <f t="shared" si="1"/>
        <v>10711878.916530136</v>
      </c>
      <c r="L214" s="65"/>
    </row>
    <row r="215" spans="1:12">
      <c r="A215" s="34">
        <v>42614</v>
      </c>
      <c r="B215" s="28"/>
      <c r="C215" s="221">
        <f>'Residential WN'!C215</f>
        <v>176.97</v>
      </c>
      <c r="D215" s="221">
        <f>'Residential WN'!D215</f>
        <v>5.05</v>
      </c>
      <c r="E215" s="18">
        <v>30</v>
      </c>
      <c r="F215" s="18">
        <v>1</v>
      </c>
      <c r="G215" s="18">
        <f>'CDM Activity'!O147</f>
        <v>592096.1732136138</v>
      </c>
      <c r="H215" s="37">
        <v>156.98589332520095</v>
      </c>
      <c r="I215" s="18"/>
      <c r="J215" s="215">
        <v>336</v>
      </c>
      <c r="K215" s="9">
        <f t="shared" si="1"/>
        <v>9968255.9458703101</v>
      </c>
      <c r="L215" s="65"/>
    </row>
    <row r="216" spans="1:12">
      <c r="A216" s="34">
        <v>42644</v>
      </c>
      <c r="B216" s="28"/>
      <c r="C216" s="221">
        <f>'Residential WN'!C216</f>
        <v>372.15</v>
      </c>
      <c r="D216" s="221">
        <f>'Residential WN'!D216</f>
        <v>0.54</v>
      </c>
      <c r="E216" s="18">
        <v>31</v>
      </c>
      <c r="F216" s="18">
        <v>1</v>
      </c>
      <c r="G216" s="18">
        <f>'CDM Activity'!O148</f>
        <v>588391.93369855848</v>
      </c>
      <c r="H216" s="37">
        <v>157.27083888441365</v>
      </c>
      <c r="I216" s="18"/>
      <c r="J216" s="215">
        <v>320</v>
      </c>
      <c r="K216" s="9">
        <f t="shared" ref="K216:K230" si="2">$O$103+C216*$O$104+D216*$O$105+E216*$O$106+F216*$O$107+G216*$O$108+H216*$O$109</f>
        <v>11029171.6781133</v>
      </c>
      <c r="L216" s="65"/>
    </row>
    <row r="217" spans="1:12">
      <c r="A217" s="34">
        <v>42675</v>
      </c>
      <c r="B217" s="28"/>
      <c r="C217" s="221">
        <f>'Residential WN'!C217</f>
        <v>567.61000000000013</v>
      </c>
      <c r="D217" s="221">
        <f>'Residential WN'!D217</f>
        <v>0</v>
      </c>
      <c r="E217" s="18">
        <v>30</v>
      </c>
      <c r="F217" s="18">
        <v>1</v>
      </c>
      <c r="G217" s="18">
        <f>'CDM Activity'!O149</f>
        <v>584687.69418350316</v>
      </c>
      <c r="H217" s="37">
        <v>157.55630164915351</v>
      </c>
      <c r="I217" s="18"/>
      <c r="J217" s="215">
        <v>336</v>
      </c>
      <c r="K217" s="9">
        <f t="shared" si="2"/>
        <v>11610586.722905198</v>
      </c>
      <c r="L217" s="65"/>
    </row>
    <row r="218" spans="1:12">
      <c r="A218" s="34">
        <v>42705</v>
      </c>
      <c r="B218" s="28"/>
      <c r="C218" s="221">
        <f>'Residential WN'!C218</f>
        <v>852.28999999999974</v>
      </c>
      <c r="D218" s="221">
        <f>'Residential WN'!D218</f>
        <v>0</v>
      </c>
      <c r="E218" s="18">
        <v>31</v>
      </c>
      <c r="F218" s="18">
        <v>0</v>
      </c>
      <c r="G218" s="18">
        <f>'CDM Activity'!O150</f>
        <v>580983.45466844784</v>
      </c>
      <c r="H218" s="37">
        <v>157.84228255820162</v>
      </c>
      <c r="I218" s="18"/>
      <c r="J218" s="215">
        <v>336</v>
      </c>
      <c r="K218" s="9">
        <f t="shared" si="2"/>
        <v>13672924.931730328</v>
      </c>
      <c r="L218" s="65"/>
    </row>
    <row r="219" spans="1:12">
      <c r="A219" s="34">
        <v>42736</v>
      </c>
      <c r="B219" s="28"/>
      <c r="C219" s="221">
        <f>'Residential WN'!C219</f>
        <v>960.98000000000013</v>
      </c>
      <c r="D219" s="221">
        <f>'Residential WN'!D219</f>
        <v>0</v>
      </c>
      <c r="E219" s="18">
        <v>31</v>
      </c>
      <c r="F219" s="18">
        <v>0</v>
      </c>
      <c r="G219" s="18">
        <f>'CDM Activity'!O151</f>
        <v>560379.06150791119</v>
      </c>
      <c r="H219" s="37">
        <v>158.15454692394951</v>
      </c>
      <c r="I219" s="18"/>
      <c r="J219" s="18"/>
      <c r="K219" s="9">
        <f t="shared" si="2"/>
        <v>14195449.403110625</v>
      </c>
      <c r="L219" s="65"/>
    </row>
    <row r="220" spans="1:12">
      <c r="A220" s="34">
        <v>42767</v>
      </c>
      <c r="B220" s="28"/>
      <c r="C220" s="221">
        <f>'Residential WN'!C220</f>
        <v>875.5899999999998</v>
      </c>
      <c r="D220" s="221">
        <f>'Residential WN'!D220</f>
        <v>0</v>
      </c>
      <c r="E220" s="18">
        <v>28</v>
      </c>
      <c r="F220" s="18">
        <v>0</v>
      </c>
      <c r="G220" s="18">
        <f>'CDM Activity'!O152</f>
        <v>539774.66834737454</v>
      </c>
      <c r="H220" s="37">
        <v>158.46742905214063</v>
      </c>
      <c r="I220" s="18"/>
      <c r="J220" s="18"/>
      <c r="K220" s="9">
        <f t="shared" si="2"/>
        <v>13023122.058309995</v>
      </c>
      <c r="L220" s="65"/>
    </row>
    <row r="221" spans="1:12">
      <c r="A221" s="34">
        <v>42795</v>
      </c>
      <c r="B221" s="28"/>
      <c r="C221" s="221">
        <f>'Residential WN'!C221</f>
        <v>702.91</v>
      </c>
      <c r="D221" s="221">
        <f>'Residential WN'!D221</f>
        <v>0</v>
      </c>
      <c r="E221" s="18">
        <v>31</v>
      </c>
      <c r="F221" s="18">
        <v>1</v>
      </c>
      <c r="G221" s="18">
        <f>'CDM Activity'!O153</f>
        <v>519170.27518683794</v>
      </c>
      <c r="H221" s="37">
        <v>158.78093016491388</v>
      </c>
      <c r="I221" s="18"/>
      <c r="J221" s="18"/>
      <c r="K221" s="9">
        <f t="shared" si="2"/>
        <v>12644354.263007516</v>
      </c>
      <c r="L221" s="65"/>
    </row>
    <row r="222" spans="1:12">
      <c r="A222" s="34">
        <v>42826</v>
      </c>
      <c r="B222" s="28"/>
      <c r="C222" s="221">
        <f>'Residential WN'!C222</f>
        <v>450.5200000000001</v>
      </c>
      <c r="D222" s="221">
        <f>'Residential WN'!D222</f>
        <v>0</v>
      </c>
      <c r="E222" s="18">
        <v>30</v>
      </c>
      <c r="F222" s="18">
        <v>1</v>
      </c>
      <c r="G222" s="18">
        <f>'CDM Activity'!O154</f>
        <v>498565.88202630135</v>
      </c>
      <c r="H222" s="37">
        <v>159.09505148682601</v>
      </c>
      <c r="I222" s="18"/>
      <c r="J222" s="18"/>
      <c r="K222" s="9">
        <f t="shared" si="2"/>
        <v>11304906.122591551</v>
      </c>
      <c r="L222" s="65"/>
    </row>
    <row r="223" spans="1:12">
      <c r="A223" s="34">
        <v>42856</v>
      </c>
      <c r="B223" s="28"/>
      <c r="C223" s="221">
        <f>'Residential WN'!C223</f>
        <v>271.46000000000004</v>
      </c>
      <c r="D223" s="221">
        <f>'Residential WN'!D223</f>
        <v>0.47000000000000003</v>
      </c>
      <c r="E223" s="18">
        <v>31</v>
      </c>
      <c r="F223" s="18">
        <v>1</v>
      </c>
      <c r="G223" s="18">
        <f>'CDM Activity'!O155</f>
        <v>477961.48886576475</v>
      </c>
      <c r="H223" s="37">
        <v>159.4097942448563</v>
      </c>
      <c r="I223" s="18"/>
      <c r="J223" s="18"/>
      <c r="K223" s="9">
        <f t="shared" si="2"/>
        <v>10859899.848941175</v>
      </c>
      <c r="L223" s="65"/>
    </row>
    <row r="224" spans="1:12">
      <c r="A224" s="34">
        <v>42887</v>
      </c>
      <c r="B224" s="28"/>
      <c r="C224" s="221">
        <f>'Residential WN'!C224</f>
        <v>109.59</v>
      </c>
      <c r="D224" s="221">
        <f>'Residential WN'!D224</f>
        <v>6.7</v>
      </c>
      <c r="E224" s="18">
        <v>30</v>
      </c>
      <c r="F224" s="18">
        <v>0</v>
      </c>
      <c r="G224" s="18">
        <f>'CDM Activity'!O156</f>
        <v>457357.09570522816</v>
      </c>
      <c r="H224" s="37">
        <v>159.72515966841141</v>
      </c>
      <c r="I224" s="18"/>
      <c r="J224" s="18"/>
      <c r="K224" s="9">
        <f t="shared" si="2"/>
        <v>10562275.340353059</v>
      </c>
      <c r="L224" s="65"/>
    </row>
    <row r="225" spans="1:13">
      <c r="A225" s="34">
        <v>42917</v>
      </c>
      <c r="B225" s="28"/>
      <c r="C225" s="221">
        <f>'Residential WN'!C225</f>
        <v>36.33</v>
      </c>
      <c r="D225" s="221">
        <f>'Residential WN'!D225</f>
        <v>40.369999999999997</v>
      </c>
      <c r="E225" s="18">
        <v>31</v>
      </c>
      <c r="F225" s="18">
        <v>0</v>
      </c>
      <c r="G225" s="18">
        <f>'CDM Activity'!O157</f>
        <v>436752.70254469156</v>
      </c>
      <c r="H225" s="37">
        <v>160.0411489893302</v>
      </c>
      <c r="I225" s="18"/>
      <c r="J225" s="18"/>
      <c r="K225" s="9">
        <f t="shared" si="2"/>
        <v>11273832.179199832</v>
      </c>
      <c r="L225" s="65"/>
    </row>
    <row r="226" spans="1:13">
      <c r="A226" s="34">
        <v>42948</v>
      </c>
      <c r="B226" s="28"/>
      <c r="C226" s="221">
        <f>'Residential WN'!C226</f>
        <v>51.55</v>
      </c>
      <c r="D226" s="221">
        <f>'Residential WN'!D226</f>
        <v>29.669999999999998</v>
      </c>
      <c r="E226" s="18">
        <v>31</v>
      </c>
      <c r="F226" s="18">
        <v>0</v>
      </c>
      <c r="G226" s="18">
        <f>'CDM Activity'!O158</f>
        <v>416148.30938415497</v>
      </c>
      <c r="H226" s="37">
        <v>160.35776344188849</v>
      </c>
      <c r="I226" s="18"/>
      <c r="J226" s="18"/>
      <c r="K226" s="9">
        <f t="shared" si="2"/>
        <v>11163997.404789921</v>
      </c>
      <c r="L226" s="65"/>
    </row>
    <row r="227" spans="1:13">
      <c r="A227" s="34">
        <v>42979</v>
      </c>
      <c r="B227" s="28"/>
      <c r="C227" s="221">
        <f>'Residential WN'!C227</f>
        <v>176.97</v>
      </c>
      <c r="D227" s="221">
        <f>'Residential WN'!D227</f>
        <v>5.05</v>
      </c>
      <c r="E227" s="18">
        <v>30</v>
      </c>
      <c r="F227" s="18">
        <v>1</v>
      </c>
      <c r="G227" s="18">
        <f>'CDM Activity'!O159</f>
        <v>395543.91622361838</v>
      </c>
      <c r="H227" s="37">
        <v>160.67500426280395</v>
      </c>
      <c r="I227" s="18"/>
      <c r="J227" s="18"/>
      <c r="K227" s="9">
        <f t="shared" si="2"/>
        <v>10448384.837596495</v>
      </c>
      <c r="L227" s="65"/>
    </row>
    <row r="228" spans="1:13">
      <c r="A228" s="34">
        <v>43009</v>
      </c>
      <c r="B228" s="28"/>
      <c r="C228" s="221">
        <f>'Residential WN'!C228</f>
        <v>372.15</v>
      </c>
      <c r="D228" s="221">
        <f>'Residential WN'!D228</f>
        <v>0.54</v>
      </c>
      <c r="E228" s="18">
        <v>31</v>
      </c>
      <c r="F228" s="18">
        <v>1</v>
      </c>
      <c r="G228" s="18">
        <f>'CDM Activity'!O160</f>
        <v>374939.52306308178</v>
      </c>
      <c r="H228" s="37">
        <v>160.99287269124085</v>
      </c>
      <c r="I228" s="18"/>
      <c r="J228" s="18"/>
      <c r="K228" s="9">
        <f t="shared" si="2"/>
        <v>11537316.169528715</v>
      </c>
      <c r="L228" s="65"/>
    </row>
    <row r="229" spans="1:13">
      <c r="A229" s="34">
        <v>43040</v>
      </c>
      <c r="B229" s="28"/>
      <c r="C229" s="221">
        <f>'Residential WN'!C229</f>
        <v>567.61000000000013</v>
      </c>
      <c r="D229" s="221">
        <f>'Residential WN'!D229</f>
        <v>0</v>
      </c>
      <c r="E229" s="18">
        <v>30</v>
      </c>
      <c r="F229" s="18">
        <v>1</v>
      </c>
      <c r="G229" s="18">
        <f>'CDM Activity'!O161</f>
        <v>354335.12990254519</v>
      </c>
      <c r="H229" s="37">
        <v>161.31136996881492</v>
      </c>
      <c r="I229" s="18"/>
      <c r="J229" s="18"/>
      <c r="K229" s="9">
        <f t="shared" si="2"/>
        <v>12146752.024445416</v>
      </c>
      <c r="L229" s="65"/>
    </row>
    <row r="230" spans="1:13">
      <c r="A230" s="34">
        <v>43070</v>
      </c>
      <c r="B230" s="28"/>
      <c r="C230" s="221">
        <f>'Residential WN'!C230</f>
        <v>852.28999999999974</v>
      </c>
      <c r="D230" s="221">
        <f>'Residential WN'!D230</f>
        <v>0</v>
      </c>
      <c r="E230" s="18">
        <v>31</v>
      </c>
      <c r="F230" s="18">
        <v>0</v>
      </c>
      <c r="G230" s="18">
        <f>'CDM Activity'!O162</f>
        <v>333730.73674200859</v>
      </c>
      <c r="H230" s="37">
        <v>161.63049733959846</v>
      </c>
      <c r="I230" s="18"/>
      <c r="J230" s="18"/>
      <c r="K230" s="9">
        <f t="shared" si="2"/>
        <v>14237116.268078938</v>
      </c>
      <c r="L230" s="65"/>
    </row>
    <row r="231" spans="1:13">
      <c r="A231" s="2"/>
      <c r="G231" s="18"/>
      <c r="L231" s="66"/>
    </row>
    <row r="232" spans="1:13">
      <c r="A232" s="2"/>
      <c r="C232" s="17"/>
      <c r="D232"/>
      <c r="K232" s="49">
        <f>SUM(K87:K230)</f>
        <v>1657920033.7733729</v>
      </c>
    </row>
    <row r="233" spans="1:13">
      <c r="A233" s="2"/>
    </row>
    <row r="234" spans="1:13">
      <c r="A234">
        <v>2006</v>
      </c>
      <c r="B234" s="5">
        <f>SUM(B87:B98)</f>
        <v>141631018.54999995</v>
      </c>
      <c r="C234" s="228"/>
      <c r="H234" s="228"/>
      <c r="I234" s="38"/>
      <c r="K234" s="5">
        <f>SUM(K87:K98)</f>
        <v>138303797.91295043</v>
      </c>
      <c r="L234" s="41">
        <f>K234-B234</f>
        <v>-3327220.637049526</v>
      </c>
      <c r="M234" s="4">
        <f>L234/B234</f>
        <v>-2.3492174744721747E-2</v>
      </c>
    </row>
    <row r="235" spans="1:13">
      <c r="A235" s="17">
        <v>2007</v>
      </c>
      <c r="B235" s="5">
        <f>SUM(B99:B110)</f>
        <v>140795615.54000005</v>
      </c>
      <c r="C235" s="228"/>
      <c r="H235" s="228"/>
      <c r="I235" s="38"/>
      <c r="K235" s="5">
        <f>SUM(K99:K110)</f>
        <v>139998027.1995557</v>
      </c>
      <c r="L235" s="41">
        <f t="shared" ref="L235:L243" si="3">K235-B235</f>
        <v>-797588.3404443562</v>
      </c>
      <c r="M235" s="4">
        <f t="shared" ref="M235:M243" si="4">L235/B235</f>
        <v>-5.6648663197737242E-3</v>
      </c>
    </row>
    <row r="236" spans="1:13">
      <c r="A236">
        <v>2008</v>
      </c>
      <c r="B236" s="5">
        <f>SUM(B111:B122)</f>
        <v>140901919.11999995</v>
      </c>
      <c r="C236" s="228"/>
      <c r="H236" s="228"/>
      <c r="I236" s="38"/>
      <c r="K236" s="5">
        <f>SUM(K111:K122)</f>
        <v>140526032.96879536</v>
      </c>
      <c r="L236" s="41">
        <f t="shared" si="3"/>
        <v>-375886.15120458603</v>
      </c>
      <c r="M236" s="4">
        <f t="shared" si="4"/>
        <v>-2.6677149151138274E-3</v>
      </c>
    </row>
    <row r="237" spans="1:13">
      <c r="A237" s="17">
        <v>2009</v>
      </c>
      <c r="B237" s="5">
        <f>SUM(B123:B134)</f>
        <v>137506815.68000019</v>
      </c>
      <c r="C237" s="228"/>
      <c r="H237" s="228"/>
      <c r="I237" s="38"/>
      <c r="K237" s="5">
        <f>SUM(K123:K134)</f>
        <v>137527633.06321484</v>
      </c>
      <c r="L237" s="41">
        <f t="shared" si="3"/>
        <v>20817.383214652538</v>
      </c>
      <c r="M237" s="4">
        <f t="shared" si="4"/>
        <v>1.5139164638280794E-4</v>
      </c>
    </row>
    <row r="238" spans="1:13">
      <c r="A238">
        <v>2010</v>
      </c>
      <c r="B238" s="5">
        <f>SUM(B135:B146)</f>
        <v>132765784.44999993</v>
      </c>
      <c r="C238" s="228"/>
      <c r="H238" s="228"/>
      <c r="I238" s="38"/>
      <c r="K238" s="5">
        <f>SUM(K135:K146)</f>
        <v>135975996.45203012</v>
      </c>
      <c r="L238" s="41">
        <f t="shared" si="3"/>
        <v>3210212.0020301938</v>
      </c>
      <c r="M238" s="4">
        <f t="shared" si="4"/>
        <v>2.4179512931957036E-2</v>
      </c>
    </row>
    <row r="239" spans="1:13">
      <c r="A239">
        <v>2011</v>
      </c>
      <c r="B239" s="5">
        <f>SUM(B147:B158)</f>
        <v>135688687.22999996</v>
      </c>
      <c r="C239" s="228"/>
      <c r="H239" s="228"/>
      <c r="I239" s="38"/>
      <c r="K239" s="5">
        <f>SUM(K147:K158)</f>
        <v>137042583.22258881</v>
      </c>
      <c r="L239" s="41">
        <f t="shared" si="3"/>
        <v>1353895.9925888479</v>
      </c>
      <c r="M239" s="4">
        <f t="shared" si="4"/>
        <v>9.9779577813581318E-3</v>
      </c>
    </row>
    <row r="240" spans="1:13">
      <c r="A240">
        <v>2012</v>
      </c>
      <c r="B240" s="5">
        <f>SUM(B159:B170)</f>
        <v>133678840.49000008</v>
      </c>
      <c r="C240" s="228"/>
      <c r="H240" s="228"/>
      <c r="I240" s="38"/>
      <c r="K240" s="5">
        <f>SUM(K159:K170)</f>
        <v>137674443.70124614</v>
      </c>
      <c r="L240" s="41">
        <f t="shared" si="3"/>
        <v>3995603.2112460583</v>
      </c>
      <c r="M240" s="4">
        <f t="shared" si="4"/>
        <v>2.9889571128835096E-2</v>
      </c>
    </row>
    <row r="241" spans="1:13">
      <c r="A241">
        <v>2013</v>
      </c>
      <c r="B241" s="5">
        <f>SUM(B171:B182)</f>
        <v>136331185.61000001</v>
      </c>
      <c r="C241" s="228"/>
      <c r="H241" s="228"/>
      <c r="I241" s="38"/>
      <c r="K241" s="5">
        <f>SUM(K171:K182)</f>
        <v>136488090.13412672</v>
      </c>
      <c r="L241" s="41">
        <f t="shared" si="3"/>
        <v>156904.52412670851</v>
      </c>
      <c r="M241" s="4">
        <f t="shared" si="4"/>
        <v>1.1509070608067785E-3</v>
      </c>
    </row>
    <row r="242" spans="1:13">
      <c r="A242">
        <v>2014</v>
      </c>
      <c r="B242" s="5">
        <f>SUM(B183:B194)</f>
        <v>139285835.96861196</v>
      </c>
      <c r="C242" s="228"/>
      <c r="H242" s="228"/>
      <c r="I242" s="38"/>
      <c r="K242" s="5">
        <f>SUM(K183:K194)</f>
        <v>135812390.10566956</v>
      </c>
      <c r="L242" s="41">
        <f t="shared" si="3"/>
        <v>-3473445.8629423976</v>
      </c>
      <c r="M242" s="4">
        <f t="shared" si="4"/>
        <v>-2.493753825568551E-2</v>
      </c>
    </row>
    <row r="243" spans="1:13">
      <c r="A243" s="17">
        <v>2015</v>
      </c>
      <c r="B243" s="5">
        <f>SUM(B195:B206)</f>
        <v>137179401.47999987</v>
      </c>
      <c r="C243" s="228"/>
      <c r="H243" s="228"/>
      <c r="I243" s="38"/>
      <c r="K243" s="5">
        <f>SUM(K195:K206)</f>
        <v>136416109.35843417</v>
      </c>
      <c r="L243" s="41">
        <f t="shared" si="3"/>
        <v>-763292.12156569958</v>
      </c>
      <c r="M243" s="4">
        <f t="shared" si="4"/>
        <v>-5.5641890351663626E-3</v>
      </c>
    </row>
    <row r="244" spans="1:13">
      <c r="A244">
        <v>2016</v>
      </c>
      <c r="C244" s="228"/>
      <c r="H244" s="228"/>
      <c r="I244" s="38"/>
      <c r="K244" s="5">
        <f>SUM(K207:K218)</f>
        <v>138757523.73480821</v>
      </c>
    </row>
    <row r="245" spans="1:13">
      <c r="A245" s="17">
        <v>2017</v>
      </c>
      <c r="C245" s="228"/>
      <c r="H245" s="228"/>
      <c r="I245" s="38"/>
      <c r="K245" s="5">
        <f>SUM(K219:K230)</f>
        <v>143397405.91995323</v>
      </c>
    </row>
    <row r="246" spans="1:13">
      <c r="C246" s="228"/>
      <c r="H246" s="228"/>
      <c r="I246" s="38"/>
      <c r="K246" s="5"/>
    </row>
    <row r="247" spans="1:13">
      <c r="A247" s="72" t="s">
        <v>261</v>
      </c>
      <c r="B247" s="5">
        <f>SUM(B234:B243)</f>
        <v>1375765104.1186118</v>
      </c>
      <c r="C247" s="228"/>
      <c r="H247" s="228"/>
      <c r="I247" s="38"/>
      <c r="K247" s="5">
        <f>SUM(K234:K243)</f>
        <v>1375765104.1186118</v>
      </c>
      <c r="L247" s="5">
        <f>K247-B247</f>
        <v>0</v>
      </c>
    </row>
    <row r="248" spans="1:13">
      <c r="C248" s="228"/>
      <c r="H248" s="228"/>
      <c r="I248" s="38"/>
    </row>
    <row r="249" spans="1:13">
      <c r="C249" s="228"/>
      <c r="H249" s="228"/>
      <c r="I249" s="38"/>
      <c r="K249" s="5">
        <f>SUM(K234:K245)</f>
        <v>1657920033.7733731</v>
      </c>
      <c r="L249" s="49">
        <f>K232-K249</f>
        <v>0</v>
      </c>
    </row>
    <row r="250" spans="1:13">
      <c r="C250" s="228"/>
      <c r="H250" s="228"/>
      <c r="I250" s="38"/>
      <c r="K250" s="19"/>
      <c r="L250" s="19" t="s">
        <v>47</v>
      </c>
      <c r="M250" s="19"/>
    </row>
    <row r="253" spans="1:13">
      <c r="H253" s="228"/>
      <c r="I253" s="38"/>
    </row>
    <row r="254" spans="1:13">
      <c r="B254" s="90" t="s">
        <v>143</v>
      </c>
      <c r="C254" s="228"/>
      <c r="H254" s="228"/>
      <c r="I254" s="38"/>
    </row>
    <row r="255" spans="1:13">
      <c r="A255" s="2">
        <v>42736</v>
      </c>
      <c r="C255" s="62">
        <f>'Weather Analysis - Thunder Bay'!AA8</f>
        <v>981.22443609022571</v>
      </c>
      <c r="D255" s="62">
        <f>'Weather Analysis - Thunder Bay'!AA28</f>
        <v>0</v>
      </c>
      <c r="E255" s="9">
        <f>E219</f>
        <v>31</v>
      </c>
      <c r="F255" s="9">
        <f t="shared" ref="F255:G255" si="5">F219</f>
        <v>0</v>
      </c>
      <c r="G255" s="9">
        <f t="shared" si="5"/>
        <v>560379.06150791119</v>
      </c>
      <c r="H255" s="37">
        <f>H219</f>
        <v>158.15454692394951</v>
      </c>
      <c r="I255" s="37">
        <v>143.1291789570798</v>
      </c>
      <c r="J255" s="9">
        <v>352</v>
      </c>
      <c r="K255" s="9">
        <f t="shared" ref="K255:K266" si="6">$O$103+C255*$O$104+D255*$O$105+E255*$O$106+F255*$O$107+G255*$O$108+H255*$O$109</f>
        <v>14284046.637700014</v>
      </c>
    </row>
    <row r="256" spans="1:13">
      <c r="A256" s="2">
        <v>42767</v>
      </c>
      <c r="C256" s="62">
        <f>'Weather Analysis - Thunder Bay'!AA9</f>
        <v>920.49842105263269</v>
      </c>
      <c r="D256" s="62">
        <f>'Weather Analysis - Thunder Bay'!AA29</f>
        <v>0</v>
      </c>
      <c r="E256" s="9">
        <f t="shared" ref="E256:H266" si="7">E220</f>
        <v>28</v>
      </c>
      <c r="F256" s="9">
        <f t="shared" si="7"/>
        <v>0</v>
      </c>
      <c r="G256" s="9">
        <f t="shared" si="7"/>
        <v>539774.66834737454</v>
      </c>
      <c r="H256" s="37">
        <f t="shared" si="7"/>
        <v>158.46742905214063</v>
      </c>
      <c r="I256" s="37">
        <v>143.42400163116841</v>
      </c>
      <c r="J256" s="9">
        <v>304</v>
      </c>
      <c r="K256" s="9">
        <f t="shared" si="6"/>
        <v>13219658.128631076</v>
      </c>
    </row>
    <row r="257" spans="1:12">
      <c r="A257" s="2">
        <v>42795</v>
      </c>
      <c r="C257" s="62">
        <f>'Weather Analysis - Thunder Bay'!AA10</f>
        <v>728.65676691729323</v>
      </c>
      <c r="D257" s="62">
        <f>'Weather Analysis - Thunder Bay'!AA30</f>
        <v>0</v>
      </c>
      <c r="E257" s="9">
        <f t="shared" si="7"/>
        <v>31</v>
      </c>
      <c r="F257" s="9">
        <f t="shared" si="7"/>
        <v>1</v>
      </c>
      <c r="G257" s="9">
        <f t="shared" si="7"/>
        <v>519170.27518683794</v>
      </c>
      <c r="H257" s="37">
        <f t="shared" si="7"/>
        <v>158.78093016491388</v>
      </c>
      <c r="I257" s="37">
        <v>143.71943159169427</v>
      </c>
      <c r="J257" s="9">
        <v>320</v>
      </c>
      <c r="K257" s="9">
        <f t="shared" si="6"/>
        <v>12757031.758113993</v>
      </c>
    </row>
    <row r="258" spans="1:12">
      <c r="A258" s="2">
        <v>42826</v>
      </c>
      <c r="C258" s="62">
        <f>'Weather Analysis - Thunder Bay'!AA11</f>
        <v>457.84511278195487</v>
      </c>
      <c r="D258" s="62">
        <f>'Weather Analysis - Thunder Bay'!AA31</f>
        <v>0</v>
      </c>
      <c r="E258" s="9">
        <f t="shared" si="7"/>
        <v>30</v>
      </c>
      <c r="F258" s="9">
        <f t="shared" si="7"/>
        <v>1</v>
      </c>
      <c r="G258" s="9">
        <f t="shared" si="7"/>
        <v>498565.88202630135</v>
      </c>
      <c r="H258" s="37">
        <f t="shared" si="7"/>
        <v>159.09505148682601</v>
      </c>
      <c r="I258" s="37">
        <v>144.01547008956803</v>
      </c>
      <c r="J258" s="9">
        <v>352</v>
      </c>
      <c r="K258" s="9">
        <f t="shared" si="6"/>
        <v>11336963.559639648</v>
      </c>
    </row>
    <row r="259" spans="1:12">
      <c r="A259" s="2">
        <v>42856</v>
      </c>
      <c r="C259" s="62">
        <f>'Weather Analysis - Thunder Bay'!AA12</f>
        <v>271.64563909774438</v>
      </c>
      <c r="D259" s="62">
        <f>'Weather Analysis - Thunder Bay'!AA32</f>
        <v>0.20857142857142463</v>
      </c>
      <c r="E259" s="9">
        <f t="shared" si="7"/>
        <v>31</v>
      </c>
      <c r="F259" s="9">
        <f t="shared" si="7"/>
        <v>1</v>
      </c>
      <c r="G259" s="9">
        <f t="shared" si="7"/>
        <v>477961.48886576475</v>
      </c>
      <c r="H259" s="37">
        <f t="shared" si="7"/>
        <v>159.4097942448563</v>
      </c>
      <c r="I259" s="37">
        <v>144.31211837827698</v>
      </c>
      <c r="J259" s="9">
        <v>352</v>
      </c>
      <c r="K259" s="9">
        <f t="shared" si="6"/>
        <v>10855251.532252913</v>
      </c>
    </row>
    <row r="260" spans="1:12">
      <c r="A260" s="2">
        <v>42887</v>
      </c>
      <c r="C260" s="62">
        <f>'Weather Analysis - Thunder Bay'!AA13</f>
        <v>115.80518796992476</v>
      </c>
      <c r="D260" s="62">
        <f>'Weather Analysis - Thunder Bay'!AA33</f>
        <v>4.1052631578947967</v>
      </c>
      <c r="E260" s="9">
        <f t="shared" si="7"/>
        <v>30</v>
      </c>
      <c r="F260" s="9">
        <f t="shared" si="7"/>
        <v>0</v>
      </c>
      <c r="G260" s="9">
        <f t="shared" si="7"/>
        <v>457357.09570522816</v>
      </c>
      <c r="H260" s="37">
        <f t="shared" si="7"/>
        <v>159.72515966841141</v>
      </c>
      <c r="I260" s="37">
        <v>144.60937771389038</v>
      </c>
      <c r="J260" s="9">
        <v>320</v>
      </c>
      <c r="K260" s="9">
        <f t="shared" si="6"/>
        <v>10535276.24018858</v>
      </c>
    </row>
    <row r="261" spans="1:12">
      <c r="A261" s="2">
        <v>42917</v>
      </c>
      <c r="C261" s="62">
        <f>'Weather Analysis - Thunder Bay'!AA14</f>
        <v>34.996616541353319</v>
      </c>
      <c r="D261" s="62">
        <f>'Weather Analysis - Thunder Bay'!AA34</f>
        <v>41.516616541353415</v>
      </c>
      <c r="E261" s="9">
        <f t="shared" si="7"/>
        <v>31</v>
      </c>
      <c r="F261" s="9">
        <f t="shared" si="7"/>
        <v>0</v>
      </c>
      <c r="G261" s="9">
        <f t="shared" si="7"/>
        <v>436752.70254469156</v>
      </c>
      <c r="H261" s="37">
        <f t="shared" si="7"/>
        <v>160.0411489893302</v>
      </c>
      <c r="I261" s="37">
        <v>144.90724935506483</v>
      </c>
      <c r="J261" s="9">
        <v>352</v>
      </c>
      <c r="K261" s="9">
        <f t="shared" si="6"/>
        <v>11291947.42057672</v>
      </c>
    </row>
    <row r="262" spans="1:12">
      <c r="A262" s="2">
        <v>42948</v>
      </c>
      <c r="C262" s="62">
        <f>'Weather Analysis - Thunder Bay'!AA15</f>
        <v>48.162481203007474</v>
      </c>
      <c r="D262" s="62">
        <f>'Weather Analysis - Thunder Bay'!AA35</f>
        <v>33.181729323308446</v>
      </c>
      <c r="E262" s="9">
        <f t="shared" si="7"/>
        <v>31</v>
      </c>
      <c r="F262" s="9">
        <f t="shared" si="7"/>
        <v>0</v>
      </c>
      <c r="G262" s="9">
        <f t="shared" si="7"/>
        <v>416148.30938415497</v>
      </c>
      <c r="H262" s="37">
        <f t="shared" si="7"/>
        <v>160.35776344188849</v>
      </c>
      <c r="I262" s="37">
        <v>145.20573456304953</v>
      </c>
      <c r="J262" s="9">
        <v>336</v>
      </c>
      <c r="K262" s="9">
        <f t="shared" si="6"/>
        <v>11222525.66361884</v>
      </c>
    </row>
    <row r="263" spans="1:12">
      <c r="A263" s="2">
        <v>42979</v>
      </c>
      <c r="C263" s="62">
        <f>'Weather Analysis - Thunder Bay'!AA16</f>
        <v>175.57706766917295</v>
      </c>
      <c r="D263" s="62">
        <f>'Weather Analysis - Thunder Bay'!AA36</f>
        <v>5.6842857142857071</v>
      </c>
      <c r="E263" s="9">
        <f t="shared" si="7"/>
        <v>30</v>
      </c>
      <c r="F263" s="9">
        <f t="shared" si="7"/>
        <v>1</v>
      </c>
      <c r="G263" s="9">
        <f t="shared" si="7"/>
        <v>395543.91622361838</v>
      </c>
      <c r="H263" s="37">
        <f t="shared" si="7"/>
        <v>160.67500426280395</v>
      </c>
      <c r="I263" s="37">
        <v>145.50483460169167</v>
      </c>
      <c r="J263" s="9">
        <v>320</v>
      </c>
      <c r="K263" s="9">
        <f t="shared" si="6"/>
        <v>10455537.859595347</v>
      </c>
    </row>
    <row r="264" spans="1:12">
      <c r="A264" s="2">
        <v>43009</v>
      </c>
      <c r="C264" s="62">
        <f>'Weather Analysis - Thunder Bay'!AA17</f>
        <v>357.9927819548875</v>
      </c>
      <c r="D264" s="62">
        <f>'Weather Analysis - Thunder Bay'!AA37</f>
        <v>0.78360902255639076</v>
      </c>
      <c r="E264" s="9">
        <f t="shared" si="7"/>
        <v>31</v>
      </c>
      <c r="F264" s="9">
        <f t="shared" si="7"/>
        <v>1</v>
      </c>
      <c r="G264" s="9">
        <f t="shared" si="7"/>
        <v>374939.52306308178</v>
      </c>
      <c r="H264" s="37">
        <f t="shared" si="7"/>
        <v>160.99287269124085</v>
      </c>
      <c r="I264" s="37">
        <v>145.8045507374417</v>
      </c>
      <c r="J264" s="9">
        <v>352</v>
      </c>
      <c r="K264" s="9">
        <f t="shared" si="6"/>
        <v>11480447.407593645</v>
      </c>
    </row>
    <row r="265" spans="1:12">
      <c r="A265" s="2">
        <v>43040</v>
      </c>
      <c r="C265" s="62">
        <f>'Weather Analysis - Thunder Bay'!AA18</f>
        <v>558.62721804511284</v>
      </c>
      <c r="D265" s="62">
        <f>'Weather Analysis - Thunder Bay'!AA38</f>
        <v>0</v>
      </c>
      <c r="E265" s="9">
        <f t="shared" si="7"/>
        <v>30</v>
      </c>
      <c r="F265" s="9">
        <f t="shared" si="7"/>
        <v>1</v>
      </c>
      <c r="G265" s="9">
        <f t="shared" si="7"/>
        <v>354335.12990254519</v>
      </c>
      <c r="H265" s="37">
        <f t="shared" si="7"/>
        <v>161.31136996881492</v>
      </c>
      <c r="I265" s="37">
        <v>146.1048842393588</v>
      </c>
      <c r="J265" s="9">
        <v>336</v>
      </c>
      <c r="K265" s="9">
        <f t="shared" si="6"/>
        <v>12107440.006240733</v>
      </c>
    </row>
    <row r="266" spans="1:12">
      <c r="A266" s="2">
        <v>43070</v>
      </c>
      <c r="C266" s="62">
        <f>'Weather Analysis - Thunder Bay'!AA19</f>
        <v>843.2869924812029</v>
      </c>
      <c r="D266" s="62">
        <f>'Weather Analysis - Thunder Bay'!AA39</f>
        <v>0</v>
      </c>
      <c r="E266" s="9">
        <f t="shared" si="7"/>
        <v>31</v>
      </c>
      <c r="F266" s="9">
        <f t="shared" si="7"/>
        <v>0</v>
      </c>
      <c r="G266" s="9">
        <f t="shared" si="7"/>
        <v>333730.73674200859</v>
      </c>
      <c r="H266" s="37">
        <f t="shared" si="7"/>
        <v>161.63049733959846</v>
      </c>
      <c r="I266" s="37">
        <v>146.40583637911641</v>
      </c>
      <c r="J266" s="9">
        <v>320</v>
      </c>
      <c r="K266" s="9">
        <f t="shared" si="6"/>
        <v>14197715.735231396</v>
      </c>
      <c r="L266" s="49">
        <f>SUM(K255:K266)</f>
        <v>143743841.9493829</v>
      </c>
    </row>
  </sheetData>
  <mergeCells count="1">
    <mergeCell ref="I1:J1"/>
  </mergeCells>
  <pageMargins left="0.38" right="0.75" top="0.73" bottom="0.74" header="0.5" footer="0.5"/>
  <pageSetup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74"/>
  <sheetViews>
    <sheetView topLeftCell="A230" workbookViewId="0">
      <selection activeCell="N87" sqref="N87:T109"/>
    </sheetView>
  </sheetViews>
  <sheetFormatPr defaultRowHeight="12.75"/>
  <cols>
    <col min="1" max="1" width="11.85546875" customWidth="1"/>
    <col min="2" max="2" width="18" style="5" customWidth="1"/>
    <col min="3" max="3" width="11.7109375" style="1" customWidth="1"/>
    <col min="4" max="4" width="13.42578125" style="1" customWidth="1"/>
    <col min="5" max="5" width="10.140625" style="1" customWidth="1"/>
    <col min="6" max="8" width="12.42578125" style="1" customWidth="1"/>
    <col min="9" max="9" width="14.42578125" style="38" hidden="1" customWidth="1"/>
    <col min="10" max="10" width="12.42578125" style="1" hidden="1" customWidth="1"/>
    <col min="11" max="11" width="15.42578125" style="1" bestFit="1" customWidth="1"/>
    <col min="12" max="12" width="17" style="1" customWidth="1"/>
    <col min="13" max="13" width="12.42578125" style="1" customWidth="1"/>
    <col min="14" max="14" width="25.85546875" bestFit="1" customWidth="1"/>
    <col min="15" max="17" width="18" customWidth="1"/>
    <col min="18" max="18" width="17.140625" customWidth="1"/>
    <col min="19" max="20" width="15.7109375" customWidth="1"/>
    <col min="21" max="21" width="14.140625" bestFit="1" customWidth="1"/>
    <col min="22" max="22" width="25.85546875" bestFit="1" customWidth="1"/>
    <col min="23" max="23" width="19.28515625" bestFit="1" customWidth="1"/>
    <col min="24" max="24" width="19.140625" bestFit="1" customWidth="1"/>
    <col min="25" max="25" width="26.140625" bestFit="1" customWidth="1"/>
    <col min="26" max="26" width="23" bestFit="1" customWidth="1"/>
    <col min="27" max="27" width="14.7109375" bestFit="1" customWidth="1"/>
    <col min="28" max="28" width="20.140625" bestFit="1" customWidth="1"/>
    <col min="29" max="29" width="12.140625" bestFit="1" customWidth="1"/>
    <col min="30" max="30" width="21" bestFit="1" customWidth="1"/>
    <col min="31" max="31" width="13.140625" bestFit="1" customWidth="1"/>
  </cols>
  <sheetData>
    <row r="1" spans="1:28">
      <c r="G1"/>
      <c r="H1" s="64"/>
      <c r="I1" s="64"/>
      <c r="J1" s="64"/>
    </row>
    <row r="2" spans="1:28" ht="42" customHeight="1">
      <c r="A2" s="231"/>
      <c r="B2" s="264" t="s">
        <v>77</v>
      </c>
      <c r="C2" s="266" t="s">
        <v>1</v>
      </c>
      <c r="D2" s="266" t="s">
        <v>2</v>
      </c>
      <c r="E2" s="266" t="s">
        <v>3</v>
      </c>
      <c r="F2" s="266" t="s">
        <v>14</v>
      </c>
      <c r="G2" s="266" t="s">
        <v>56</v>
      </c>
      <c r="H2" s="266" t="s">
        <v>58</v>
      </c>
      <c r="I2" s="267" t="s">
        <v>4</v>
      </c>
      <c r="J2" s="266" t="s">
        <v>49</v>
      </c>
      <c r="K2" s="266" t="s">
        <v>78</v>
      </c>
      <c r="L2" s="11" t="s">
        <v>7</v>
      </c>
      <c r="M2" s="11" t="s">
        <v>348</v>
      </c>
    </row>
    <row r="3" spans="1:28" hidden="1">
      <c r="A3" s="254">
        <v>36161</v>
      </c>
      <c r="B3" s="249">
        <f>'[11]CoS 2017 Load History'!L41</f>
        <v>16478656.440000014</v>
      </c>
      <c r="C3" s="269">
        <f>'Weather Data'!B99</f>
        <v>994.7</v>
      </c>
      <c r="D3" s="269">
        <f>'Weather Data'!C99</f>
        <v>0</v>
      </c>
      <c r="E3" s="270">
        <v>31</v>
      </c>
      <c r="F3" s="270">
        <v>0</v>
      </c>
      <c r="G3" s="270">
        <v>0</v>
      </c>
      <c r="H3" s="256">
        <v>319.87200000000001</v>
      </c>
      <c r="I3" s="271">
        <v>105.44819844915847</v>
      </c>
      <c r="J3" s="272">
        <f>'[11]CoS 2017 Load History'!O41</f>
        <v>535</v>
      </c>
      <c r="K3" s="270"/>
      <c r="L3" s="11"/>
      <c r="M3" s="11"/>
    </row>
    <row r="4" spans="1:28" s="35" customFormat="1" hidden="1">
      <c r="A4" s="254">
        <v>36192</v>
      </c>
      <c r="B4" s="249">
        <f>'[11]CoS 2017 Load History'!L42</f>
        <v>27689060.52999993</v>
      </c>
      <c r="C4" s="269">
        <f>'Weather Data'!B100</f>
        <v>718.7</v>
      </c>
      <c r="D4" s="269">
        <f>'Weather Data'!C100</f>
        <v>0</v>
      </c>
      <c r="E4" s="256">
        <v>28</v>
      </c>
      <c r="F4" s="256">
        <v>0</v>
      </c>
      <c r="G4" s="256">
        <v>0</v>
      </c>
      <c r="H4" s="256">
        <v>319.87200000000001</v>
      </c>
      <c r="I4" s="257">
        <v>106.08666118100913</v>
      </c>
      <c r="J4" s="272">
        <f>'[11]CoS 2017 Load History'!O42</f>
        <v>578</v>
      </c>
      <c r="K4" s="256"/>
      <c r="L4" s="18"/>
      <c r="M4" s="33"/>
      <c r="N4"/>
      <c r="O4"/>
      <c r="P4"/>
      <c r="Q4"/>
      <c r="R4"/>
      <c r="S4"/>
      <c r="T4"/>
      <c r="U4"/>
      <c r="V4"/>
      <c r="W4"/>
      <c r="X4"/>
      <c r="Y4"/>
      <c r="Z4"/>
      <c r="AA4"/>
      <c r="AB4"/>
    </row>
    <row r="5" spans="1:28" s="35" customFormat="1" hidden="1">
      <c r="A5" s="254">
        <v>36220</v>
      </c>
      <c r="B5" s="249">
        <f>'[11]CoS 2017 Load History'!L43</f>
        <v>28367059.099999957</v>
      </c>
      <c r="C5" s="269">
        <f>'Weather Data'!B101</f>
        <v>710.1</v>
      </c>
      <c r="D5" s="269">
        <f>'Weather Data'!C101</f>
        <v>0</v>
      </c>
      <c r="E5" s="256">
        <v>31</v>
      </c>
      <c r="F5" s="256">
        <v>1</v>
      </c>
      <c r="G5" s="256">
        <v>0</v>
      </c>
      <c r="H5" s="256">
        <v>368.28</v>
      </c>
      <c r="I5" s="257">
        <v>106.72898964661303</v>
      </c>
      <c r="J5" s="272">
        <f>'[11]CoS 2017 Load History'!O43</f>
        <v>583</v>
      </c>
      <c r="K5" s="256"/>
      <c r="L5" s="18"/>
      <c r="M5" s="33"/>
      <c r="N5"/>
      <c r="O5"/>
      <c r="P5"/>
      <c r="Q5"/>
      <c r="R5"/>
      <c r="S5"/>
      <c r="T5"/>
      <c r="U5"/>
      <c r="V5"/>
      <c r="W5"/>
      <c r="X5"/>
      <c r="Y5"/>
      <c r="Z5"/>
      <c r="AA5"/>
      <c r="AB5"/>
    </row>
    <row r="6" spans="1:28" s="35" customFormat="1" hidden="1">
      <c r="A6" s="254">
        <v>36251</v>
      </c>
      <c r="B6" s="249">
        <f>'[11]CoS 2017 Load History'!L44</f>
        <v>24673273.639999956</v>
      </c>
      <c r="C6" s="269">
        <f>'Weather Data'!B102</f>
        <v>407.7</v>
      </c>
      <c r="D6" s="269">
        <f>'Weather Data'!C102</f>
        <v>0</v>
      </c>
      <c r="E6" s="256">
        <v>30</v>
      </c>
      <c r="F6" s="256">
        <v>1</v>
      </c>
      <c r="G6" s="256">
        <v>0</v>
      </c>
      <c r="H6" s="256">
        <v>336.24</v>
      </c>
      <c r="I6" s="257">
        <v>107.37520725203085</v>
      </c>
      <c r="J6" s="272">
        <f>'[11]CoS 2017 Load History'!O44</f>
        <v>596</v>
      </c>
      <c r="K6" s="256"/>
      <c r="L6" s="18"/>
      <c r="M6" s="33"/>
      <c r="N6"/>
      <c r="O6"/>
      <c r="P6"/>
      <c r="Q6"/>
      <c r="R6"/>
      <c r="S6"/>
      <c r="T6"/>
      <c r="U6"/>
      <c r="V6"/>
      <c r="W6"/>
      <c r="X6"/>
      <c r="Y6"/>
      <c r="Z6"/>
      <c r="AA6"/>
      <c r="AB6"/>
    </row>
    <row r="7" spans="1:28" s="35" customFormat="1" hidden="1">
      <c r="A7" s="254">
        <v>36281</v>
      </c>
      <c r="B7" s="249">
        <f>'[11]CoS 2017 Load History'!L45</f>
        <v>23679737.790000018</v>
      </c>
      <c r="C7" s="269">
        <f>'Weather Data'!B103</f>
        <v>224.7</v>
      </c>
      <c r="D7" s="269">
        <f>'Weather Data'!C103</f>
        <v>2.6</v>
      </c>
      <c r="E7" s="256">
        <v>31</v>
      </c>
      <c r="F7" s="256">
        <v>1</v>
      </c>
      <c r="G7" s="256">
        <v>0</v>
      </c>
      <c r="H7" s="256">
        <v>319.92</v>
      </c>
      <c r="I7" s="257">
        <v>108.02533754504118</v>
      </c>
      <c r="J7" s="272">
        <f>'[11]CoS 2017 Load History'!O45</f>
        <v>611</v>
      </c>
      <c r="K7" s="256"/>
      <c r="L7" s="18"/>
      <c r="M7" s="33"/>
      <c r="N7"/>
      <c r="O7"/>
      <c r="P7"/>
      <c r="Q7"/>
      <c r="R7"/>
      <c r="S7"/>
      <c r="T7"/>
      <c r="U7"/>
      <c r="V7"/>
      <c r="W7"/>
      <c r="X7"/>
      <c r="Y7"/>
      <c r="Z7"/>
      <c r="AA7"/>
      <c r="AB7"/>
    </row>
    <row r="8" spans="1:28" s="35" customFormat="1" hidden="1">
      <c r="A8" s="254">
        <v>36312</v>
      </c>
      <c r="B8" s="249">
        <f>'[11]CoS 2017 Load History'!L46</f>
        <v>20438074.969999976</v>
      </c>
      <c r="C8" s="269">
        <f>'Weather Data'!B104</f>
        <v>91.9</v>
      </c>
      <c r="D8" s="269">
        <f>'Weather Data'!C104</f>
        <v>11.4</v>
      </c>
      <c r="E8" s="256">
        <v>30</v>
      </c>
      <c r="F8" s="256">
        <v>0</v>
      </c>
      <c r="G8" s="256">
        <v>0</v>
      </c>
      <c r="H8" s="256">
        <v>352.08</v>
      </c>
      <c r="I8" s="257">
        <v>108.6794042159986</v>
      </c>
      <c r="J8" s="272">
        <f>'[11]CoS 2017 Load History'!O46</f>
        <v>616</v>
      </c>
      <c r="K8" s="256"/>
      <c r="L8" s="18"/>
      <c r="M8" s="33"/>
      <c r="N8"/>
      <c r="O8"/>
      <c r="P8"/>
      <c r="Q8"/>
      <c r="R8"/>
      <c r="S8"/>
      <c r="T8"/>
      <c r="U8"/>
      <c r="V8"/>
      <c r="W8"/>
      <c r="X8"/>
      <c r="Y8"/>
      <c r="Z8"/>
      <c r="AA8"/>
      <c r="AB8"/>
    </row>
    <row r="9" spans="1:28" s="35" customFormat="1" hidden="1">
      <c r="A9" s="254">
        <v>36342</v>
      </c>
      <c r="B9" s="249">
        <f>'[11]CoS 2017 Load History'!L47</f>
        <v>21927427.629999969</v>
      </c>
      <c r="C9" s="269">
        <f>'Weather Data'!B105</f>
        <v>24.2</v>
      </c>
      <c r="D9" s="269">
        <f>'Weather Data'!C105</f>
        <v>59.3</v>
      </c>
      <c r="E9" s="256">
        <v>31</v>
      </c>
      <c r="F9" s="256">
        <v>0</v>
      </c>
      <c r="G9" s="256">
        <v>0</v>
      </c>
      <c r="H9" s="256">
        <v>336.28800000000001</v>
      </c>
      <c r="I9" s="257">
        <v>109.33743109869688</v>
      </c>
      <c r="J9" s="272">
        <f>'[11]CoS 2017 Load History'!O47</f>
        <v>619</v>
      </c>
      <c r="K9" s="256"/>
      <c r="L9" s="18"/>
      <c r="M9" s="33"/>
      <c r="N9"/>
      <c r="O9"/>
      <c r="P9"/>
      <c r="Q9"/>
      <c r="R9"/>
      <c r="S9"/>
      <c r="T9"/>
      <c r="U9"/>
      <c r="V9"/>
      <c r="W9"/>
      <c r="X9"/>
      <c r="Y9"/>
      <c r="Z9"/>
      <c r="AA9"/>
      <c r="AB9"/>
    </row>
    <row r="10" spans="1:28" s="35" customFormat="1" hidden="1">
      <c r="A10" s="254">
        <v>36373</v>
      </c>
      <c r="B10" s="249">
        <f>'[11]CoS 2017 Load History'!L48</f>
        <v>22070964.019999966</v>
      </c>
      <c r="C10" s="269">
        <f>'Weather Data'!B106</f>
        <v>74</v>
      </c>
      <c r="D10" s="269">
        <f>'Weather Data'!C106</f>
        <v>12.2</v>
      </c>
      <c r="E10" s="256">
        <v>31</v>
      </c>
      <c r="F10" s="256">
        <v>0</v>
      </c>
      <c r="G10" s="256">
        <v>0</v>
      </c>
      <c r="H10" s="256">
        <v>336.28800000000001</v>
      </c>
      <c r="I10" s="257">
        <v>109.99944217123755</v>
      </c>
      <c r="J10" s="272">
        <f>'[11]CoS 2017 Load History'!O48</f>
        <v>626</v>
      </c>
      <c r="K10" s="256"/>
      <c r="L10" s="18"/>
      <c r="M10" s="33"/>
      <c r="N10"/>
      <c r="O10"/>
      <c r="P10"/>
      <c r="Q10"/>
      <c r="R10"/>
      <c r="S10"/>
      <c r="T10"/>
      <c r="U10"/>
      <c r="V10"/>
      <c r="W10"/>
      <c r="X10"/>
      <c r="Y10"/>
      <c r="Z10"/>
      <c r="AA10"/>
      <c r="AB10"/>
    </row>
    <row r="11" spans="1:28" s="35" customFormat="1" hidden="1">
      <c r="A11" s="254">
        <v>36404</v>
      </c>
      <c r="B11" s="249">
        <f>'[11]CoS 2017 Load History'!L49</f>
        <v>21905565.900000006</v>
      </c>
      <c r="C11" s="269">
        <f>'Weather Data'!B107</f>
        <v>194</v>
      </c>
      <c r="D11" s="269">
        <f>'Weather Data'!C107</f>
        <v>5.7</v>
      </c>
      <c r="E11" s="256">
        <v>30</v>
      </c>
      <c r="F11" s="256">
        <v>1</v>
      </c>
      <c r="G11" s="256">
        <v>0</v>
      </c>
      <c r="H11" s="256">
        <v>336.24</v>
      </c>
      <c r="I11" s="257">
        <v>110.66546155690358</v>
      </c>
      <c r="J11" s="272">
        <f>'[11]CoS 2017 Load History'!O49</f>
        <v>640</v>
      </c>
      <c r="K11" s="256"/>
      <c r="L11" s="18"/>
      <c r="M11" s="33"/>
      <c r="N11"/>
      <c r="O11"/>
      <c r="P11"/>
      <c r="Q11"/>
      <c r="R11"/>
      <c r="S11"/>
      <c r="T11"/>
      <c r="U11"/>
      <c r="V11"/>
      <c r="W11"/>
      <c r="X11"/>
      <c r="Y11"/>
      <c r="Z11"/>
      <c r="AA11"/>
      <c r="AB11"/>
    </row>
    <row r="12" spans="1:28" s="35" customFormat="1" hidden="1">
      <c r="A12" s="254">
        <v>36434</v>
      </c>
      <c r="B12" s="249">
        <f>'[11]CoS 2017 Load History'!L50</f>
        <v>23608817.460000038</v>
      </c>
      <c r="C12" s="269">
        <f>'Weather Data'!B108</f>
        <v>423.1</v>
      </c>
      <c r="D12" s="269">
        <f>'Weather Data'!C108</f>
        <v>0</v>
      </c>
      <c r="E12" s="256">
        <v>31</v>
      </c>
      <c r="F12" s="256">
        <v>1</v>
      </c>
      <c r="G12" s="256">
        <v>0</v>
      </c>
      <c r="H12" s="256">
        <v>319.92</v>
      </c>
      <c r="I12" s="257">
        <v>111.33551352503846</v>
      </c>
      <c r="J12" s="272">
        <f>'[11]CoS 2017 Load History'!O50</f>
        <v>647</v>
      </c>
      <c r="K12" s="256"/>
      <c r="L12" s="18"/>
      <c r="M12" s="33"/>
      <c r="N12"/>
      <c r="O12"/>
      <c r="P12"/>
      <c r="Q12"/>
      <c r="R12"/>
      <c r="S12"/>
      <c r="T12"/>
      <c r="U12"/>
      <c r="V12"/>
      <c r="W12"/>
      <c r="X12"/>
      <c r="Y12"/>
      <c r="Z12"/>
      <c r="AA12"/>
      <c r="AB12"/>
    </row>
    <row r="13" spans="1:28" s="35" customFormat="1" hidden="1">
      <c r="A13" s="254">
        <v>36465</v>
      </c>
      <c r="B13" s="249">
        <f>'[11]CoS 2017 Load History'!L51</f>
        <v>24880228.719999958</v>
      </c>
      <c r="C13" s="269">
        <f>'Weather Data'!B109</f>
        <v>500.7</v>
      </c>
      <c r="D13" s="269">
        <f>'Weather Data'!C109</f>
        <v>0</v>
      </c>
      <c r="E13" s="256">
        <v>30</v>
      </c>
      <c r="F13" s="256">
        <v>1</v>
      </c>
      <c r="G13" s="256">
        <v>0</v>
      </c>
      <c r="H13" s="256">
        <v>352.08</v>
      </c>
      <c r="I13" s="257">
        <v>112.00962249193054</v>
      </c>
      <c r="J13" s="272">
        <f>'[11]CoS 2017 Load History'!O51</f>
        <v>647</v>
      </c>
      <c r="K13" s="256"/>
      <c r="L13" s="18"/>
      <c r="M13" s="33"/>
      <c r="N13"/>
      <c r="O13"/>
      <c r="P13"/>
      <c r="Q13"/>
      <c r="R13"/>
      <c r="S13"/>
      <c r="T13"/>
      <c r="U13"/>
      <c r="V13"/>
      <c r="W13"/>
      <c r="X13"/>
      <c r="Y13"/>
      <c r="Z13"/>
      <c r="AA13"/>
      <c r="AB13"/>
    </row>
    <row r="14" spans="1:28" s="35" customFormat="1" hidden="1">
      <c r="A14" s="254">
        <v>36495</v>
      </c>
      <c r="B14" s="249">
        <f>'[11]CoS 2017 Load History'!L52</f>
        <v>28520683.069999959</v>
      </c>
      <c r="C14" s="269">
        <f>'Weather Data'!B110</f>
        <v>817.1</v>
      </c>
      <c r="D14" s="269">
        <f>'Weather Data'!C110</f>
        <v>0</v>
      </c>
      <c r="E14" s="256">
        <v>31</v>
      </c>
      <c r="F14" s="256">
        <v>0</v>
      </c>
      <c r="G14" s="256">
        <v>0</v>
      </c>
      <c r="H14" s="256">
        <v>336.28800000000001</v>
      </c>
      <c r="I14" s="257">
        <v>112.68781302170287</v>
      </c>
      <c r="J14" s="272">
        <f>'[11]CoS 2017 Load History'!O52</f>
        <v>333</v>
      </c>
      <c r="K14" s="256"/>
      <c r="L14" s="18"/>
      <c r="M14" s="33"/>
      <c r="N14"/>
      <c r="O14"/>
      <c r="P14"/>
      <c r="Q14"/>
      <c r="R14"/>
      <c r="S14"/>
      <c r="T14"/>
      <c r="U14"/>
      <c r="V14"/>
      <c r="W14"/>
      <c r="X14"/>
      <c r="Y14"/>
      <c r="Z14"/>
      <c r="AA14"/>
      <c r="AB14"/>
    </row>
    <row r="15" spans="1:28" s="35" customFormat="1" hidden="1">
      <c r="A15" s="254">
        <v>36526</v>
      </c>
      <c r="B15" s="249">
        <f>'[11]CoS 2017 Load History'!L53</f>
        <v>30116382.980000038</v>
      </c>
      <c r="C15" s="269">
        <f>'Weather Data'!B111</f>
        <v>963.5</v>
      </c>
      <c r="D15" s="269">
        <f>'Weather Data'!C111</f>
        <v>0</v>
      </c>
      <c r="E15" s="256">
        <v>31</v>
      </c>
      <c r="F15" s="256">
        <v>0</v>
      </c>
      <c r="G15" s="256">
        <v>0</v>
      </c>
      <c r="H15" s="256">
        <v>319.92</v>
      </c>
      <c r="I15" s="257">
        <v>113.20550742744629</v>
      </c>
      <c r="J15" s="272">
        <f>'[11]CoS 2017 Load History'!O53</f>
        <v>647</v>
      </c>
      <c r="K15" s="256"/>
      <c r="L15" s="18"/>
      <c r="M15" s="33"/>
      <c r="N15"/>
      <c r="O15"/>
      <c r="P15"/>
      <c r="Q15"/>
      <c r="R15"/>
      <c r="S15"/>
      <c r="T15"/>
      <c r="U15"/>
      <c r="V15"/>
      <c r="W15"/>
      <c r="X15"/>
      <c r="Y15"/>
      <c r="Z15"/>
      <c r="AA15"/>
      <c r="AB15"/>
    </row>
    <row r="16" spans="1:28" s="35" customFormat="1" hidden="1">
      <c r="A16" s="254">
        <v>36557</v>
      </c>
      <c r="B16" s="249">
        <f>'[11]CoS 2017 Load History'!L54</f>
        <v>26672243.319999967</v>
      </c>
      <c r="C16" s="269">
        <f>'Weather Data'!B112</f>
        <v>711.5</v>
      </c>
      <c r="D16" s="269">
        <f>'Weather Data'!C112</f>
        <v>0</v>
      </c>
      <c r="E16" s="256">
        <v>29</v>
      </c>
      <c r="F16" s="256">
        <v>0</v>
      </c>
      <c r="G16" s="256">
        <v>0</v>
      </c>
      <c r="H16" s="256">
        <v>336.16799999999995</v>
      </c>
      <c r="I16" s="257">
        <v>113.72558015157706</v>
      </c>
      <c r="J16" s="272">
        <f>'[11]CoS 2017 Load History'!O54</f>
        <v>601</v>
      </c>
      <c r="K16" s="256"/>
      <c r="L16" s="18"/>
      <c r="M16" s="33"/>
      <c r="N16"/>
      <c r="O16"/>
      <c r="P16"/>
      <c r="Q16"/>
      <c r="R16"/>
      <c r="S16"/>
      <c r="T16"/>
      <c r="U16"/>
      <c r="V16"/>
      <c r="W16"/>
      <c r="X16"/>
      <c r="Y16"/>
      <c r="Z16"/>
      <c r="AA16"/>
      <c r="AB16"/>
    </row>
    <row r="17" spans="1:28" s="35" customFormat="1" hidden="1">
      <c r="A17" s="254">
        <v>36586</v>
      </c>
      <c r="B17" s="249">
        <f>'[11]CoS 2017 Load History'!L55</f>
        <v>25141921.97000001</v>
      </c>
      <c r="C17" s="269">
        <f>'Weather Data'!B113</f>
        <v>574.6</v>
      </c>
      <c r="D17" s="269">
        <f>'Weather Data'!C113</f>
        <v>0</v>
      </c>
      <c r="E17" s="256">
        <v>31</v>
      </c>
      <c r="F17" s="256">
        <v>1</v>
      </c>
      <c r="G17" s="256">
        <v>0</v>
      </c>
      <c r="H17" s="256">
        <v>368.28</v>
      </c>
      <c r="I17" s="257">
        <v>114.24804212022897</v>
      </c>
      <c r="J17" s="272">
        <f>'[11]CoS 2017 Load History'!O55</f>
        <v>562</v>
      </c>
      <c r="K17" s="256"/>
      <c r="L17" s="18"/>
      <c r="M17" s="33"/>
      <c r="N17"/>
      <c r="O17"/>
      <c r="P17"/>
      <c r="Q17"/>
      <c r="R17"/>
      <c r="S17"/>
      <c r="T17"/>
      <c r="U17"/>
      <c r="V17"/>
      <c r="W17"/>
      <c r="X17"/>
      <c r="Y17"/>
      <c r="Z17"/>
      <c r="AA17"/>
      <c r="AB17"/>
    </row>
    <row r="18" spans="1:28" s="35" customFormat="1" ht="15" hidden="1" customHeight="1">
      <c r="A18" s="254">
        <v>36617</v>
      </c>
      <c r="B18" s="249">
        <f>'[11]CoS 2017 Load History'!L56</f>
        <v>22143191.730000012</v>
      </c>
      <c r="C18" s="269">
        <f>'Weather Data'!B114</f>
        <v>485.6</v>
      </c>
      <c r="D18" s="269">
        <f>'Weather Data'!C114</f>
        <v>0</v>
      </c>
      <c r="E18" s="256">
        <v>30</v>
      </c>
      <c r="F18" s="256">
        <v>1</v>
      </c>
      <c r="G18" s="256">
        <v>0</v>
      </c>
      <c r="H18" s="256">
        <v>303.83999999999997</v>
      </c>
      <c r="I18" s="257">
        <v>114.77290430973115</v>
      </c>
      <c r="J18" s="272">
        <f>'[11]CoS 2017 Load History'!O56</f>
        <v>517</v>
      </c>
      <c r="K18" s="256"/>
      <c r="L18" s="18"/>
      <c r="M18" s="33"/>
      <c r="N18"/>
      <c r="O18"/>
      <c r="P18"/>
      <c r="Q18"/>
      <c r="R18"/>
      <c r="S18"/>
      <c r="T18"/>
      <c r="U18"/>
      <c r="V18"/>
      <c r="W18"/>
      <c r="X18"/>
      <c r="Y18"/>
      <c r="Z18"/>
      <c r="AA18"/>
      <c r="AB18"/>
    </row>
    <row r="19" spans="1:28" s="35" customFormat="1" hidden="1">
      <c r="A19" s="254">
        <v>36647</v>
      </c>
      <c r="B19" s="249">
        <f>'[11]CoS 2017 Load History'!L57</f>
        <v>20987165.360000011</v>
      </c>
      <c r="C19" s="269">
        <f>'Weather Data'!B115</f>
        <v>260.5</v>
      </c>
      <c r="D19" s="269">
        <f>'Weather Data'!C115</f>
        <v>0</v>
      </c>
      <c r="E19" s="256">
        <v>31</v>
      </c>
      <c r="F19" s="256">
        <v>1</v>
      </c>
      <c r="G19" s="256">
        <v>0</v>
      </c>
      <c r="H19" s="256">
        <v>351.91199999999998</v>
      </c>
      <c r="I19" s="257">
        <v>115.30017774683859</v>
      </c>
      <c r="J19" s="272">
        <f>'[11]CoS 2017 Load History'!O57</f>
        <v>497</v>
      </c>
      <c r="K19" s="256"/>
      <c r="L19" s="18"/>
      <c r="M19" s="33"/>
      <c r="N19"/>
      <c r="O19"/>
      <c r="P19"/>
      <c r="Q19"/>
      <c r="R19"/>
      <c r="S19"/>
      <c r="T19"/>
      <c r="U19"/>
      <c r="V19"/>
      <c r="W19"/>
      <c r="X19"/>
      <c r="Y19"/>
      <c r="Z19"/>
      <c r="AA19"/>
      <c r="AB19"/>
    </row>
    <row r="20" spans="1:28" s="35" customFormat="1" hidden="1">
      <c r="A20" s="254">
        <v>36678</v>
      </c>
      <c r="B20" s="249">
        <f>'[11]CoS 2017 Load History'!L58</f>
        <v>19836289.700000007</v>
      </c>
      <c r="C20" s="269">
        <f>'Weather Data'!B116</f>
        <v>155.69999999999999</v>
      </c>
      <c r="D20" s="269">
        <f>'Weather Data'!C116</f>
        <v>2.2999999999999998</v>
      </c>
      <c r="E20" s="256">
        <v>30</v>
      </c>
      <c r="F20" s="256">
        <v>0</v>
      </c>
      <c r="G20" s="256">
        <v>0</v>
      </c>
      <c r="H20" s="256">
        <v>352.08</v>
      </c>
      <c r="I20" s="257">
        <v>115.82987350896386</v>
      </c>
      <c r="J20" s="272">
        <f>'[11]CoS 2017 Load History'!O58</f>
        <v>452</v>
      </c>
      <c r="K20" s="256"/>
      <c r="L20" s="18"/>
      <c r="M20" s="33"/>
      <c r="N20"/>
      <c r="O20"/>
      <c r="P20"/>
      <c r="Q20"/>
      <c r="R20"/>
      <c r="S20"/>
      <c r="T20"/>
      <c r="U20"/>
      <c r="V20"/>
      <c r="W20"/>
      <c r="X20"/>
      <c r="Y20"/>
      <c r="Z20"/>
      <c r="AA20"/>
      <c r="AB20"/>
    </row>
    <row r="21" spans="1:28" s="35" customFormat="1" hidden="1">
      <c r="A21" s="254">
        <v>36708</v>
      </c>
      <c r="B21" s="249">
        <f>'[11]CoS 2017 Load History'!L59</f>
        <v>21238166.920000013</v>
      </c>
      <c r="C21" s="269">
        <f>'Weather Data'!B117</f>
        <v>55.7</v>
      </c>
      <c r="D21" s="269">
        <f>'Weather Data'!C117</f>
        <v>20.8</v>
      </c>
      <c r="E21" s="256">
        <v>31</v>
      </c>
      <c r="F21" s="256">
        <v>0</v>
      </c>
      <c r="G21" s="256">
        <v>0</v>
      </c>
      <c r="H21" s="256">
        <v>319.92</v>
      </c>
      <c r="I21" s="257">
        <v>116.36200272440982</v>
      </c>
      <c r="J21" s="272">
        <f>'[11]CoS 2017 Load History'!O59</f>
        <v>431</v>
      </c>
      <c r="K21" s="256"/>
      <c r="L21" s="18"/>
      <c r="M21" s="33"/>
      <c r="N21"/>
      <c r="O21"/>
      <c r="P21"/>
      <c r="Q21"/>
      <c r="R21"/>
      <c r="S21"/>
      <c r="T21"/>
      <c r="U21"/>
      <c r="V21"/>
      <c r="W21"/>
      <c r="X21"/>
      <c r="Y21"/>
      <c r="Z21"/>
      <c r="AA21"/>
      <c r="AB21"/>
    </row>
    <row r="22" spans="1:28" s="35" customFormat="1" hidden="1">
      <c r="A22" s="254">
        <v>36739</v>
      </c>
      <c r="B22" s="249">
        <f>'[11]CoS 2017 Load History'!L60</f>
        <v>21418208.409999985</v>
      </c>
      <c r="C22" s="269">
        <f>'Weather Data'!B118</f>
        <v>63.4</v>
      </c>
      <c r="D22" s="269">
        <f>'Weather Data'!C118</f>
        <v>9.8000000000000007</v>
      </c>
      <c r="E22" s="256">
        <v>31</v>
      </c>
      <c r="F22" s="256">
        <v>0</v>
      </c>
      <c r="G22" s="256">
        <v>0</v>
      </c>
      <c r="H22" s="256">
        <v>351.91199999999998</v>
      </c>
      <c r="I22" s="257">
        <v>116.89657657260338</v>
      </c>
      <c r="J22" s="272">
        <f>'[11]CoS 2017 Load History'!O60</f>
        <v>429</v>
      </c>
      <c r="K22" s="256"/>
      <c r="L22" s="18"/>
      <c r="M22" s="33"/>
      <c r="N22"/>
      <c r="O22"/>
      <c r="P22"/>
      <c r="Q22"/>
      <c r="R22"/>
      <c r="S22"/>
      <c r="T22"/>
      <c r="U22"/>
      <c r="V22"/>
      <c r="W22"/>
      <c r="X22"/>
      <c r="Y22"/>
      <c r="Z22"/>
      <c r="AA22"/>
      <c r="AB22"/>
    </row>
    <row r="23" spans="1:28" s="35" customFormat="1" hidden="1">
      <c r="A23" s="254">
        <v>36770</v>
      </c>
      <c r="B23" s="249">
        <f>'[11]CoS 2017 Load History'!L61</f>
        <v>20859271.22000001</v>
      </c>
      <c r="C23" s="269">
        <f>'Weather Data'!B119</f>
        <v>223.3</v>
      </c>
      <c r="D23" s="269">
        <f>'Weather Data'!C119</f>
        <v>0</v>
      </c>
      <c r="E23" s="256">
        <v>30</v>
      </c>
      <c r="F23" s="256">
        <v>1</v>
      </c>
      <c r="G23" s="256">
        <v>0</v>
      </c>
      <c r="H23" s="256">
        <v>319.68</v>
      </c>
      <c r="I23" s="257">
        <v>117.43360628433041</v>
      </c>
      <c r="J23" s="272">
        <f>'[11]CoS 2017 Load History'!O61</f>
        <v>428</v>
      </c>
      <c r="K23" s="256"/>
      <c r="L23" s="18"/>
      <c r="M23" s="33"/>
      <c r="N23"/>
      <c r="O23"/>
      <c r="P23"/>
      <c r="Q23"/>
      <c r="R23"/>
      <c r="S23"/>
      <c r="T23"/>
      <c r="U23"/>
      <c r="V23"/>
      <c r="W23"/>
      <c r="X23"/>
      <c r="Y23"/>
      <c r="Z23"/>
      <c r="AA23"/>
      <c r="AB23"/>
    </row>
    <row r="24" spans="1:28" s="35" customFormat="1" hidden="1">
      <c r="A24" s="254">
        <v>36800</v>
      </c>
      <c r="B24" s="249">
        <f>'[11]CoS 2017 Load History'!L62</f>
        <v>22319549.140000019</v>
      </c>
      <c r="C24" s="269">
        <f>'Weather Data'!B120</f>
        <v>372.2</v>
      </c>
      <c r="D24" s="269">
        <f>'Weather Data'!C120</f>
        <v>0</v>
      </c>
      <c r="E24" s="256">
        <v>31</v>
      </c>
      <c r="F24" s="256">
        <v>1</v>
      </c>
      <c r="G24" s="256">
        <v>0</v>
      </c>
      <c r="H24" s="256">
        <v>336.28800000000001</v>
      </c>
      <c r="I24" s="257">
        <v>117.97310314197166</v>
      </c>
      <c r="J24" s="272">
        <f>'[11]CoS 2017 Load History'!O62</f>
        <v>434</v>
      </c>
      <c r="K24" s="256"/>
      <c r="L24" s="18"/>
      <c r="M24" s="33"/>
      <c r="N24"/>
      <c r="O24"/>
      <c r="P24"/>
      <c r="Q24"/>
      <c r="R24"/>
      <c r="S24"/>
      <c r="T24"/>
      <c r="U24"/>
      <c r="V24"/>
      <c r="W24"/>
      <c r="X24"/>
      <c r="Y24"/>
      <c r="Z24"/>
      <c r="AA24"/>
      <c r="AB24"/>
    </row>
    <row r="25" spans="1:28" s="35" customFormat="1" hidden="1">
      <c r="A25" s="254">
        <v>36831</v>
      </c>
      <c r="B25" s="249">
        <f>'[11]CoS 2017 Load History'!L63</f>
        <v>24898434.920000006</v>
      </c>
      <c r="C25" s="269">
        <f>'Weather Data'!B121</f>
        <v>561.6</v>
      </c>
      <c r="D25" s="269">
        <f>'Weather Data'!C121</f>
        <v>0</v>
      </c>
      <c r="E25" s="256">
        <v>30</v>
      </c>
      <c r="F25" s="256">
        <v>1</v>
      </c>
      <c r="G25" s="256">
        <v>0</v>
      </c>
      <c r="H25" s="256">
        <v>352.08</v>
      </c>
      <c r="I25" s="257">
        <v>118.51507847973981</v>
      </c>
      <c r="J25" s="272">
        <f>'[11]CoS 2017 Load History'!O63</f>
        <v>438</v>
      </c>
      <c r="K25" s="256"/>
      <c r="L25" s="18"/>
      <c r="M25" s="33"/>
      <c r="N25"/>
      <c r="O25"/>
      <c r="P25"/>
      <c r="Q25"/>
      <c r="R25"/>
      <c r="S25"/>
      <c r="T25"/>
      <c r="U25"/>
      <c r="V25"/>
      <c r="W25"/>
      <c r="X25"/>
      <c r="Y25"/>
      <c r="Z25"/>
      <c r="AA25"/>
      <c r="AB25"/>
    </row>
    <row r="26" spans="1:28" s="35" customFormat="1" hidden="1">
      <c r="A26" s="254">
        <v>36861</v>
      </c>
      <c r="B26" s="249">
        <f>'[11]CoS 2017 Load History'!L64</f>
        <v>29608811.340000007</v>
      </c>
      <c r="C26" s="269">
        <f>'Weather Data'!B122</f>
        <v>1041.3</v>
      </c>
      <c r="D26" s="269">
        <f>'Weather Data'!C122</f>
        <v>0</v>
      </c>
      <c r="E26" s="256">
        <v>31</v>
      </c>
      <c r="F26" s="256">
        <v>0</v>
      </c>
      <c r="G26" s="256">
        <v>0</v>
      </c>
      <c r="H26" s="256">
        <v>304.29599999999999</v>
      </c>
      <c r="I26" s="257">
        <v>119.05954368391765</v>
      </c>
      <c r="J26" s="272">
        <f>'[11]CoS 2017 Load History'!O64</f>
        <v>439</v>
      </c>
      <c r="K26" s="256"/>
      <c r="L26" s="18"/>
      <c r="M26" s="33"/>
      <c r="N26"/>
      <c r="O26"/>
      <c r="P26"/>
      <c r="Q26"/>
      <c r="R26"/>
      <c r="S26"/>
      <c r="T26"/>
      <c r="U26"/>
      <c r="V26"/>
      <c r="W26"/>
      <c r="X26"/>
      <c r="Y26"/>
      <c r="Z26"/>
      <c r="AA26"/>
      <c r="AB26"/>
    </row>
    <row r="27" spans="1:28" s="35" customFormat="1" hidden="1">
      <c r="A27" s="254">
        <v>36892</v>
      </c>
      <c r="B27" s="249">
        <f>'[11]CoS 2017 Load History'!L65</f>
        <v>29257179.950000018</v>
      </c>
      <c r="C27" s="269">
        <f>'Weather Data'!B123</f>
        <v>898.8</v>
      </c>
      <c r="D27" s="269">
        <f>'Weather Data'!C123</f>
        <v>0</v>
      </c>
      <c r="E27" s="256">
        <v>31</v>
      </c>
      <c r="F27" s="256">
        <v>0</v>
      </c>
      <c r="G27" s="256">
        <v>0</v>
      </c>
      <c r="H27" s="256">
        <v>351.91199999999998</v>
      </c>
      <c r="I27" s="257">
        <v>119.23206305749976</v>
      </c>
      <c r="J27" s="272">
        <f>'[11]CoS 2017 Load History'!O65</f>
        <v>473</v>
      </c>
      <c r="K27" s="256"/>
      <c r="L27" s="18"/>
      <c r="M27" s="33"/>
      <c r="N27"/>
      <c r="O27"/>
      <c r="P27"/>
      <c r="Q27"/>
      <c r="R27"/>
      <c r="S27"/>
      <c r="T27"/>
      <c r="U27"/>
      <c r="V27"/>
      <c r="W27"/>
      <c r="X27"/>
      <c r="Y27"/>
      <c r="Z27"/>
      <c r="AA27"/>
      <c r="AB27"/>
    </row>
    <row r="28" spans="1:28" s="35" customFormat="1" hidden="1">
      <c r="A28" s="254">
        <v>36925</v>
      </c>
      <c r="B28" s="249">
        <f>'[11]CoS 2017 Load History'!L66</f>
        <v>27178450.539999988</v>
      </c>
      <c r="C28" s="269">
        <f>'Weather Data'!B124</f>
        <v>918.9</v>
      </c>
      <c r="D28" s="269">
        <f>'Weather Data'!C124</f>
        <v>0</v>
      </c>
      <c r="E28" s="256">
        <v>28</v>
      </c>
      <c r="F28" s="256">
        <v>0</v>
      </c>
      <c r="G28" s="256">
        <v>0</v>
      </c>
      <c r="H28" s="256">
        <v>319.87200000000001</v>
      </c>
      <c r="I28" s="257">
        <v>119.40483241468957</v>
      </c>
      <c r="J28" s="272">
        <f>'[11]CoS 2017 Load History'!O66</f>
        <v>477</v>
      </c>
      <c r="K28" s="256"/>
      <c r="L28" s="18"/>
      <c r="M28" s="33"/>
      <c r="N28"/>
      <c r="O28"/>
      <c r="P28"/>
      <c r="Q28"/>
      <c r="R28"/>
      <c r="S28"/>
      <c r="T28"/>
      <c r="U28"/>
      <c r="V28"/>
      <c r="W28"/>
      <c r="X28"/>
      <c r="Y28"/>
      <c r="Z28"/>
      <c r="AA28"/>
      <c r="AB28"/>
    </row>
    <row r="29" spans="1:28" s="35" customFormat="1" hidden="1">
      <c r="A29" s="254">
        <v>36958</v>
      </c>
      <c r="B29" s="249">
        <f>'[11]CoS 2017 Load History'!L67</f>
        <v>26804323.800000008</v>
      </c>
      <c r="C29" s="269">
        <f>'Weather Data'!B125</f>
        <v>702.7</v>
      </c>
      <c r="D29" s="269">
        <f>'Weather Data'!C125</f>
        <v>0</v>
      </c>
      <c r="E29" s="256">
        <v>31</v>
      </c>
      <c r="F29" s="256">
        <v>1</v>
      </c>
      <c r="G29" s="256">
        <v>0</v>
      </c>
      <c r="H29" s="256">
        <v>351.91199999999998</v>
      </c>
      <c r="I29" s="257">
        <v>119.57785211771773</v>
      </c>
      <c r="J29" s="272">
        <f>'[11]CoS 2017 Load History'!O67</f>
        <v>476</v>
      </c>
      <c r="K29" s="256"/>
      <c r="L29" s="18"/>
      <c r="M29" s="33"/>
      <c r="N29"/>
      <c r="O29"/>
      <c r="P29"/>
      <c r="Q29"/>
      <c r="R29"/>
      <c r="S29"/>
      <c r="T29"/>
      <c r="U29"/>
      <c r="V29"/>
      <c r="W29"/>
      <c r="X29"/>
      <c r="Y29"/>
      <c r="Z29"/>
      <c r="AA29"/>
      <c r="AB29"/>
    </row>
    <row r="30" spans="1:28" s="35" customFormat="1" hidden="1">
      <c r="A30" s="254">
        <v>36991</v>
      </c>
      <c r="B30" s="249">
        <f>'[11]CoS 2017 Load History'!L68</f>
        <v>22932702.839999989</v>
      </c>
      <c r="C30" s="269">
        <f>'Weather Data'!B126</f>
        <v>430.7</v>
      </c>
      <c r="D30" s="269">
        <f>'Weather Data'!C126</f>
        <v>0</v>
      </c>
      <c r="E30" s="256">
        <v>30</v>
      </c>
      <c r="F30" s="256">
        <v>1</v>
      </c>
      <c r="G30" s="256">
        <v>0</v>
      </c>
      <c r="H30" s="256">
        <v>319.68</v>
      </c>
      <c r="I30" s="257">
        <v>119.75112252933975</v>
      </c>
      <c r="J30" s="272">
        <f>'[11]CoS 2017 Load History'!O68</f>
        <v>474</v>
      </c>
      <c r="K30" s="256"/>
      <c r="L30" s="18"/>
      <c r="M30" s="33"/>
      <c r="N30"/>
      <c r="O30"/>
      <c r="P30"/>
      <c r="Q30"/>
      <c r="R30"/>
      <c r="S30"/>
      <c r="T30"/>
      <c r="U30"/>
      <c r="V30"/>
      <c r="W30"/>
      <c r="X30"/>
      <c r="Y30"/>
      <c r="Z30"/>
      <c r="AA30"/>
      <c r="AB30"/>
    </row>
    <row r="31" spans="1:28" s="35" customFormat="1" hidden="1">
      <c r="A31" s="254">
        <v>37024</v>
      </c>
      <c r="B31" s="249">
        <f>'[11]CoS 2017 Load History'!L69</f>
        <v>21898868.649999999</v>
      </c>
      <c r="C31" s="269">
        <f>'Weather Data'!B127</f>
        <v>239.9</v>
      </c>
      <c r="D31" s="269">
        <f>'Weather Data'!C127</f>
        <v>0</v>
      </c>
      <c r="E31" s="256">
        <v>31</v>
      </c>
      <c r="F31" s="256">
        <v>1</v>
      </c>
      <c r="G31" s="256">
        <v>0</v>
      </c>
      <c r="H31" s="256">
        <v>351.91199999999998</v>
      </c>
      <c r="I31" s="257">
        <v>119.92464401283681</v>
      </c>
      <c r="J31" s="272">
        <f>'[11]CoS 2017 Load History'!O69</f>
        <v>476</v>
      </c>
      <c r="K31" s="256"/>
      <c r="L31" s="18"/>
      <c r="M31" s="33"/>
      <c r="N31"/>
      <c r="O31"/>
      <c r="P31"/>
      <c r="Q31"/>
      <c r="R31"/>
      <c r="S31"/>
      <c r="T31"/>
      <c r="U31"/>
      <c r="V31"/>
      <c r="W31"/>
      <c r="X31"/>
      <c r="Y31"/>
      <c r="Z31"/>
      <c r="AA31"/>
      <c r="AB31"/>
    </row>
    <row r="32" spans="1:28" s="35" customFormat="1" hidden="1">
      <c r="A32" s="254">
        <v>37057</v>
      </c>
      <c r="B32" s="249">
        <f>'[11]CoS 2017 Load History'!L70</f>
        <v>21021876.090000004</v>
      </c>
      <c r="C32" s="269">
        <f>'Weather Data'!B128</f>
        <v>114</v>
      </c>
      <c r="D32" s="269">
        <f>'Weather Data'!C128</f>
        <v>15.2</v>
      </c>
      <c r="E32" s="256">
        <v>30</v>
      </c>
      <c r="F32" s="256">
        <v>0</v>
      </c>
      <c r="G32" s="256">
        <v>0</v>
      </c>
      <c r="H32" s="256">
        <v>336.24</v>
      </c>
      <c r="I32" s="257">
        <v>120.09841693201646</v>
      </c>
      <c r="J32" s="272">
        <f>'[11]CoS 2017 Load History'!O70</f>
        <v>477</v>
      </c>
      <c r="K32" s="256"/>
      <c r="L32" s="18"/>
      <c r="M32" s="33"/>
      <c r="N32"/>
      <c r="O32"/>
      <c r="P32"/>
      <c r="Q32"/>
      <c r="R32"/>
      <c r="S32"/>
      <c r="T32"/>
      <c r="U32"/>
      <c r="V32"/>
      <c r="W32"/>
      <c r="X32"/>
      <c r="Y32"/>
      <c r="Z32"/>
      <c r="AA32"/>
      <c r="AB32"/>
    </row>
    <row r="33" spans="1:28" s="35" customFormat="1" hidden="1">
      <c r="A33" s="254">
        <v>37090</v>
      </c>
      <c r="B33" s="249">
        <f>'[11]CoS 2017 Load History'!L71</f>
        <v>21695834.309999999</v>
      </c>
      <c r="C33" s="269">
        <f>'Weather Data'!B129</f>
        <v>67.2</v>
      </c>
      <c r="D33" s="269">
        <f>'Weather Data'!C129</f>
        <v>29.7</v>
      </c>
      <c r="E33" s="256">
        <v>31</v>
      </c>
      <c r="F33" s="256">
        <v>0</v>
      </c>
      <c r="G33" s="256">
        <v>0</v>
      </c>
      <c r="H33" s="256">
        <v>336.28800000000001</v>
      </c>
      <c r="I33" s="257">
        <v>120.27244165121344</v>
      </c>
      <c r="J33" s="272">
        <f>'[11]CoS 2017 Load History'!O71</f>
        <v>476</v>
      </c>
      <c r="K33" s="256"/>
      <c r="L33" s="18"/>
      <c r="M33" s="33"/>
      <c r="N33"/>
      <c r="O33"/>
      <c r="P33"/>
      <c r="Q33"/>
      <c r="R33"/>
      <c r="S33"/>
      <c r="T33"/>
      <c r="U33"/>
      <c r="V33"/>
      <c r="W33"/>
      <c r="X33"/>
      <c r="Y33"/>
      <c r="Z33"/>
      <c r="AA33"/>
      <c r="AB33"/>
    </row>
    <row r="34" spans="1:28" s="35" customFormat="1" hidden="1">
      <c r="A34" s="254">
        <v>37123</v>
      </c>
      <c r="B34" s="249">
        <f>'[11]CoS 2017 Load History'!L72</f>
        <v>22267606.790000003</v>
      </c>
      <c r="C34" s="269">
        <f>'Weather Data'!B130</f>
        <v>40.200000000000003</v>
      </c>
      <c r="D34" s="269">
        <f>'Weather Data'!C130</f>
        <v>56.1</v>
      </c>
      <c r="E34" s="256">
        <v>31</v>
      </c>
      <c r="F34" s="256">
        <v>0</v>
      </c>
      <c r="G34" s="256">
        <v>0</v>
      </c>
      <c r="H34" s="256">
        <v>351.91199999999998</v>
      </c>
      <c r="I34" s="257">
        <v>120.4467185352904</v>
      </c>
      <c r="J34" s="272">
        <f>'[11]CoS 2017 Load History'!O72</f>
        <v>475</v>
      </c>
      <c r="K34" s="256"/>
      <c r="L34" s="18"/>
      <c r="M34" s="33"/>
      <c r="N34"/>
      <c r="O34"/>
      <c r="P34"/>
      <c r="Q34"/>
      <c r="R34"/>
      <c r="S34"/>
      <c r="T34"/>
      <c r="U34"/>
      <c r="V34"/>
      <c r="W34"/>
      <c r="X34"/>
      <c r="Y34"/>
      <c r="Z34"/>
      <c r="AA34"/>
      <c r="AB34"/>
    </row>
    <row r="35" spans="1:28" s="35" customFormat="1" hidden="1">
      <c r="A35" s="254">
        <v>37156</v>
      </c>
      <c r="B35" s="249">
        <f>'[11]CoS 2017 Load History'!L73</f>
        <v>20970044.239999998</v>
      </c>
      <c r="C35" s="269">
        <f>'Weather Data'!B131</f>
        <v>187.7</v>
      </c>
      <c r="D35" s="269">
        <f>'Weather Data'!C131</f>
        <v>6.8</v>
      </c>
      <c r="E35" s="256">
        <v>30</v>
      </c>
      <c r="F35" s="256">
        <v>1</v>
      </c>
      <c r="G35" s="256">
        <v>0</v>
      </c>
      <c r="H35" s="256">
        <v>303.83999999999997</v>
      </c>
      <c r="I35" s="257">
        <v>120.62124794963869</v>
      </c>
      <c r="J35" s="272">
        <f>'[11]CoS 2017 Load History'!O73</f>
        <v>474</v>
      </c>
      <c r="K35" s="256"/>
      <c r="L35" s="18"/>
      <c r="M35" s="33"/>
      <c r="N35"/>
      <c r="O35"/>
      <c r="P35"/>
      <c r="Q35"/>
      <c r="R35"/>
      <c r="S35"/>
      <c r="T35"/>
      <c r="U35"/>
      <c r="V35"/>
      <c r="W35"/>
      <c r="X35"/>
      <c r="Y35"/>
      <c r="Z35"/>
      <c r="AA35"/>
      <c r="AB35"/>
    </row>
    <row r="36" spans="1:28" s="35" customFormat="1" hidden="1">
      <c r="A36" s="254">
        <v>37189</v>
      </c>
      <c r="B36" s="249">
        <f>'[11]CoS 2017 Load History'!L74</f>
        <v>22726743.390000008</v>
      </c>
      <c r="C36" s="269">
        <f>'Weather Data'!B132</f>
        <v>408.6</v>
      </c>
      <c r="D36" s="269">
        <f>'Weather Data'!C132</f>
        <v>0</v>
      </c>
      <c r="E36" s="256">
        <v>31</v>
      </c>
      <c r="F36" s="256">
        <v>1</v>
      </c>
      <c r="G36" s="256">
        <v>0</v>
      </c>
      <c r="H36" s="256">
        <v>351.91199999999998</v>
      </c>
      <c r="I36" s="257">
        <v>120.79603026017911</v>
      </c>
      <c r="J36" s="272">
        <f>'[11]CoS 2017 Load History'!O74</f>
        <v>476</v>
      </c>
      <c r="K36" s="256"/>
      <c r="L36" s="18"/>
      <c r="M36" s="33"/>
      <c r="N36"/>
      <c r="O36"/>
      <c r="P36"/>
      <c r="Q36"/>
      <c r="R36"/>
      <c r="S36"/>
      <c r="T36"/>
      <c r="U36"/>
      <c r="V36"/>
      <c r="W36"/>
      <c r="X36"/>
      <c r="Y36"/>
      <c r="Z36"/>
      <c r="AA36"/>
      <c r="AB36"/>
    </row>
    <row r="37" spans="1:28" s="35" customFormat="1" hidden="1">
      <c r="A37" s="254">
        <v>37222</v>
      </c>
      <c r="B37" s="249">
        <f>'[11]CoS 2017 Load History'!L75</f>
        <v>23917781.749999996</v>
      </c>
      <c r="C37" s="269">
        <f>'Weather Data'!B133</f>
        <v>458.8</v>
      </c>
      <c r="D37" s="269">
        <f>'Weather Data'!C133</f>
        <v>0</v>
      </c>
      <c r="E37" s="256">
        <v>30</v>
      </c>
      <c r="F37" s="256">
        <v>1</v>
      </c>
      <c r="G37" s="256">
        <v>0</v>
      </c>
      <c r="H37" s="256">
        <v>352.08</v>
      </c>
      <c r="I37" s="257">
        <v>120.9710658333627</v>
      </c>
      <c r="J37" s="272">
        <f>'[11]CoS 2017 Load History'!O75</f>
        <v>478</v>
      </c>
      <c r="K37" s="256"/>
      <c r="L37" s="18"/>
      <c r="M37" s="33"/>
      <c r="N37"/>
      <c r="O37"/>
      <c r="P37"/>
      <c r="Q37"/>
      <c r="R37"/>
      <c r="S37"/>
      <c r="T37"/>
      <c r="U37"/>
      <c r="V37"/>
      <c r="W37"/>
      <c r="X37"/>
      <c r="Y37"/>
      <c r="Z37"/>
      <c r="AA37"/>
      <c r="AB37"/>
    </row>
    <row r="38" spans="1:28" s="35" customFormat="1" hidden="1">
      <c r="A38" s="254">
        <v>37255</v>
      </c>
      <c r="B38" s="249">
        <f>'[11]CoS 2017 Load History'!L76</f>
        <v>26175856.450000007</v>
      </c>
      <c r="C38" s="269">
        <f>'Weather Data'!B134</f>
        <v>716.4</v>
      </c>
      <c r="D38" s="269">
        <f>'Weather Data'!C134</f>
        <v>0</v>
      </c>
      <c r="E38" s="256">
        <v>31</v>
      </c>
      <c r="F38" s="256">
        <v>0</v>
      </c>
      <c r="G38" s="256">
        <v>0</v>
      </c>
      <c r="H38" s="256">
        <v>304.29599999999999</v>
      </c>
      <c r="I38" s="257">
        <v>121.1463550361714</v>
      </c>
      <c r="J38" s="272">
        <f>'[11]CoS 2017 Load History'!O76</f>
        <v>477</v>
      </c>
      <c r="K38" s="256"/>
      <c r="L38" s="18"/>
      <c r="M38" s="33"/>
      <c r="N38"/>
      <c r="O38"/>
      <c r="P38"/>
      <c r="Q38"/>
      <c r="R38"/>
      <c r="S38"/>
      <c r="T38"/>
      <c r="U38"/>
      <c r="V38"/>
      <c r="W38"/>
      <c r="X38"/>
      <c r="Y38"/>
      <c r="Z38"/>
      <c r="AA38"/>
      <c r="AB38"/>
    </row>
    <row r="39" spans="1:28" s="35" customFormat="1" hidden="1">
      <c r="A39" s="258">
        <v>37275</v>
      </c>
      <c r="B39" s="249">
        <f>'[11]CoS 2017 Load History'!L77</f>
        <v>28530794.519999996</v>
      </c>
      <c r="C39" s="269">
        <f>'Weather Data'!B135</f>
        <v>873.9</v>
      </c>
      <c r="D39" s="269">
        <f>'Weather Data'!C135</f>
        <v>0</v>
      </c>
      <c r="E39" s="256">
        <v>31</v>
      </c>
      <c r="F39" s="256">
        <v>0</v>
      </c>
      <c r="G39" s="256">
        <v>0</v>
      </c>
      <c r="H39" s="256">
        <v>351.91199999999998</v>
      </c>
      <c r="I39" s="257">
        <v>121.50450639216388</v>
      </c>
      <c r="J39" s="272">
        <f>'[11]CoS 2017 Load History'!O77</f>
        <v>477</v>
      </c>
      <c r="K39" s="256"/>
      <c r="L39" s="18"/>
      <c r="M39" s="33"/>
      <c r="N39"/>
      <c r="O39"/>
      <c r="P39"/>
      <c r="Q39"/>
      <c r="R39"/>
      <c r="S39"/>
      <c r="T39"/>
      <c r="U39"/>
      <c r="V39"/>
      <c r="W39"/>
      <c r="X39"/>
      <c r="Y39"/>
      <c r="Z39"/>
      <c r="AA39"/>
      <c r="AB39"/>
    </row>
    <row r="40" spans="1:28" s="35" customFormat="1" hidden="1">
      <c r="A40" s="254">
        <v>37308</v>
      </c>
      <c r="B40" s="249">
        <f>'[11]CoS 2017 Load History'!L78</f>
        <v>26198686.230000004</v>
      </c>
      <c r="C40" s="269">
        <f>'Weather Data'!B136</f>
        <v>733</v>
      </c>
      <c r="D40" s="269">
        <f>'Weather Data'!C136</f>
        <v>0</v>
      </c>
      <c r="E40" s="256">
        <v>28</v>
      </c>
      <c r="F40" s="256">
        <v>0</v>
      </c>
      <c r="G40" s="256">
        <v>0</v>
      </c>
      <c r="H40" s="256">
        <v>319.87200000000001</v>
      </c>
      <c r="I40" s="257">
        <v>121.86371656989111</v>
      </c>
      <c r="J40" s="272">
        <f>'[11]CoS 2017 Load History'!O78</f>
        <v>475</v>
      </c>
      <c r="K40" s="256"/>
      <c r="L40" s="18"/>
      <c r="M40" s="33"/>
      <c r="N40"/>
      <c r="O40"/>
      <c r="P40"/>
      <c r="Q40"/>
      <c r="R40"/>
      <c r="S40"/>
      <c r="T40"/>
      <c r="U40"/>
      <c r="V40"/>
      <c r="W40"/>
      <c r="X40"/>
      <c r="Y40"/>
      <c r="Z40"/>
      <c r="AA40"/>
      <c r="AB40"/>
    </row>
    <row r="41" spans="1:28" s="35" customFormat="1" hidden="1">
      <c r="A41" s="254">
        <v>37341</v>
      </c>
      <c r="B41" s="249">
        <f>'[11]CoS 2017 Load History'!L79</f>
        <v>27472385.659999985</v>
      </c>
      <c r="C41" s="269">
        <f>'Weather Data'!B137</f>
        <v>804.7</v>
      </c>
      <c r="D41" s="269">
        <f>'Weather Data'!C137</f>
        <v>0</v>
      </c>
      <c r="E41" s="256">
        <v>31</v>
      </c>
      <c r="F41" s="256">
        <v>1</v>
      </c>
      <c r="G41" s="256">
        <v>0</v>
      </c>
      <c r="H41" s="256">
        <v>319.92</v>
      </c>
      <c r="I41" s="257">
        <v>122.22398869960362</v>
      </c>
      <c r="J41" s="272">
        <f>'[11]CoS 2017 Load History'!O79</f>
        <v>478</v>
      </c>
      <c r="K41" s="256"/>
      <c r="L41" s="18"/>
      <c r="M41" s="33"/>
      <c r="N41"/>
      <c r="O41"/>
      <c r="P41"/>
      <c r="Q41"/>
      <c r="R41"/>
      <c r="S41"/>
      <c r="T41"/>
      <c r="U41"/>
      <c r="V41"/>
      <c r="W41"/>
      <c r="X41"/>
      <c r="Y41"/>
      <c r="Z41"/>
      <c r="AA41"/>
      <c r="AB41"/>
    </row>
    <row r="42" spans="1:28" s="35" customFormat="1" hidden="1">
      <c r="A42" s="254">
        <v>37374</v>
      </c>
      <c r="B42" s="249">
        <f>'[11]CoS 2017 Load History'!L80</f>
        <v>23674635.879999995</v>
      </c>
      <c r="C42" s="269">
        <f>'Weather Data'!B138</f>
        <v>462.3</v>
      </c>
      <c r="D42" s="269">
        <f>'Weather Data'!C138</f>
        <v>0</v>
      </c>
      <c r="E42" s="256">
        <v>30</v>
      </c>
      <c r="F42" s="256">
        <v>1</v>
      </c>
      <c r="G42" s="256">
        <v>0</v>
      </c>
      <c r="H42" s="256">
        <v>352.08</v>
      </c>
      <c r="I42" s="257">
        <v>122.58532592080604</v>
      </c>
      <c r="J42" s="272">
        <f>'[11]CoS 2017 Load History'!O80</f>
        <v>480</v>
      </c>
      <c r="K42" s="256"/>
      <c r="L42" s="18"/>
      <c r="M42" s="33"/>
      <c r="N42"/>
      <c r="O42"/>
      <c r="P42"/>
      <c r="Q42"/>
      <c r="R42"/>
      <c r="S42"/>
      <c r="T42"/>
      <c r="U42"/>
      <c r="V42"/>
      <c r="W42"/>
      <c r="X42"/>
      <c r="Y42"/>
      <c r="Z42"/>
      <c r="AA42"/>
      <c r="AB42"/>
    </row>
    <row r="43" spans="1:28" s="35" customFormat="1" hidden="1">
      <c r="A43" s="254">
        <v>37407</v>
      </c>
      <c r="B43" s="249">
        <f>'[11]CoS 2017 Load History'!L81</f>
        <v>22507067.52</v>
      </c>
      <c r="C43" s="269">
        <f>'Weather Data'!B139</f>
        <v>335</v>
      </c>
      <c r="D43" s="269">
        <f>'Weather Data'!C139</f>
        <v>0.5</v>
      </c>
      <c r="E43" s="256">
        <v>31</v>
      </c>
      <c r="F43" s="256">
        <v>1</v>
      </c>
      <c r="G43" s="256">
        <v>0</v>
      </c>
      <c r="H43" s="256">
        <v>351.91199999999998</v>
      </c>
      <c r="I43" s="257">
        <v>122.9477313822845</v>
      </c>
      <c r="J43" s="272">
        <f>'[11]CoS 2017 Load History'!O81</f>
        <v>485</v>
      </c>
      <c r="K43" s="256"/>
      <c r="L43" s="18"/>
      <c r="M43" s="33"/>
      <c r="N43"/>
      <c r="O43"/>
      <c r="P43"/>
      <c r="Q43"/>
      <c r="R43"/>
      <c r="S43"/>
      <c r="T43"/>
      <c r="U43"/>
      <c r="V43"/>
      <c r="W43"/>
      <c r="X43"/>
      <c r="Y43"/>
      <c r="Z43"/>
      <c r="AA43"/>
      <c r="AB43"/>
    </row>
    <row r="44" spans="1:28" s="35" customFormat="1" hidden="1">
      <c r="A44" s="254">
        <v>37408</v>
      </c>
      <c r="B44" s="249">
        <f>'[11]CoS 2017 Load History'!L82</f>
        <v>22085684.420000009</v>
      </c>
      <c r="C44" s="269">
        <f>'Weather Data'!B140</f>
        <v>114.4</v>
      </c>
      <c r="D44" s="269">
        <f>'Weather Data'!C140</f>
        <v>14.2</v>
      </c>
      <c r="E44" s="256">
        <v>30</v>
      </c>
      <c r="F44" s="256">
        <v>0</v>
      </c>
      <c r="G44" s="256">
        <v>0</v>
      </c>
      <c r="H44" s="256">
        <v>319.68</v>
      </c>
      <c r="I44" s="257">
        <v>123.31120824213403</v>
      </c>
      <c r="J44" s="272">
        <f>'[11]CoS 2017 Load History'!O82</f>
        <v>484</v>
      </c>
      <c r="K44" s="256"/>
      <c r="L44" s="18"/>
      <c r="M44" s="33"/>
      <c r="N44"/>
      <c r="O44"/>
      <c r="P44"/>
      <c r="Q44"/>
      <c r="R44"/>
      <c r="S44"/>
      <c r="T44"/>
      <c r="U44"/>
      <c r="V44"/>
      <c r="W44"/>
      <c r="X44"/>
      <c r="Y44"/>
      <c r="Z44"/>
      <c r="AA44"/>
      <c r="AB44"/>
    </row>
    <row r="45" spans="1:28" s="35" customFormat="1" hidden="1">
      <c r="A45" s="254">
        <v>37440</v>
      </c>
      <c r="B45" s="249">
        <f>'[11]CoS 2017 Load History'!L83</f>
        <v>23193555.539999992</v>
      </c>
      <c r="C45" s="269">
        <f>'Weather Data'!B141</f>
        <v>17.899999999999999</v>
      </c>
      <c r="D45" s="269">
        <f>'Weather Data'!C141</f>
        <v>79.3</v>
      </c>
      <c r="E45" s="256">
        <v>31</v>
      </c>
      <c r="F45" s="256">
        <v>0</v>
      </c>
      <c r="G45" s="256">
        <v>0</v>
      </c>
      <c r="H45" s="256">
        <v>351.91199999999998</v>
      </c>
      <c r="I45" s="257">
        <v>123.67575966778612</v>
      </c>
      <c r="J45" s="272">
        <f>'[11]CoS 2017 Load History'!O83</f>
        <v>478</v>
      </c>
      <c r="K45" s="256"/>
      <c r="L45" s="18"/>
      <c r="M45" s="33"/>
      <c r="N45"/>
      <c r="O45"/>
      <c r="P45"/>
      <c r="Q45"/>
      <c r="R45"/>
      <c r="S45"/>
      <c r="T45"/>
      <c r="U45"/>
      <c r="V45"/>
      <c r="W45"/>
      <c r="X45"/>
      <c r="Y45"/>
      <c r="Z45"/>
      <c r="AA45"/>
      <c r="AB45"/>
    </row>
    <row r="46" spans="1:28" s="35" customFormat="1" hidden="1">
      <c r="A46" s="254">
        <v>37473</v>
      </c>
      <c r="B46" s="249">
        <f>'[11]CoS 2017 Load History'!L84</f>
        <v>22417126.280000005</v>
      </c>
      <c r="C46" s="269">
        <f>'Weather Data'!B142</f>
        <v>49.7</v>
      </c>
      <c r="D46" s="269">
        <f>'Weather Data'!C142</f>
        <v>15.5</v>
      </c>
      <c r="E46" s="256">
        <v>31</v>
      </c>
      <c r="F46" s="256">
        <v>0</v>
      </c>
      <c r="G46" s="256">
        <v>0</v>
      </c>
      <c r="H46" s="256">
        <v>336.28800000000001</v>
      </c>
      <c r="I46" s="257">
        <v>124.04138883603632</v>
      </c>
      <c r="J46" s="272">
        <f>'[11]CoS 2017 Load History'!O84</f>
        <v>481</v>
      </c>
      <c r="K46" s="256"/>
      <c r="L46" s="18"/>
      <c r="M46" s="33"/>
      <c r="N46"/>
      <c r="O46"/>
      <c r="P46"/>
      <c r="Q46"/>
      <c r="R46"/>
      <c r="S46"/>
      <c r="T46"/>
      <c r="U46"/>
      <c r="V46"/>
      <c r="W46"/>
      <c r="X46"/>
      <c r="Y46"/>
      <c r="Z46"/>
      <c r="AA46"/>
      <c r="AB46"/>
    </row>
    <row r="47" spans="1:28" s="35" customFormat="1" hidden="1">
      <c r="A47" s="254">
        <v>37506</v>
      </c>
      <c r="B47" s="249">
        <f>'[11]CoS 2017 Load History'!L85</f>
        <v>21763821.530000001</v>
      </c>
      <c r="C47" s="269">
        <f>'Weather Data'!B143</f>
        <v>143.5</v>
      </c>
      <c r="D47" s="269">
        <f>'Weather Data'!C143</f>
        <v>20.9</v>
      </c>
      <c r="E47" s="256">
        <v>30</v>
      </c>
      <c r="F47" s="256">
        <v>1</v>
      </c>
      <c r="G47" s="256">
        <v>0</v>
      </c>
      <c r="H47" s="256">
        <v>319.68</v>
      </c>
      <c r="I47" s="257">
        <v>124.40809893307186</v>
      </c>
      <c r="J47" s="272">
        <f>'[11]CoS 2017 Load History'!O85</f>
        <v>483</v>
      </c>
      <c r="K47" s="256"/>
      <c r="L47" s="18"/>
      <c r="M47" s="33"/>
      <c r="N47"/>
      <c r="O47"/>
      <c r="P47"/>
      <c r="Q47"/>
      <c r="R47"/>
      <c r="S47"/>
      <c r="T47"/>
      <c r="U47"/>
      <c r="V47"/>
      <c r="W47"/>
      <c r="X47"/>
      <c r="Y47"/>
      <c r="Z47"/>
      <c r="AA47"/>
      <c r="AB47"/>
    </row>
    <row r="48" spans="1:28" s="35" customFormat="1" hidden="1">
      <c r="A48" s="254">
        <v>37539</v>
      </c>
      <c r="B48" s="249">
        <f>'[11]CoS 2017 Load History'!L86</f>
        <v>23906576.679999992</v>
      </c>
      <c r="C48" s="269">
        <f>'Weather Data'!B144</f>
        <v>510.1</v>
      </c>
      <c r="D48" s="269">
        <f>'Weather Data'!C144</f>
        <v>0</v>
      </c>
      <c r="E48" s="256">
        <v>31</v>
      </c>
      <c r="F48" s="256">
        <v>1</v>
      </c>
      <c r="G48" s="256">
        <v>0</v>
      </c>
      <c r="H48" s="256">
        <v>351.91199999999998</v>
      </c>
      <c r="I48" s="257">
        <v>124.7758931544995</v>
      </c>
      <c r="J48" s="272">
        <f>'[11]CoS 2017 Load History'!O86</f>
        <v>488</v>
      </c>
      <c r="K48" s="256"/>
      <c r="L48" s="18"/>
      <c r="M48" s="33"/>
      <c r="N48"/>
      <c r="O48"/>
      <c r="P48"/>
      <c r="Q48"/>
      <c r="R48"/>
      <c r="S48"/>
      <c r="T48"/>
      <c r="U48"/>
      <c r="V48"/>
      <c r="W48"/>
      <c r="X48"/>
      <c r="Y48"/>
      <c r="Z48"/>
      <c r="AA48"/>
      <c r="AB48"/>
    </row>
    <row r="49" spans="1:28" s="35" customFormat="1" hidden="1">
      <c r="A49" s="254">
        <v>37572</v>
      </c>
      <c r="B49" s="249">
        <f>'[11]CoS 2017 Load History'!L87</f>
        <v>25919156.050000008</v>
      </c>
      <c r="C49" s="269">
        <f>'Weather Data'!B145</f>
        <v>668</v>
      </c>
      <c r="D49" s="269">
        <f>'Weather Data'!C145</f>
        <v>0</v>
      </c>
      <c r="E49" s="256">
        <v>30</v>
      </c>
      <c r="F49" s="256">
        <v>1</v>
      </c>
      <c r="G49" s="256">
        <v>0</v>
      </c>
      <c r="H49" s="256">
        <v>336.24</v>
      </c>
      <c r="I49" s="257">
        <v>125.14477470537335</v>
      </c>
      <c r="J49" s="272">
        <f>'[11]CoS 2017 Load History'!O87</f>
        <v>491</v>
      </c>
      <c r="K49" s="256"/>
      <c r="L49" s="18"/>
      <c r="M49" s="33"/>
      <c r="N49"/>
      <c r="O49"/>
      <c r="P49"/>
      <c r="Q49"/>
      <c r="R49"/>
      <c r="S49"/>
      <c r="T49"/>
      <c r="U49"/>
      <c r="V49"/>
      <c r="W49"/>
      <c r="X49"/>
      <c r="Y49"/>
      <c r="Z49"/>
      <c r="AA49"/>
      <c r="AB49"/>
    </row>
    <row r="50" spans="1:28" s="35" customFormat="1" hidden="1">
      <c r="A50" s="254">
        <v>37605</v>
      </c>
      <c r="B50" s="249">
        <f>'[11]CoS 2017 Load History'!L88</f>
        <v>27992722.820000011</v>
      </c>
      <c r="C50" s="269">
        <f>'Weather Data'!B146</f>
        <v>785.6</v>
      </c>
      <c r="D50" s="269">
        <f>'Weather Data'!C146</f>
        <v>0</v>
      </c>
      <c r="E50" s="256">
        <v>31</v>
      </c>
      <c r="F50" s="256">
        <v>0</v>
      </c>
      <c r="G50" s="256">
        <v>0</v>
      </c>
      <c r="H50" s="256">
        <v>319.92</v>
      </c>
      <c r="I50" s="257">
        <v>125.51474680022261</v>
      </c>
      <c r="J50" s="272">
        <f>'[11]CoS 2017 Load History'!O88</f>
        <v>488</v>
      </c>
      <c r="K50" s="256"/>
      <c r="L50" s="18"/>
      <c r="M50" s="33"/>
      <c r="N50"/>
      <c r="O50"/>
      <c r="P50"/>
      <c r="Q50"/>
      <c r="R50"/>
      <c r="S50"/>
      <c r="T50"/>
      <c r="U50"/>
      <c r="V50"/>
      <c r="W50"/>
      <c r="X50"/>
      <c r="Y50"/>
      <c r="Z50"/>
      <c r="AA50"/>
      <c r="AB50"/>
    </row>
    <row r="51" spans="1:28" s="35" customFormat="1" hidden="1">
      <c r="A51" s="254">
        <v>37622</v>
      </c>
      <c r="B51" s="249">
        <f>'[11]CoS 2017 Load History'!L89</f>
        <v>30247356.060000006</v>
      </c>
      <c r="C51" s="269">
        <f>'Weather Data'!B147</f>
        <v>907.4</v>
      </c>
      <c r="D51" s="269">
        <f>'Weather Data'!C147</f>
        <v>0</v>
      </c>
      <c r="E51" s="256">
        <v>31</v>
      </c>
      <c r="F51" s="256">
        <v>0</v>
      </c>
      <c r="G51" s="256">
        <v>0</v>
      </c>
      <c r="H51" s="256">
        <v>351.91199999999998</v>
      </c>
      <c r="I51" s="257">
        <v>125.66024937363977</v>
      </c>
      <c r="J51" s="272">
        <f>'[11]CoS 2017 Load History'!O89</f>
        <v>489</v>
      </c>
      <c r="K51" s="256"/>
      <c r="L51" s="18"/>
      <c r="M51" s="33"/>
      <c r="N51"/>
      <c r="O51"/>
      <c r="P51"/>
      <c r="Q51"/>
      <c r="R51"/>
      <c r="S51"/>
      <c r="T51"/>
      <c r="U51"/>
      <c r="V51"/>
      <c r="W51"/>
      <c r="X51"/>
      <c r="Y51"/>
      <c r="Z51"/>
      <c r="AA51"/>
      <c r="AB51"/>
    </row>
    <row r="52" spans="1:28" s="35" customFormat="1" hidden="1">
      <c r="A52" s="254">
        <v>37653</v>
      </c>
      <c r="B52" s="249">
        <f>'[11]CoS 2017 Load History'!L90</f>
        <v>28460283.130000003</v>
      </c>
      <c r="C52" s="269">
        <f>'Weather Data'!B148</f>
        <v>969.6</v>
      </c>
      <c r="D52" s="269">
        <f>'Weather Data'!C148</f>
        <v>0</v>
      </c>
      <c r="E52" s="256">
        <v>28</v>
      </c>
      <c r="F52" s="256">
        <v>0</v>
      </c>
      <c r="G52" s="256">
        <v>0</v>
      </c>
      <c r="H52" s="256">
        <v>319.87200000000001</v>
      </c>
      <c r="I52" s="257">
        <v>125.80592062045517</v>
      </c>
      <c r="J52" s="272">
        <f>'[11]CoS 2017 Load History'!O90</f>
        <v>492</v>
      </c>
      <c r="K52" s="256"/>
      <c r="L52" s="18"/>
      <c r="M52" s="33"/>
      <c r="N52"/>
      <c r="O52"/>
      <c r="P52"/>
      <c r="Q52"/>
      <c r="R52"/>
      <c r="S52"/>
      <c r="T52"/>
      <c r="U52"/>
      <c r="V52"/>
      <c r="W52"/>
      <c r="X52"/>
      <c r="Y52"/>
      <c r="Z52"/>
      <c r="AA52"/>
      <c r="AB52"/>
    </row>
    <row r="53" spans="1:28" s="35" customFormat="1" hidden="1">
      <c r="A53" s="254">
        <v>37681</v>
      </c>
      <c r="B53" s="249">
        <f>'[11]CoS 2017 Load History'!L91</f>
        <v>28715021.629999995</v>
      </c>
      <c r="C53" s="269">
        <f>'Weather Data'!B149</f>
        <v>765.1</v>
      </c>
      <c r="D53" s="269">
        <f>'Weather Data'!C149</f>
        <v>0</v>
      </c>
      <c r="E53" s="256">
        <v>31</v>
      </c>
      <c r="F53" s="256">
        <v>1</v>
      </c>
      <c r="G53" s="256">
        <v>0</v>
      </c>
      <c r="H53" s="256">
        <v>336.28800000000001</v>
      </c>
      <c r="I53" s="257">
        <v>125.9517607362029</v>
      </c>
      <c r="J53" s="272">
        <f>'[11]CoS 2017 Load History'!O91</f>
        <v>505</v>
      </c>
      <c r="K53" s="256"/>
      <c r="L53" s="18"/>
      <c r="M53" s="33"/>
      <c r="N53"/>
      <c r="O53"/>
      <c r="P53"/>
      <c r="Q53"/>
      <c r="R53"/>
      <c r="S53"/>
      <c r="T53"/>
      <c r="U53"/>
      <c r="V53"/>
      <c r="W53"/>
      <c r="X53"/>
      <c r="Y53"/>
      <c r="Z53"/>
      <c r="AA53"/>
      <c r="AB53"/>
    </row>
    <row r="54" spans="1:28" s="35" customFormat="1" hidden="1">
      <c r="A54" s="254">
        <v>37712</v>
      </c>
      <c r="B54" s="249">
        <f>'[11]CoS 2017 Load History'!L92</f>
        <v>23920979.839999989</v>
      </c>
      <c r="C54" s="269">
        <f>'Weather Data'!B150</f>
        <v>499.3</v>
      </c>
      <c r="D54" s="269">
        <f>'Weather Data'!C150</f>
        <v>0</v>
      </c>
      <c r="E54" s="256">
        <v>30</v>
      </c>
      <c r="F54" s="256">
        <v>1</v>
      </c>
      <c r="G54" s="256">
        <v>0</v>
      </c>
      <c r="H54" s="256">
        <v>336.24</v>
      </c>
      <c r="I54" s="257">
        <v>126.09776991664374</v>
      </c>
      <c r="J54" s="272">
        <f>'[11]CoS 2017 Load History'!O92</f>
        <v>499</v>
      </c>
      <c r="K54" s="256"/>
      <c r="L54" s="18"/>
      <c r="M54" s="33"/>
      <c r="N54"/>
      <c r="O54"/>
      <c r="P54"/>
      <c r="Q54"/>
      <c r="R54"/>
      <c r="S54"/>
      <c r="T54"/>
      <c r="U54"/>
      <c r="V54"/>
      <c r="W54"/>
      <c r="X54"/>
      <c r="Y54"/>
      <c r="Z54"/>
      <c r="AA54"/>
      <c r="AB54"/>
    </row>
    <row r="55" spans="1:28" s="35" customFormat="1" hidden="1">
      <c r="A55" s="254">
        <v>37742</v>
      </c>
      <c r="B55" s="249">
        <f>'[11]CoS 2017 Load History'!L93</f>
        <v>22761853.509999983</v>
      </c>
      <c r="C55" s="269">
        <f>'Weather Data'!B151</f>
        <v>276.39999999999998</v>
      </c>
      <c r="D55" s="269">
        <f>'Weather Data'!C151</f>
        <v>0</v>
      </c>
      <c r="E55" s="256">
        <v>31</v>
      </c>
      <c r="F55" s="256">
        <v>1</v>
      </c>
      <c r="G55" s="256">
        <v>0</v>
      </c>
      <c r="H55" s="256">
        <v>336.28800000000001</v>
      </c>
      <c r="I55" s="257">
        <v>126.2439483577654</v>
      </c>
      <c r="J55" s="272">
        <f>'[11]CoS 2017 Load History'!O93</f>
        <v>499</v>
      </c>
      <c r="K55" s="256"/>
      <c r="L55" s="18"/>
      <c r="M55" s="33"/>
      <c r="N55"/>
      <c r="O55"/>
      <c r="P55"/>
      <c r="Q55"/>
      <c r="R55"/>
      <c r="S55"/>
      <c r="T55"/>
      <c r="U55"/>
      <c r="V55"/>
      <c r="W55"/>
      <c r="X55"/>
      <c r="Y55"/>
      <c r="Z55"/>
      <c r="AA55"/>
      <c r="AB55"/>
    </row>
    <row r="56" spans="1:28" s="35" customFormat="1" hidden="1">
      <c r="A56" s="254">
        <v>37773</v>
      </c>
      <c r="B56" s="249">
        <f>'[11]CoS 2017 Load History'!L94</f>
        <v>21516931.129999999</v>
      </c>
      <c r="C56" s="269">
        <f>'Weather Data'!B152</f>
        <v>129.30000000000001</v>
      </c>
      <c r="D56" s="269">
        <f>'Weather Data'!C152</f>
        <v>0</v>
      </c>
      <c r="E56" s="256">
        <v>30</v>
      </c>
      <c r="F56" s="256">
        <v>0</v>
      </c>
      <c r="G56" s="256">
        <v>0</v>
      </c>
      <c r="H56" s="256">
        <v>336.24</v>
      </c>
      <c r="I56" s="257">
        <v>126.3902962557828</v>
      </c>
      <c r="J56" s="272">
        <f>'[11]CoS 2017 Load History'!O94</f>
        <v>503</v>
      </c>
      <c r="K56" s="256"/>
      <c r="L56" s="18"/>
      <c r="M56" s="33"/>
      <c r="N56"/>
      <c r="O56"/>
      <c r="P56"/>
      <c r="Q56"/>
      <c r="R56"/>
      <c r="S56"/>
      <c r="T56"/>
      <c r="U56"/>
      <c r="V56"/>
      <c r="W56"/>
      <c r="X56"/>
      <c r="Y56"/>
      <c r="Z56"/>
      <c r="AA56"/>
      <c r="AB56"/>
    </row>
    <row r="57" spans="1:28" s="35" customFormat="1" hidden="1">
      <c r="A57" s="254">
        <v>37803</v>
      </c>
      <c r="B57" s="249">
        <f>'[11]CoS 2017 Load History'!L95</f>
        <v>22581221.450000003</v>
      </c>
      <c r="C57" s="269">
        <f>'Weather Data'!B153</f>
        <v>29.9</v>
      </c>
      <c r="D57" s="269">
        <f>'Weather Data'!C153</f>
        <v>18.2</v>
      </c>
      <c r="E57" s="256">
        <v>31</v>
      </c>
      <c r="F57" s="256">
        <v>0</v>
      </c>
      <c r="G57" s="256">
        <v>0</v>
      </c>
      <c r="H57" s="256">
        <v>351.91199999999998</v>
      </c>
      <c r="I57" s="257">
        <v>126.5368138071383</v>
      </c>
      <c r="J57" s="272">
        <f>'[11]CoS 2017 Load History'!O95</f>
        <v>500</v>
      </c>
      <c r="K57" s="256"/>
      <c r="L57" s="18"/>
      <c r="M57" s="33"/>
      <c r="N57"/>
      <c r="O57"/>
      <c r="P57"/>
      <c r="Q57"/>
      <c r="R57"/>
      <c r="S57"/>
      <c r="T57"/>
      <c r="U57"/>
      <c r="V57"/>
      <c r="W57"/>
      <c r="X57"/>
      <c r="Y57"/>
      <c r="Z57"/>
      <c r="AA57"/>
      <c r="AB57"/>
    </row>
    <row r="58" spans="1:28" s="35" customFormat="1" hidden="1">
      <c r="A58" s="254">
        <v>37834</v>
      </c>
      <c r="B58" s="249">
        <f>'[11]CoS 2017 Load History'!L96</f>
        <v>22725768.199999981</v>
      </c>
      <c r="C58" s="269">
        <f>'Weather Data'!B154</f>
        <v>35.6</v>
      </c>
      <c r="D58" s="269">
        <f>'Weather Data'!C154</f>
        <v>50.9</v>
      </c>
      <c r="E58" s="256">
        <v>31</v>
      </c>
      <c r="F58" s="256">
        <v>0</v>
      </c>
      <c r="G58" s="256">
        <v>0</v>
      </c>
      <c r="H58" s="256">
        <v>319.92</v>
      </c>
      <c r="I58" s="257">
        <v>126.68350120850199</v>
      </c>
      <c r="J58" s="272">
        <f>'[11]CoS 2017 Load History'!O96</f>
        <v>499</v>
      </c>
      <c r="K58" s="256"/>
      <c r="L58" s="18"/>
      <c r="M58" s="33"/>
      <c r="N58"/>
      <c r="O58"/>
      <c r="P58"/>
      <c r="Q58"/>
      <c r="R58"/>
      <c r="S58"/>
      <c r="T58"/>
      <c r="U58"/>
      <c r="V58"/>
      <c r="W58"/>
      <c r="X58"/>
      <c r="Y58"/>
      <c r="Z58"/>
      <c r="AA58"/>
      <c r="AB58"/>
    </row>
    <row r="59" spans="1:28" s="35" customFormat="1" hidden="1">
      <c r="A59" s="254">
        <v>37865</v>
      </c>
      <c r="B59" s="249">
        <f>'[11]CoS 2017 Load History'!L97</f>
        <v>22003813.639999993</v>
      </c>
      <c r="C59" s="269">
        <f>'Weather Data'!B155</f>
        <v>164</v>
      </c>
      <c r="D59" s="269">
        <f>'Weather Data'!C155</f>
        <v>6.7</v>
      </c>
      <c r="E59" s="256">
        <v>30</v>
      </c>
      <c r="F59" s="256">
        <v>1</v>
      </c>
      <c r="G59" s="256">
        <v>0</v>
      </c>
      <c r="H59" s="256">
        <v>336.24</v>
      </c>
      <c r="I59" s="257">
        <v>126.83035865677196</v>
      </c>
      <c r="J59" s="272">
        <f>'[11]CoS 2017 Load History'!O97</f>
        <v>503</v>
      </c>
      <c r="K59" s="256"/>
      <c r="L59" s="18"/>
      <c r="M59" s="33"/>
      <c r="N59"/>
      <c r="O59"/>
      <c r="P59"/>
      <c r="Q59"/>
      <c r="R59"/>
      <c r="S59"/>
      <c r="T59"/>
      <c r="U59"/>
      <c r="V59"/>
      <c r="W59"/>
      <c r="X59"/>
      <c r="Y59"/>
      <c r="Z59"/>
      <c r="AA59"/>
      <c r="AB59"/>
    </row>
    <row r="60" spans="1:28" s="35" customFormat="1" hidden="1">
      <c r="A60" s="254">
        <v>37895</v>
      </c>
      <c r="B60" s="249">
        <f>'[11]CoS 2017 Load History'!L98</f>
        <v>24158122.459999993</v>
      </c>
      <c r="C60" s="269">
        <f>'Weather Data'!B156</f>
        <v>414.2</v>
      </c>
      <c r="D60" s="269">
        <f>'Weather Data'!C156</f>
        <v>0</v>
      </c>
      <c r="E60" s="256">
        <v>31</v>
      </c>
      <c r="F60" s="256">
        <v>1</v>
      </c>
      <c r="G60" s="256">
        <v>0</v>
      </c>
      <c r="H60" s="256">
        <v>351.91199999999998</v>
      </c>
      <c r="I60" s="257">
        <v>126.97738634907456</v>
      </c>
      <c r="J60" s="272">
        <f>'[11]CoS 2017 Load History'!O98</f>
        <v>499</v>
      </c>
      <c r="K60" s="256"/>
      <c r="L60" s="18"/>
      <c r="M60" s="33"/>
      <c r="N60"/>
      <c r="O60"/>
      <c r="P60"/>
      <c r="Q60"/>
      <c r="R60"/>
      <c r="S60"/>
      <c r="T60"/>
      <c r="U60"/>
      <c r="V60"/>
      <c r="W60"/>
      <c r="X60"/>
      <c r="Y60"/>
      <c r="Z60"/>
      <c r="AA60"/>
      <c r="AB60"/>
    </row>
    <row r="61" spans="1:28" s="35" customFormat="1" hidden="1">
      <c r="A61" s="254">
        <v>37926</v>
      </c>
      <c r="B61" s="249">
        <f>'[11]CoS 2017 Load History'!L99</f>
        <v>25919367.380000006</v>
      </c>
      <c r="C61" s="269">
        <f>'Weather Data'!B157</f>
        <v>632.9</v>
      </c>
      <c r="D61" s="269">
        <f>'Weather Data'!C157</f>
        <v>0</v>
      </c>
      <c r="E61" s="256">
        <v>30</v>
      </c>
      <c r="F61" s="256">
        <v>1</v>
      </c>
      <c r="G61" s="256">
        <v>0</v>
      </c>
      <c r="H61" s="256">
        <v>319.68</v>
      </c>
      <c r="I61" s="257">
        <v>127.12458448276465</v>
      </c>
      <c r="J61" s="272">
        <f>'[11]CoS 2017 Load History'!O99</f>
        <v>500</v>
      </c>
      <c r="K61" s="256"/>
      <c r="L61" s="18"/>
      <c r="M61" s="33"/>
      <c r="N61"/>
      <c r="O61"/>
      <c r="P61"/>
      <c r="Q61"/>
      <c r="R61"/>
      <c r="S61"/>
      <c r="T61"/>
      <c r="U61"/>
      <c r="V61"/>
      <c r="W61"/>
      <c r="X61"/>
      <c r="Y61"/>
      <c r="Z61"/>
      <c r="AA61"/>
      <c r="AB61"/>
    </row>
    <row r="62" spans="1:28" s="35" customFormat="1" hidden="1">
      <c r="A62" s="254">
        <v>37956</v>
      </c>
      <c r="B62" s="249">
        <f>'[11]CoS 2017 Load History'!L100</f>
        <v>27963038.760000017</v>
      </c>
      <c r="C62" s="269">
        <f>'Weather Data'!B158</f>
        <v>785.9</v>
      </c>
      <c r="D62" s="269">
        <f>'Weather Data'!C158</f>
        <v>0</v>
      </c>
      <c r="E62" s="256">
        <v>31</v>
      </c>
      <c r="F62" s="256">
        <v>0</v>
      </c>
      <c r="G62" s="256">
        <v>0</v>
      </c>
      <c r="H62" s="256">
        <v>336.28800000000001</v>
      </c>
      <c r="I62" s="257">
        <v>127.27195325542573</v>
      </c>
      <c r="J62" s="272">
        <f>'[11]CoS 2017 Load History'!O100</f>
        <v>501</v>
      </c>
      <c r="K62" s="256"/>
      <c r="L62" s="18"/>
      <c r="M62" s="33"/>
      <c r="N62"/>
      <c r="O62"/>
      <c r="P62"/>
      <c r="Q62"/>
      <c r="R62"/>
      <c r="S62"/>
      <c r="T62"/>
      <c r="U62"/>
      <c r="V62"/>
      <c r="W62"/>
      <c r="X62"/>
      <c r="Y62"/>
      <c r="Z62"/>
      <c r="AA62"/>
      <c r="AB62"/>
    </row>
    <row r="63" spans="1:28" s="35" customFormat="1" hidden="1">
      <c r="A63" s="254">
        <v>37987</v>
      </c>
      <c r="B63" s="249">
        <f>'[11]CoS 2017 Load History'!L101</f>
        <v>30937974.93</v>
      </c>
      <c r="C63" s="269">
        <f>'Weather Data'!B159</f>
        <v>1140.5999999999999</v>
      </c>
      <c r="D63" s="269">
        <f>'Weather Data'!C159</f>
        <v>0</v>
      </c>
      <c r="E63" s="256">
        <v>31</v>
      </c>
      <c r="F63" s="256">
        <v>0</v>
      </c>
      <c r="G63" s="256">
        <v>0</v>
      </c>
      <c r="H63" s="256">
        <v>336.28800000000001</v>
      </c>
      <c r="I63" s="257">
        <v>127.53411264087498</v>
      </c>
      <c r="J63" s="272">
        <f>'[11]CoS 2017 Load History'!O101</f>
        <v>499</v>
      </c>
      <c r="K63" s="256"/>
      <c r="L63" s="18"/>
      <c r="M63" s="33"/>
      <c r="N63"/>
      <c r="O63"/>
      <c r="P63"/>
      <c r="Q63"/>
      <c r="R63"/>
      <c r="S63"/>
      <c r="T63"/>
      <c r="U63"/>
      <c r="V63"/>
      <c r="W63"/>
      <c r="X63"/>
      <c r="Y63"/>
      <c r="Z63"/>
      <c r="AA63"/>
      <c r="AB63"/>
    </row>
    <row r="64" spans="1:28" s="35" customFormat="1" hidden="1">
      <c r="A64" s="254">
        <v>38018</v>
      </c>
      <c r="B64" s="249">
        <f>'[11]CoS 2017 Load History'!L102</f>
        <v>27306089.359999992</v>
      </c>
      <c r="C64" s="269">
        <f>'Weather Data'!B160</f>
        <v>778.3</v>
      </c>
      <c r="D64" s="269">
        <f>'Weather Data'!C160</f>
        <v>0</v>
      </c>
      <c r="E64" s="256">
        <v>29</v>
      </c>
      <c r="F64" s="256">
        <v>0</v>
      </c>
      <c r="G64" s="256">
        <v>0</v>
      </c>
      <c r="H64" s="256">
        <v>320.16000000000003</v>
      </c>
      <c r="I64" s="257">
        <v>127.79681203173486</v>
      </c>
      <c r="J64" s="272">
        <f>'[11]CoS 2017 Load History'!O102</f>
        <v>486</v>
      </c>
      <c r="K64" s="256"/>
      <c r="L64" s="18"/>
      <c r="M64" s="33"/>
      <c r="N64"/>
      <c r="O64"/>
      <c r="P64"/>
      <c r="Q64"/>
      <c r="R64"/>
      <c r="S64"/>
      <c r="T64"/>
      <c r="U64"/>
      <c r="V64"/>
      <c r="W64"/>
      <c r="X64"/>
      <c r="Y64"/>
      <c r="Z64"/>
      <c r="AA64"/>
      <c r="AB64"/>
    </row>
    <row r="65" spans="1:47" s="35" customFormat="1" hidden="1">
      <c r="A65" s="254">
        <v>38047</v>
      </c>
      <c r="B65" s="249">
        <f>'[11]CoS 2017 Load History'!L103</f>
        <v>26515207.210000012</v>
      </c>
      <c r="C65" s="269">
        <f>'Weather Data'!B161</f>
        <v>684.3</v>
      </c>
      <c r="D65" s="269">
        <f>'Weather Data'!C161</f>
        <v>0</v>
      </c>
      <c r="E65" s="256">
        <v>31</v>
      </c>
      <c r="F65" s="256">
        <v>1</v>
      </c>
      <c r="G65" s="256">
        <v>0</v>
      </c>
      <c r="H65" s="256">
        <v>368.28</v>
      </c>
      <c r="I65" s="257">
        <v>128.06005254032812</v>
      </c>
      <c r="J65" s="272">
        <f>'[11]CoS 2017 Load History'!O103</f>
        <v>460</v>
      </c>
      <c r="K65" s="256"/>
      <c r="L65" s="18"/>
      <c r="M65" s="33"/>
      <c r="N65"/>
      <c r="O65"/>
      <c r="P65"/>
      <c r="Q65"/>
      <c r="R65"/>
      <c r="S65"/>
      <c r="T65"/>
      <c r="U65"/>
      <c r="V65"/>
      <c r="W65"/>
      <c r="X65"/>
      <c r="Y65"/>
      <c r="Z65"/>
      <c r="AA65"/>
      <c r="AB65"/>
    </row>
    <row r="66" spans="1:47" s="35" customFormat="1" hidden="1">
      <c r="A66" s="254">
        <v>38078</v>
      </c>
      <c r="B66" s="249">
        <f>'[11]CoS 2017 Load History'!L104</f>
        <v>23016461.999999993</v>
      </c>
      <c r="C66" s="269">
        <f>'Weather Data'!B162</f>
        <v>472.4</v>
      </c>
      <c r="D66" s="269">
        <f>'Weather Data'!C162</f>
        <v>0</v>
      </c>
      <c r="E66" s="256">
        <v>30</v>
      </c>
      <c r="F66" s="256">
        <v>1</v>
      </c>
      <c r="G66" s="256">
        <v>0</v>
      </c>
      <c r="H66" s="256">
        <v>336.24</v>
      </c>
      <c r="I66" s="257">
        <v>128.32383528126866</v>
      </c>
      <c r="J66" s="272">
        <f>'[11]CoS 2017 Load History'!O104</f>
        <v>457</v>
      </c>
      <c r="K66" s="256"/>
      <c r="L66" s="18"/>
      <c r="M66" s="33"/>
      <c r="N66"/>
      <c r="O66"/>
      <c r="P66"/>
      <c r="Q66"/>
      <c r="R66"/>
      <c r="S66"/>
      <c r="T66"/>
      <c r="U66"/>
      <c r="V66"/>
      <c r="W66"/>
      <c r="X66"/>
      <c r="Y66"/>
      <c r="Z66"/>
      <c r="AA66"/>
      <c r="AB66"/>
    </row>
    <row r="67" spans="1:47" s="35" customFormat="1" hidden="1">
      <c r="A67" s="254">
        <v>38108</v>
      </c>
      <c r="B67" s="249">
        <f>'[11]CoS 2017 Load History'!L105</f>
        <v>21892354.059999995</v>
      </c>
      <c r="C67" s="269">
        <f>'Weather Data'!B163</f>
        <v>333.2</v>
      </c>
      <c r="D67" s="269">
        <f>'Weather Data'!C163</f>
        <v>0</v>
      </c>
      <c r="E67" s="256">
        <v>31</v>
      </c>
      <c r="F67" s="256">
        <v>1</v>
      </c>
      <c r="G67" s="256">
        <v>0</v>
      </c>
      <c r="H67" s="256">
        <v>319.92</v>
      </c>
      <c r="I67" s="257">
        <v>128.58816137146633</v>
      </c>
      <c r="J67" s="272">
        <f>'[11]CoS 2017 Load History'!O105</f>
        <v>459</v>
      </c>
      <c r="K67" s="256"/>
      <c r="L67" s="18"/>
      <c r="M67" s="33"/>
      <c r="N67"/>
      <c r="O67"/>
      <c r="P67"/>
      <c r="Q67"/>
      <c r="R67"/>
      <c r="S67"/>
      <c r="T67"/>
      <c r="U67"/>
      <c r="V67"/>
      <c r="W67"/>
      <c r="X67"/>
      <c r="Y67"/>
      <c r="Z67"/>
      <c r="AA67"/>
      <c r="AB67"/>
    </row>
    <row r="68" spans="1:47" s="35" customFormat="1" hidden="1">
      <c r="A68" s="254">
        <v>38139</v>
      </c>
      <c r="B68" s="249">
        <f>'[11]CoS 2017 Load History'!L106</f>
        <v>20420158.799999997</v>
      </c>
      <c r="C68" s="269">
        <f>'Weather Data'!B164</f>
        <v>145.80000000000001</v>
      </c>
      <c r="D68" s="269">
        <f>'Weather Data'!C164</f>
        <v>3.1</v>
      </c>
      <c r="E68" s="256">
        <v>30</v>
      </c>
      <c r="F68" s="256">
        <v>0</v>
      </c>
      <c r="G68" s="256">
        <v>0</v>
      </c>
      <c r="H68" s="256">
        <v>352.08</v>
      </c>
      <c r="I68" s="257">
        <v>128.85303193013166</v>
      </c>
      <c r="J68" s="272">
        <f>'[11]CoS 2017 Load History'!O106</f>
        <v>459</v>
      </c>
      <c r="K68" s="256"/>
      <c r="L68" s="18"/>
      <c r="M68" s="33"/>
      <c r="N68"/>
      <c r="O68"/>
      <c r="P68"/>
      <c r="Q68"/>
      <c r="R68"/>
      <c r="S68"/>
      <c r="T68"/>
      <c r="U68"/>
      <c r="V68"/>
      <c r="W68"/>
      <c r="X68"/>
      <c r="Y68"/>
      <c r="Z68"/>
      <c r="AA68"/>
      <c r="AB68"/>
    </row>
    <row r="69" spans="1:47" s="35" customFormat="1" hidden="1">
      <c r="A69" s="254">
        <v>38169</v>
      </c>
      <c r="B69" s="249">
        <f>'[11]CoS 2017 Load History'!L107</f>
        <v>21540775.229999993</v>
      </c>
      <c r="C69" s="269">
        <f>'Weather Data'!B165</f>
        <v>67.400000000000006</v>
      </c>
      <c r="D69" s="269">
        <f>'Weather Data'!C165</f>
        <v>22</v>
      </c>
      <c r="E69" s="256">
        <v>31</v>
      </c>
      <c r="F69" s="256">
        <v>0</v>
      </c>
      <c r="G69" s="256">
        <v>0</v>
      </c>
      <c r="H69" s="256">
        <v>336.28800000000001</v>
      </c>
      <c r="I69" s="257">
        <v>129.11844807878055</v>
      </c>
      <c r="J69" s="272">
        <f>'[11]CoS 2017 Load History'!O107</f>
        <v>461</v>
      </c>
      <c r="K69" s="256"/>
      <c r="L69" s="18"/>
      <c r="M69" s="33"/>
      <c r="N69"/>
      <c r="O69"/>
      <c r="P69"/>
      <c r="Q69"/>
      <c r="R69"/>
      <c r="S69"/>
      <c r="T69"/>
      <c r="U69"/>
      <c r="V69"/>
      <c r="W69"/>
      <c r="X69"/>
      <c r="Y69"/>
      <c r="Z69"/>
      <c r="AA69"/>
      <c r="AB69"/>
    </row>
    <row r="70" spans="1:47" s="35" customFormat="1" hidden="1">
      <c r="A70" s="254">
        <v>38200</v>
      </c>
      <c r="B70" s="249">
        <f>'[11]CoS 2017 Load History'!L108</f>
        <v>21313848.719999999</v>
      </c>
      <c r="C70" s="269">
        <f>'Weather Data'!B166</f>
        <v>123</v>
      </c>
      <c r="D70" s="269">
        <f>'Weather Data'!C166</f>
        <v>1.8</v>
      </c>
      <c r="E70" s="256">
        <v>31</v>
      </c>
      <c r="F70" s="256">
        <v>0</v>
      </c>
      <c r="G70" s="256">
        <v>0</v>
      </c>
      <c r="H70" s="256">
        <v>336.28800000000001</v>
      </c>
      <c r="I70" s="257">
        <v>129.38441094123903</v>
      </c>
      <c r="J70" s="272">
        <f>'[11]CoS 2017 Load History'!O108</f>
        <v>463</v>
      </c>
      <c r="K70" s="256"/>
      <c r="L70" s="18"/>
      <c r="M70" s="33"/>
      <c r="N70"/>
      <c r="O70"/>
      <c r="P70"/>
      <c r="Q70"/>
      <c r="R70"/>
      <c r="S70"/>
      <c r="T70"/>
      <c r="U70"/>
      <c r="V70"/>
      <c r="W70"/>
      <c r="X70"/>
      <c r="Y70"/>
      <c r="Z70"/>
      <c r="AA70"/>
      <c r="AB70"/>
    </row>
    <row r="71" spans="1:47" s="35" customFormat="1" hidden="1">
      <c r="A71" s="254">
        <v>38231</v>
      </c>
      <c r="B71" s="249">
        <f>'[11]CoS 2017 Load History'!L109</f>
        <v>21313093.559999991</v>
      </c>
      <c r="C71" s="269">
        <f>'Weather Data'!B167</f>
        <v>132.9</v>
      </c>
      <c r="D71" s="269">
        <f>'Weather Data'!C167</f>
        <v>4.7</v>
      </c>
      <c r="E71" s="256">
        <v>30</v>
      </c>
      <c r="F71" s="256">
        <v>1</v>
      </c>
      <c r="G71" s="256">
        <v>0</v>
      </c>
      <c r="H71" s="256">
        <v>336.24</v>
      </c>
      <c r="I71" s="257">
        <v>129.65092164364802</v>
      </c>
      <c r="J71" s="272">
        <f>'[11]CoS 2017 Load History'!O109</f>
        <v>466</v>
      </c>
      <c r="K71" s="256"/>
      <c r="L71" s="18"/>
      <c r="M71" s="33"/>
      <c r="N71"/>
      <c r="O71"/>
      <c r="P71"/>
      <c r="Q71"/>
      <c r="R71"/>
      <c r="S71"/>
      <c r="T71"/>
      <c r="U71"/>
      <c r="V71"/>
      <c r="W71"/>
      <c r="X71"/>
      <c r="Y71"/>
      <c r="Z71"/>
      <c r="AA71"/>
      <c r="AB71"/>
    </row>
    <row r="72" spans="1:47" s="35" customFormat="1" hidden="1">
      <c r="A72" s="254">
        <v>38261</v>
      </c>
      <c r="B72" s="249">
        <f>'[11]CoS 2017 Load History'!L110</f>
        <v>22910607.509999979</v>
      </c>
      <c r="C72" s="269">
        <f>'Weather Data'!B168</f>
        <v>372.7</v>
      </c>
      <c r="D72" s="269">
        <f>'Weather Data'!C168</f>
        <v>0</v>
      </c>
      <c r="E72" s="256">
        <v>31</v>
      </c>
      <c r="F72" s="256">
        <v>1</v>
      </c>
      <c r="G72" s="256">
        <v>0</v>
      </c>
      <c r="H72" s="256">
        <v>319.92</v>
      </c>
      <c r="I72" s="257">
        <v>129.91798131446814</v>
      </c>
      <c r="J72" s="272">
        <f>'[11]CoS 2017 Load History'!O110</f>
        <v>465</v>
      </c>
      <c r="K72" s="256"/>
      <c r="L72" s="18"/>
      <c r="M72" s="33"/>
      <c r="N72"/>
      <c r="O72"/>
      <c r="P72"/>
      <c r="Q72"/>
      <c r="R72"/>
      <c r="S72"/>
      <c r="T72"/>
      <c r="U72"/>
      <c r="V72"/>
      <c r="W72"/>
      <c r="X72"/>
      <c r="Y72"/>
      <c r="Z72"/>
      <c r="AA72"/>
      <c r="AB72"/>
    </row>
    <row r="73" spans="1:47" s="35" customFormat="1" hidden="1">
      <c r="A73" s="254">
        <v>38292</v>
      </c>
      <c r="B73" s="249">
        <f>'[11]CoS 2017 Load History'!L111</f>
        <v>24309383.419999991</v>
      </c>
      <c r="C73" s="269">
        <f>'Weather Data'!B169</f>
        <v>554.9</v>
      </c>
      <c r="D73" s="269">
        <f>'Weather Data'!C169</f>
        <v>0</v>
      </c>
      <c r="E73" s="256">
        <v>30</v>
      </c>
      <c r="F73" s="256">
        <v>1</v>
      </c>
      <c r="G73" s="256">
        <v>0</v>
      </c>
      <c r="H73" s="256">
        <v>352.08</v>
      </c>
      <c r="I73" s="257">
        <v>130.18559108448443</v>
      </c>
      <c r="J73" s="272">
        <f>'[11]CoS 2017 Load History'!O111</f>
        <v>465</v>
      </c>
      <c r="K73" s="256"/>
      <c r="L73" s="18"/>
      <c r="M73" s="33"/>
      <c r="N73"/>
      <c r="O73"/>
      <c r="P73"/>
      <c r="Q73"/>
      <c r="R73"/>
      <c r="S73"/>
      <c r="T73"/>
      <c r="U73"/>
      <c r="V73"/>
      <c r="W73"/>
      <c r="X73"/>
      <c r="Y73"/>
      <c r="Z73"/>
      <c r="AA73"/>
      <c r="AB73"/>
    </row>
    <row r="74" spans="1:47" s="35" customFormat="1" hidden="1">
      <c r="A74" s="254">
        <v>38322</v>
      </c>
      <c r="B74" s="249">
        <f>'[11]CoS 2017 Load History'!L112</f>
        <v>28308962.869999982</v>
      </c>
      <c r="C74" s="269">
        <f>'Weather Data'!B170</f>
        <v>926.6</v>
      </c>
      <c r="D74" s="269">
        <f>'Weather Data'!C170</f>
        <v>0</v>
      </c>
      <c r="E74" s="256">
        <v>31</v>
      </c>
      <c r="F74" s="256">
        <v>0</v>
      </c>
      <c r="G74" s="256">
        <v>0</v>
      </c>
      <c r="H74" s="256">
        <v>336.28800000000001</v>
      </c>
      <c r="I74" s="257">
        <v>130.45375208681136</v>
      </c>
      <c r="J74" s="272">
        <f>'[11]CoS 2017 Load History'!O112</f>
        <v>464</v>
      </c>
      <c r="K74" s="256"/>
      <c r="L74" s="18"/>
      <c r="M74" s="33"/>
      <c r="N74"/>
      <c r="O74"/>
      <c r="P74"/>
      <c r="Q74"/>
      <c r="R74"/>
      <c r="S74"/>
      <c r="T74"/>
      <c r="U74"/>
      <c r="V74"/>
      <c r="W74"/>
      <c r="X74"/>
      <c r="Y74"/>
      <c r="Z74"/>
      <c r="AA74"/>
      <c r="AB74"/>
    </row>
    <row r="75" spans="1:47" s="35" customFormat="1" hidden="1">
      <c r="A75" s="254">
        <v>38353</v>
      </c>
      <c r="B75" s="249">
        <f>'[11]CoS 2017 Load History'!L113</f>
        <v>29981056.320000004</v>
      </c>
      <c r="C75" s="269">
        <f>'Weather Data'!B171</f>
        <v>1084.3</v>
      </c>
      <c r="D75" s="269">
        <f>'Weather Data'!C171</f>
        <v>0</v>
      </c>
      <c r="E75" s="256">
        <v>31</v>
      </c>
      <c r="F75" s="256">
        <v>0</v>
      </c>
      <c r="G75" s="256">
        <v>0</v>
      </c>
      <c r="H75" s="256">
        <v>319.92</v>
      </c>
      <c r="I75" s="257">
        <v>130.74370215685079</v>
      </c>
      <c r="J75" s="272">
        <f>'[11]CoS 2017 Load History'!O113</f>
        <v>466</v>
      </c>
      <c r="K75" s="256"/>
      <c r="L75" s="18"/>
      <c r="M75" s="33"/>
      <c r="N75"/>
      <c r="O75"/>
      <c r="P75"/>
      <c r="Q75"/>
      <c r="R75"/>
      <c r="S75"/>
      <c r="T75"/>
      <c r="U75"/>
      <c r="V75"/>
      <c r="W75"/>
      <c r="X75"/>
      <c r="Y75"/>
      <c r="Z75"/>
      <c r="AA75"/>
      <c r="AB75"/>
    </row>
    <row r="76" spans="1:47" s="97" customFormat="1" hidden="1">
      <c r="A76" s="254">
        <v>38384</v>
      </c>
      <c r="B76" s="249">
        <f>'[11]CoS 2017 Load History'!L114</f>
        <v>26021216.539999973</v>
      </c>
      <c r="C76" s="269">
        <f>'Weather Data'!B172</f>
        <v>755.9</v>
      </c>
      <c r="D76" s="269">
        <f>'Weather Data'!C172</f>
        <v>0</v>
      </c>
      <c r="E76" s="256">
        <v>28</v>
      </c>
      <c r="F76" s="256">
        <v>0</v>
      </c>
      <c r="G76" s="256">
        <v>0</v>
      </c>
      <c r="H76" s="256">
        <v>319.87200000000001</v>
      </c>
      <c r="I76" s="257">
        <v>131.0342966778299</v>
      </c>
      <c r="J76" s="272">
        <f>'[11]CoS 2017 Load History'!O114</f>
        <v>466</v>
      </c>
      <c r="K76" s="256"/>
      <c r="L76" s="18"/>
      <c r="M76" s="33"/>
      <c r="N76"/>
      <c r="O76"/>
      <c r="P76"/>
      <c r="Q76"/>
      <c r="R76"/>
      <c r="S76"/>
      <c r="T76"/>
      <c r="U76"/>
      <c r="V76"/>
      <c r="W76"/>
      <c r="X76"/>
      <c r="Y76"/>
      <c r="Z76"/>
      <c r="AA76"/>
      <c r="AB76"/>
      <c r="AC76" s="35"/>
      <c r="AD76" s="35"/>
      <c r="AE76" s="35"/>
      <c r="AF76" s="35"/>
      <c r="AG76" s="35"/>
      <c r="AH76" s="35"/>
      <c r="AI76" s="35"/>
      <c r="AJ76" s="35"/>
      <c r="AK76" s="35"/>
      <c r="AL76" s="35"/>
      <c r="AM76" s="35"/>
      <c r="AN76" s="35"/>
      <c r="AO76" s="35"/>
      <c r="AP76" s="35"/>
      <c r="AQ76" s="35"/>
      <c r="AR76" s="35"/>
      <c r="AS76" s="35"/>
      <c r="AT76" s="35"/>
      <c r="AU76" s="35"/>
    </row>
    <row r="77" spans="1:47" s="35" customFormat="1" hidden="1">
      <c r="A77" s="254">
        <v>38412</v>
      </c>
      <c r="B77" s="249">
        <f>'[11]CoS 2017 Load History'!L115</f>
        <v>27186436.039999992</v>
      </c>
      <c r="C77" s="269">
        <f>'Weather Data'!B173</f>
        <v>814.1</v>
      </c>
      <c r="D77" s="269">
        <f>'Weather Data'!C173</f>
        <v>0</v>
      </c>
      <c r="E77" s="256">
        <v>31</v>
      </c>
      <c r="F77" s="256">
        <v>1</v>
      </c>
      <c r="G77" s="256">
        <v>0</v>
      </c>
      <c r="H77" s="256">
        <v>351.91199999999998</v>
      </c>
      <c r="I77" s="257">
        <v>131.32553708212293</v>
      </c>
      <c r="J77" s="272">
        <f>'[11]CoS 2017 Load History'!O115</f>
        <v>487</v>
      </c>
      <c r="K77" s="256"/>
      <c r="L77" s="18"/>
      <c r="M77" s="33"/>
      <c r="N77"/>
      <c r="O77"/>
      <c r="P77"/>
      <c r="Q77"/>
      <c r="R77"/>
      <c r="S77"/>
      <c r="T77"/>
      <c r="U77"/>
      <c r="V77"/>
      <c r="W77"/>
      <c r="X77"/>
      <c r="Y77"/>
      <c r="Z77"/>
      <c r="AA77"/>
      <c r="AB77"/>
    </row>
    <row r="78" spans="1:47" s="35" customFormat="1" hidden="1">
      <c r="A78" s="254">
        <v>38443</v>
      </c>
      <c r="B78" s="249">
        <f>'[11]CoS 2017 Load History'!L116</f>
        <v>23539059.55999998</v>
      </c>
      <c r="C78" s="269">
        <f>'Weather Data'!B174</f>
        <v>408.1</v>
      </c>
      <c r="D78" s="269">
        <f>'Weather Data'!C174</f>
        <v>0</v>
      </c>
      <c r="E78" s="256">
        <v>30</v>
      </c>
      <c r="F78" s="256">
        <v>1</v>
      </c>
      <c r="G78" s="256">
        <v>0</v>
      </c>
      <c r="H78" s="256">
        <v>336.24</v>
      </c>
      <c r="I78" s="257">
        <v>131.61742480528775</v>
      </c>
      <c r="J78" s="272">
        <f>'[11]CoS 2017 Load History'!O116</f>
        <v>481</v>
      </c>
      <c r="K78" s="256"/>
      <c r="L78" s="18"/>
      <c r="M78" s="33"/>
      <c r="N78"/>
      <c r="O78"/>
      <c r="P78"/>
      <c r="Q78"/>
      <c r="R78"/>
      <c r="S78"/>
      <c r="T78"/>
      <c r="U78"/>
      <c r="V78"/>
      <c r="W78"/>
      <c r="X78"/>
      <c r="Y78"/>
      <c r="Z78"/>
      <c r="AA78"/>
      <c r="AB78"/>
    </row>
    <row r="79" spans="1:47" s="35" customFormat="1" hidden="1">
      <c r="A79" s="254">
        <v>38473</v>
      </c>
      <c r="B79" s="249">
        <f>'[11]CoS 2017 Load History'!L117</f>
        <v>23356657.370000008</v>
      </c>
      <c r="C79" s="269">
        <f>'Weather Data'!B175</f>
        <v>306.2</v>
      </c>
      <c r="D79" s="269">
        <f>'Weather Data'!C175</f>
        <v>0</v>
      </c>
      <c r="E79" s="256">
        <v>31</v>
      </c>
      <c r="F79" s="256">
        <v>1</v>
      </c>
      <c r="G79" s="256">
        <v>0</v>
      </c>
      <c r="H79" s="256">
        <v>336.28800000000001</v>
      </c>
      <c r="I79" s="257">
        <v>131.90996128607298</v>
      </c>
      <c r="J79" s="272">
        <f>'[11]CoS 2017 Load History'!O117</f>
        <v>483</v>
      </c>
      <c r="K79" s="256"/>
      <c r="L79" s="18"/>
      <c r="M79" s="33"/>
      <c r="N79"/>
      <c r="O79"/>
      <c r="P79"/>
      <c r="Q79"/>
      <c r="R79"/>
      <c r="S79"/>
      <c r="T79"/>
      <c r="U79"/>
      <c r="V79"/>
      <c r="W79"/>
      <c r="X79"/>
      <c r="Y79"/>
      <c r="Z79"/>
      <c r="AA79"/>
      <c r="AB79"/>
    </row>
    <row r="80" spans="1:47" s="35" customFormat="1" hidden="1">
      <c r="A80" s="254">
        <v>38504</v>
      </c>
      <c r="B80" s="249">
        <f>'[11]CoS 2017 Load History'!L118</f>
        <v>22845169.659999996</v>
      </c>
      <c r="C80" s="269">
        <f>'Weather Data'!B176</f>
        <v>72.599999999999994</v>
      </c>
      <c r="D80" s="269">
        <f>'Weather Data'!C176</f>
        <v>16.8</v>
      </c>
      <c r="E80" s="256">
        <v>30</v>
      </c>
      <c r="F80" s="256">
        <v>0</v>
      </c>
      <c r="G80" s="256">
        <v>0</v>
      </c>
      <c r="H80" s="256">
        <v>352.08</v>
      </c>
      <c r="I80" s="257">
        <v>132.20314796642501</v>
      </c>
      <c r="J80" s="272">
        <f>'[11]CoS 2017 Load History'!O118</f>
        <v>482</v>
      </c>
      <c r="K80" s="256"/>
      <c r="L80" s="18"/>
      <c r="M80" s="33"/>
      <c r="N80"/>
      <c r="O80"/>
      <c r="P80"/>
      <c r="Q80"/>
      <c r="R80"/>
      <c r="S80"/>
      <c r="T80"/>
      <c r="U80"/>
      <c r="V80"/>
      <c r="W80"/>
      <c r="X80"/>
      <c r="Y80"/>
      <c r="Z80"/>
      <c r="AA80"/>
      <c r="AB80"/>
    </row>
    <row r="81" spans="1:28" s="35" customFormat="1" hidden="1">
      <c r="A81" s="254">
        <v>38534</v>
      </c>
      <c r="B81" s="249">
        <f>'[11]CoS 2017 Load History'!L119</f>
        <v>23894015.750000004</v>
      </c>
      <c r="C81" s="269">
        <f>'Weather Data'!B177</f>
        <v>45.3</v>
      </c>
      <c r="D81" s="269">
        <f>'Weather Data'!C177</f>
        <v>53</v>
      </c>
      <c r="E81" s="256">
        <v>31</v>
      </c>
      <c r="F81" s="256">
        <v>0</v>
      </c>
      <c r="G81" s="256">
        <v>0</v>
      </c>
      <c r="H81" s="256">
        <v>319.92</v>
      </c>
      <c r="I81" s="257">
        <v>132.49698629149512</v>
      </c>
      <c r="J81" s="272">
        <f>'[11]CoS 2017 Load History'!O119</f>
        <v>484</v>
      </c>
      <c r="K81" s="256"/>
      <c r="L81" s="18"/>
      <c r="M81" s="33"/>
      <c r="N81"/>
      <c r="O81"/>
      <c r="P81"/>
      <c r="Q81"/>
      <c r="R81"/>
      <c r="S81"/>
      <c r="T81"/>
      <c r="U81"/>
      <c r="V81"/>
      <c r="W81"/>
      <c r="X81"/>
      <c r="Y81"/>
      <c r="Z81"/>
      <c r="AA81"/>
      <c r="AB81"/>
    </row>
    <row r="82" spans="1:28" s="35" customFormat="1" hidden="1">
      <c r="A82" s="254">
        <v>38565</v>
      </c>
      <c r="B82" s="249">
        <f>'[11]CoS 2017 Load History'!L120</f>
        <v>23530513.359999999</v>
      </c>
      <c r="C82" s="269">
        <f>'Weather Data'!B178</f>
        <v>46.3</v>
      </c>
      <c r="D82" s="269">
        <f>'Weather Data'!C178</f>
        <v>29.6</v>
      </c>
      <c r="E82" s="256">
        <v>31</v>
      </c>
      <c r="F82" s="256">
        <v>0</v>
      </c>
      <c r="G82" s="256">
        <v>0</v>
      </c>
      <c r="H82" s="256">
        <v>351.91199999999998</v>
      </c>
      <c r="I82" s="257">
        <v>132.79147770964664</v>
      </c>
      <c r="J82" s="272">
        <f>'[11]CoS 2017 Load History'!O120</f>
        <v>480</v>
      </c>
      <c r="K82" s="256"/>
      <c r="L82" s="18"/>
      <c r="M82" s="33"/>
      <c r="N82"/>
      <c r="O82"/>
      <c r="P82"/>
      <c r="Q82"/>
      <c r="R82"/>
      <c r="S82"/>
      <c r="T82"/>
      <c r="U82"/>
      <c r="V82"/>
      <c r="W82"/>
      <c r="X82"/>
      <c r="Y82"/>
      <c r="Z82"/>
      <c r="AA82"/>
      <c r="AB82"/>
    </row>
    <row r="83" spans="1:28" s="35" customFormat="1" hidden="1">
      <c r="A83" s="254">
        <v>38596</v>
      </c>
      <c r="B83" s="249">
        <f>'[11]CoS 2017 Load History'!L121</f>
        <v>22573270.269999996</v>
      </c>
      <c r="C83" s="269">
        <f>'Weather Data'!B179</f>
        <v>148.80000000000001</v>
      </c>
      <c r="D83" s="269">
        <f>'Weather Data'!C179</f>
        <v>15.2</v>
      </c>
      <c r="E83" s="256">
        <v>30</v>
      </c>
      <c r="F83" s="256">
        <v>1</v>
      </c>
      <c r="G83" s="256">
        <v>0</v>
      </c>
      <c r="H83" s="256">
        <v>336.24</v>
      </c>
      <c r="I83" s="257">
        <v>133.08662367246211</v>
      </c>
      <c r="J83" s="272">
        <f>'[11]CoS 2017 Load History'!O121</f>
        <v>481</v>
      </c>
      <c r="K83" s="256"/>
      <c r="L83" s="18"/>
      <c r="M83" s="33"/>
      <c r="N83"/>
      <c r="O83"/>
      <c r="P83"/>
      <c r="Q83"/>
      <c r="R83"/>
      <c r="S83"/>
      <c r="T83"/>
      <c r="U83"/>
      <c r="V83"/>
      <c r="W83"/>
      <c r="X83"/>
      <c r="Y83"/>
      <c r="Z83"/>
      <c r="AA83"/>
      <c r="AB83"/>
    </row>
    <row r="84" spans="1:28" s="35" customFormat="1" hidden="1">
      <c r="A84" s="254">
        <v>38626</v>
      </c>
      <c r="B84" s="249">
        <f>'[11]CoS 2017 Load History'!L122</f>
        <v>23998835.469999999</v>
      </c>
      <c r="C84" s="269">
        <f>'Weather Data'!B180</f>
        <v>347.3</v>
      </c>
      <c r="D84" s="269">
        <f>'Weather Data'!C180</f>
        <v>0</v>
      </c>
      <c r="E84" s="256">
        <v>31</v>
      </c>
      <c r="F84" s="256">
        <v>1</v>
      </c>
      <c r="G84" s="256">
        <v>0</v>
      </c>
      <c r="H84" s="256">
        <v>319.92</v>
      </c>
      <c r="I84" s="257">
        <v>133.38242563475035</v>
      </c>
      <c r="J84" s="272">
        <f>'[11]CoS 2017 Load History'!O122</f>
        <v>483</v>
      </c>
      <c r="K84" s="256"/>
      <c r="L84" s="18"/>
      <c r="M84" s="33"/>
      <c r="N84"/>
      <c r="O84"/>
      <c r="P84"/>
      <c r="Q84"/>
      <c r="R84"/>
      <c r="S84"/>
      <c r="T84"/>
      <c r="U84"/>
      <c r="V84"/>
      <c r="W84"/>
      <c r="X84"/>
      <c r="Y84"/>
      <c r="Z84"/>
      <c r="AA84"/>
      <c r="AB84"/>
    </row>
    <row r="85" spans="1:28" s="35" customFormat="1" hidden="1">
      <c r="A85" s="254">
        <v>38657</v>
      </c>
      <c r="B85" s="249">
        <f>'[11]CoS 2017 Load History'!L123</f>
        <v>26134846.600000005</v>
      </c>
      <c r="C85" s="269">
        <f>'Weather Data'!B181</f>
        <v>606.9</v>
      </c>
      <c r="D85" s="269">
        <f>'Weather Data'!C181</f>
        <v>0</v>
      </c>
      <c r="E85" s="256">
        <v>30</v>
      </c>
      <c r="F85" s="256">
        <v>1</v>
      </c>
      <c r="G85" s="256">
        <v>0</v>
      </c>
      <c r="H85" s="256">
        <v>352.08</v>
      </c>
      <c r="I85" s="257">
        <v>133.67888505455369</v>
      </c>
      <c r="J85" s="272">
        <f>'[11]CoS 2017 Load History'!O123</f>
        <v>482</v>
      </c>
      <c r="K85" s="256"/>
      <c r="L85" s="18"/>
      <c r="M85" s="33"/>
      <c r="N85"/>
      <c r="O85"/>
      <c r="P85"/>
      <c r="Q85"/>
      <c r="R85"/>
      <c r="S85"/>
      <c r="T85"/>
      <c r="U85"/>
      <c r="V85"/>
      <c r="W85"/>
      <c r="X85"/>
      <c r="Y85"/>
      <c r="Z85"/>
      <c r="AA85"/>
      <c r="AB85"/>
    </row>
    <row r="86" spans="1:28" s="35" customFormat="1" hidden="1">
      <c r="A86" s="254">
        <v>38687</v>
      </c>
      <c r="B86" s="249">
        <f>'[11]CoS 2017 Load History'!L124</f>
        <v>29015604.499999993</v>
      </c>
      <c r="C86" s="269">
        <f>'Weather Data'!B182</f>
        <v>833.4</v>
      </c>
      <c r="D86" s="269">
        <f>'Weather Data'!C182</f>
        <v>0</v>
      </c>
      <c r="E86" s="256">
        <v>31</v>
      </c>
      <c r="F86" s="256">
        <v>0</v>
      </c>
      <c r="G86" s="256">
        <v>0</v>
      </c>
      <c r="H86" s="256">
        <v>319.92</v>
      </c>
      <c r="I86" s="257">
        <v>133.97600339315525</v>
      </c>
      <c r="J86" s="272">
        <f>'[11]CoS 2017 Load History'!O124</f>
        <v>483</v>
      </c>
      <c r="K86" s="256"/>
      <c r="L86" s="18"/>
      <c r="M86" s="33"/>
      <c r="N86"/>
      <c r="O86"/>
      <c r="P86"/>
      <c r="Q86"/>
      <c r="R86"/>
      <c r="S86"/>
      <c r="T86"/>
      <c r="U86"/>
      <c r="V86"/>
      <c r="W86"/>
      <c r="X86"/>
      <c r="Y86"/>
      <c r="Z86"/>
      <c r="AA86"/>
      <c r="AB86"/>
    </row>
    <row r="87" spans="1:28" s="35" customFormat="1">
      <c r="A87" s="254">
        <v>38718</v>
      </c>
      <c r="B87" s="249">
        <f>'[11]CoS 2017 Load History'!L125</f>
        <v>28857836.470000003</v>
      </c>
      <c r="C87" s="269">
        <f>'Weather Data'!B183</f>
        <v>797</v>
      </c>
      <c r="D87" s="269">
        <f>'Weather Data'!C183</f>
        <v>0</v>
      </c>
      <c r="E87" s="256">
        <v>31</v>
      </c>
      <c r="F87" s="256">
        <v>0</v>
      </c>
      <c r="G87" s="256">
        <f>'CDM Activity'!U19</f>
        <v>0</v>
      </c>
      <c r="H87" s="256">
        <v>336.28800000000001</v>
      </c>
      <c r="I87" s="257">
        <v>134.25197202423305</v>
      </c>
      <c r="J87" s="272">
        <f>'[11]CoS 2017 Load History'!O125</f>
        <v>484</v>
      </c>
      <c r="K87" s="273">
        <f>$O$103+C87*$O$104+D87*$O$105+E87*$O$106+F87*$O$107+G87*$O$108+H87*$O$109</f>
        <v>28003815.287805025</v>
      </c>
      <c r="L87" s="232">
        <f>K87-B87</f>
        <v>-854021.182194978</v>
      </c>
      <c r="M87" s="233">
        <f>ABS(L87/B87)</f>
        <v>2.9594082116405379E-2</v>
      </c>
      <c r="N87" t="s">
        <v>15</v>
      </c>
      <c r="O87"/>
      <c r="P87"/>
      <c r="Q87"/>
      <c r="R87"/>
      <c r="S87"/>
      <c r="T87"/>
      <c r="U87"/>
      <c r="V87"/>
      <c r="W87"/>
      <c r="X87"/>
      <c r="Y87"/>
      <c r="Z87"/>
      <c r="AA87"/>
      <c r="AB87"/>
    </row>
    <row r="88" spans="1:28" s="35" customFormat="1" ht="13.5" thickBot="1">
      <c r="A88" s="254">
        <v>38749</v>
      </c>
      <c r="B88" s="249">
        <f>'[11]CoS 2017 Load History'!L126</f>
        <v>27077340.080000006</v>
      </c>
      <c r="C88" s="269">
        <f>'Weather Data'!B184</f>
        <v>873.4</v>
      </c>
      <c r="D88" s="269">
        <f>'Weather Data'!C184</f>
        <v>0</v>
      </c>
      <c r="E88" s="256">
        <v>28</v>
      </c>
      <c r="F88" s="256">
        <v>0</v>
      </c>
      <c r="G88" s="256">
        <f>'CDM Activity'!U20</f>
        <v>0</v>
      </c>
      <c r="H88" s="256">
        <v>319.87200000000001</v>
      </c>
      <c r="I88" s="257">
        <v>134.52850910550649</v>
      </c>
      <c r="J88" s="272">
        <f>'[11]CoS 2017 Load History'!O126</f>
        <v>483</v>
      </c>
      <c r="K88" s="273">
        <f t="shared" ref="K88:K151" si="0">$O$103+C88*$O$104+D88*$O$105+E88*$O$106+F88*$O$107+G88*$O$108+H88*$O$109</f>
        <v>27092067.637277208</v>
      </c>
      <c r="L88" s="232">
        <f t="shared" ref="L88:L151" si="1">K88-B88</f>
        <v>14727.557277202606</v>
      </c>
      <c r="M88" s="233">
        <f t="shared" ref="M88:M151" si="2">ABS(L88/B88)</f>
        <v>5.439070910839113E-4</v>
      </c>
      <c r="N88"/>
      <c r="O88"/>
      <c r="P88"/>
      <c r="Q88"/>
      <c r="R88"/>
      <c r="S88"/>
      <c r="T88"/>
      <c r="U88"/>
      <c r="V88"/>
      <c r="W88"/>
      <c r="X88"/>
      <c r="Y88"/>
      <c r="Z88"/>
      <c r="AA88"/>
      <c r="AB88"/>
    </row>
    <row r="89" spans="1:28" s="35" customFormat="1">
      <c r="A89" s="254">
        <v>38777</v>
      </c>
      <c r="B89" s="249">
        <f>'[11]CoS 2017 Load History'!L127</f>
        <v>27505939.540000007</v>
      </c>
      <c r="C89" s="269">
        <f>'Weather Data'!B185</f>
        <v>659</v>
      </c>
      <c r="D89" s="269">
        <f>'Weather Data'!C185</f>
        <v>0</v>
      </c>
      <c r="E89" s="256">
        <v>31</v>
      </c>
      <c r="F89" s="256">
        <v>1</v>
      </c>
      <c r="G89" s="256">
        <f>'CDM Activity'!U21</f>
        <v>0</v>
      </c>
      <c r="H89" s="256">
        <v>368.28</v>
      </c>
      <c r="I89" s="257">
        <v>134.80561580788986</v>
      </c>
      <c r="J89" s="272">
        <f>'[11]CoS 2017 Load History'!O127</f>
        <v>492</v>
      </c>
      <c r="K89" s="273">
        <f t="shared" si="0"/>
        <v>26379073.673548743</v>
      </c>
      <c r="L89" s="232">
        <f t="shared" si="1"/>
        <v>-1126865.8664512634</v>
      </c>
      <c r="M89" s="233">
        <f t="shared" si="2"/>
        <v>4.0968092175602273E-2</v>
      </c>
      <c r="N89" s="53" t="s">
        <v>16</v>
      </c>
      <c r="O89" s="53"/>
      <c r="P89"/>
      <c r="Q89"/>
      <c r="R89"/>
      <c r="S89"/>
      <c r="T89"/>
      <c r="U89"/>
      <c r="V89"/>
      <c r="W89"/>
      <c r="X89"/>
      <c r="Y89"/>
      <c r="Z89"/>
      <c r="AA89"/>
      <c r="AB89"/>
    </row>
    <row r="90" spans="1:28" s="35" customFormat="1">
      <c r="A90" s="254">
        <v>38808</v>
      </c>
      <c r="B90" s="249">
        <f>'[11]CoS 2017 Load History'!L128</f>
        <v>23111766.710000001</v>
      </c>
      <c r="C90" s="269">
        <f>'Weather Data'!B186</f>
        <v>366</v>
      </c>
      <c r="D90" s="269">
        <f>'Weather Data'!C186</f>
        <v>0</v>
      </c>
      <c r="E90" s="256">
        <v>30</v>
      </c>
      <c r="F90" s="256">
        <v>1</v>
      </c>
      <c r="G90" s="256">
        <f>'CDM Activity'!U22</f>
        <v>0</v>
      </c>
      <c r="H90" s="256">
        <v>303.83999999999997</v>
      </c>
      <c r="I90" s="257">
        <v>135.08329330470943</v>
      </c>
      <c r="J90" s="272">
        <f>'[11]CoS 2017 Load History'!O128</f>
        <v>505</v>
      </c>
      <c r="K90" s="273">
        <f t="shared" si="0"/>
        <v>22831730.297703397</v>
      </c>
      <c r="L90" s="232">
        <f t="shared" si="1"/>
        <v>-280036.41229660437</v>
      </c>
      <c r="M90" s="233">
        <f t="shared" si="2"/>
        <v>1.2116616432245233E-2</v>
      </c>
      <c r="N90" s="40" t="s">
        <v>17</v>
      </c>
      <c r="O90" s="56">
        <v>0.98415329921146621</v>
      </c>
      <c r="P90"/>
      <c r="Q90"/>
      <c r="R90"/>
      <c r="S90"/>
      <c r="T90"/>
      <c r="U90"/>
      <c r="V90"/>
      <c r="W90"/>
      <c r="X90"/>
      <c r="Y90"/>
      <c r="Z90"/>
      <c r="AA90"/>
      <c r="AB90"/>
    </row>
    <row r="91" spans="1:28" s="35" customFormat="1">
      <c r="A91" s="254">
        <v>38838</v>
      </c>
      <c r="B91" s="249">
        <f>'[11]CoS 2017 Load History'!L129</f>
        <v>22990549.949999992</v>
      </c>
      <c r="C91" s="269">
        <f>'Weather Data'!B187</f>
        <v>241.5</v>
      </c>
      <c r="D91" s="269">
        <f>'Weather Data'!C187</f>
        <v>2.4</v>
      </c>
      <c r="E91" s="256">
        <v>31</v>
      </c>
      <c r="F91" s="256">
        <v>1</v>
      </c>
      <c r="G91" s="256">
        <f>'CDM Activity'!U23</f>
        <v>0</v>
      </c>
      <c r="H91" s="256">
        <v>351.91199999999998</v>
      </c>
      <c r="I91" s="257">
        <v>135.36154277170829</v>
      </c>
      <c r="J91" s="272">
        <f>'[11]CoS 2017 Load History'!O129</f>
        <v>495</v>
      </c>
      <c r="K91" s="273">
        <f t="shared" si="0"/>
        <v>22734917.414598774</v>
      </c>
      <c r="L91" s="232">
        <f t="shared" si="1"/>
        <v>-255632.53540121764</v>
      </c>
      <c r="M91" s="233">
        <f t="shared" si="2"/>
        <v>1.1119026554700477E-2</v>
      </c>
      <c r="N91" s="40" t="s">
        <v>18</v>
      </c>
      <c r="O91" s="56">
        <v>0.96855771634881371</v>
      </c>
      <c r="P91"/>
      <c r="Q91"/>
      <c r="R91"/>
      <c r="S91"/>
      <c r="T91"/>
      <c r="U91"/>
      <c r="V91"/>
      <c r="W91"/>
      <c r="X91"/>
      <c r="Y91"/>
      <c r="Z91"/>
      <c r="AA91"/>
      <c r="AB91"/>
    </row>
    <row r="92" spans="1:28" s="35" customFormat="1">
      <c r="A92" s="254">
        <v>38869</v>
      </c>
      <c r="B92" s="249">
        <f>'[11]CoS 2017 Load History'!L130</f>
        <v>22533456.889999997</v>
      </c>
      <c r="C92" s="269">
        <f>'Weather Data'!B188</f>
        <v>81.5</v>
      </c>
      <c r="D92" s="269">
        <f>'Weather Data'!C188</f>
        <v>9.3000000000000007</v>
      </c>
      <c r="E92" s="256">
        <v>30</v>
      </c>
      <c r="F92" s="256">
        <v>0</v>
      </c>
      <c r="G92" s="256">
        <f>'CDM Activity'!U24</f>
        <v>0</v>
      </c>
      <c r="H92" s="256">
        <v>352.08</v>
      </c>
      <c r="I92" s="257">
        <v>135.64036538705133</v>
      </c>
      <c r="J92" s="272">
        <f>'[11]CoS 2017 Load History'!O130</f>
        <v>493</v>
      </c>
      <c r="K92" s="273">
        <f t="shared" si="0"/>
        <v>21868163.478387002</v>
      </c>
      <c r="L92" s="232">
        <f t="shared" si="1"/>
        <v>-665293.41161299497</v>
      </c>
      <c r="M92" s="233">
        <f t="shared" si="2"/>
        <v>2.9524693652674391E-2</v>
      </c>
      <c r="N92" s="40" t="s">
        <v>19</v>
      </c>
      <c r="O92" s="56">
        <v>0.96688821456202512</v>
      </c>
      <c r="P92"/>
      <c r="Q92"/>
      <c r="R92"/>
      <c r="S92"/>
      <c r="T92"/>
      <c r="U92"/>
      <c r="V92"/>
      <c r="W92"/>
      <c r="X92"/>
      <c r="Y92"/>
      <c r="Z92"/>
      <c r="AA92"/>
      <c r="AB92"/>
    </row>
    <row r="93" spans="1:28" s="35" customFormat="1">
      <c r="A93" s="254">
        <v>38899</v>
      </c>
      <c r="B93" s="249">
        <f>'[11]CoS 2017 Load History'!L131</f>
        <v>24301815.839999992</v>
      </c>
      <c r="C93" s="269">
        <f>'Weather Data'!B189</f>
        <v>23.2</v>
      </c>
      <c r="D93" s="269">
        <f>'Weather Data'!C189</f>
        <v>70.099999999999994</v>
      </c>
      <c r="E93" s="256">
        <v>31</v>
      </c>
      <c r="F93" s="256">
        <v>0</v>
      </c>
      <c r="G93" s="256">
        <f>'CDM Activity'!U25</f>
        <v>0</v>
      </c>
      <c r="H93" s="256">
        <v>319.92</v>
      </c>
      <c r="I93" s="257">
        <v>135.9197623313303</v>
      </c>
      <c r="J93" s="272">
        <f>'[11]CoS 2017 Load History'!O131</f>
        <v>497</v>
      </c>
      <c r="K93" s="273">
        <f t="shared" si="0"/>
        <v>24238826.910879567</v>
      </c>
      <c r="L93" s="232">
        <f t="shared" si="1"/>
        <v>-62988.929120425135</v>
      </c>
      <c r="M93" s="233">
        <f t="shared" si="2"/>
        <v>2.5919433154763449E-3</v>
      </c>
      <c r="N93" s="40" t="s">
        <v>20</v>
      </c>
      <c r="O93" s="63">
        <v>504929.05732478434</v>
      </c>
      <c r="P93"/>
      <c r="Q93"/>
      <c r="R93"/>
      <c r="S93"/>
      <c r="T93"/>
      <c r="U93"/>
      <c r="V93"/>
      <c r="W93"/>
      <c r="X93"/>
      <c r="Y93"/>
      <c r="Z93"/>
      <c r="AA93"/>
      <c r="AB93"/>
    </row>
    <row r="94" spans="1:28" s="35" customFormat="1" ht="13.5" thickBot="1">
      <c r="A94" s="254">
        <v>38930</v>
      </c>
      <c r="B94" s="249">
        <f>'[11]CoS 2017 Load History'!L132</f>
        <v>23835759.899999991</v>
      </c>
      <c r="C94" s="269">
        <f>'Weather Data'!B190</f>
        <v>57.7</v>
      </c>
      <c r="D94" s="269">
        <f>'Weather Data'!C190</f>
        <v>31.7</v>
      </c>
      <c r="E94" s="256">
        <v>31</v>
      </c>
      <c r="F94" s="256">
        <v>0</v>
      </c>
      <c r="G94" s="256">
        <f>'CDM Activity'!U26</f>
        <v>0</v>
      </c>
      <c r="H94" s="256">
        <v>351.91199999999998</v>
      </c>
      <c r="I94" s="257">
        <v>136.19973478756879</v>
      </c>
      <c r="J94" s="272">
        <f>'[11]CoS 2017 Load History'!O132</f>
        <v>493</v>
      </c>
      <c r="K94" s="273">
        <f t="shared" si="0"/>
        <v>23120518.784029365</v>
      </c>
      <c r="L94" s="232">
        <f t="shared" si="1"/>
        <v>-715241.11597062647</v>
      </c>
      <c r="M94" s="233">
        <f t="shared" si="2"/>
        <v>3.0007061615460674E-2</v>
      </c>
      <c r="N94" s="51" t="s">
        <v>21</v>
      </c>
      <c r="O94" s="51">
        <v>120</v>
      </c>
      <c r="P94"/>
      <c r="Q94"/>
      <c r="R94"/>
      <c r="S94"/>
      <c r="T94"/>
      <c r="U94"/>
      <c r="V94"/>
      <c r="W94"/>
      <c r="X94"/>
      <c r="Y94"/>
      <c r="Z94"/>
      <c r="AA94"/>
      <c r="AB94"/>
    </row>
    <row r="95" spans="1:28" s="35" customFormat="1">
      <c r="A95" s="254">
        <v>38961</v>
      </c>
      <c r="B95" s="249">
        <f>'[11]CoS 2017 Load History'!L133</f>
        <v>22400469.269999985</v>
      </c>
      <c r="C95" s="269">
        <f>'Weather Data'!B191</f>
        <v>210.5</v>
      </c>
      <c r="D95" s="269">
        <f>'Weather Data'!C191</f>
        <v>1.2</v>
      </c>
      <c r="E95" s="256">
        <v>30</v>
      </c>
      <c r="F95" s="256">
        <v>1</v>
      </c>
      <c r="G95" s="256">
        <f>'CDM Activity'!U27</f>
        <v>0</v>
      </c>
      <c r="H95" s="256">
        <v>319.68</v>
      </c>
      <c r="I95" s="257">
        <v>136.48028394122719</v>
      </c>
      <c r="J95" s="272">
        <f>'[11]CoS 2017 Load History'!O133</f>
        <v>492</v>
      </c>
      <c r="K95" s="273">
        <f t="shared" si="0"/>
        <v>21668851.393077418</v>
      </c>
      <c r="L95" s="232">
        <f t="shared" si="1"/>
        <v>-731617.87692256644</v>
      </c>
      <c r="M95" s="233">
        <f t="shared" si="2"/>
        <v>3.2660828132845938E-2</v>
      </c>
      <c r="N95"/>
      <c r="O95"/>
      <c r="P95"/>
      <c r="Q95"/>
      <c r="R95"/>
      <c r="S95"/>
      <c r="T95"/>
      <c r="U95"/>
      <c r="V95"/>
      <c r="W95"/>
      <c r="X95"/>
      <c r="Y95"/>
      <c r="Z95"/>
      <c r="AA95"/>
      <c r="AB95"/>
    </row>
    <row r="96" spans="1:28" s="35" customFormat="1" ht="13.5" thickBot="1">
      <c r="A96" s="254">
        <v>38991</v>
      </c>
      <c r="B96" s="249">
        <f>'[11]CoS 2017 Load History'!L134</f>
        <v>24231401.169999972</v>
      </c>
      <c r="C96" s="269">
        <f>'Weather Data'!B192</f>
        <v>440.9</v>
      </c>
      <c r="D96" s="269">
        <f>'Weather Data'!C192</f>
        <v>0</v>
      </c>
      <c r="E96" s="256">
        <v>31</v>
      </c>
      <c r="F96" s="256">
        <v>1</v>
      </c>
      <c r="G96" s="256">
        <f>'CDM Activity'!U28</f>
        <v>0</v>
      </c>
      <c r="H96" s="256">
        <v>336.28800000000001</v>
      </c>
      <c r="I96" s="257">
        <v>136.76141098020776</v>
      </c>
      <c r="J96" s="272">
        <f>'[11]CoS 2017 Load History'!O134</f>
        <v>491</v>
      </c>
      <c r="K96" s="273">
        <f t="shared" si="0"/>
        <v>24227076.597799204</v>
      </c>
      <c r="L96" s="232">
        <f t="shared" si="1"/>
        <v>-4324.5722007676959</v>
      </c>
      <c r="M96" s="233">
        <f t="shared" si="2"/>
        <v>1.7846975378880663E-4</v>
      </c>
      <c r="N96" t="s">
        <v>22</v>
      </c>
      <c r="O96"/>
      <c r="P96"/>
      <c r="Q96"/>
      <c r="R96"/>
      <c r="S96"/>
      <c r="T96"/>
      <c r="U96"/>
      <c r="V96"/>
      <c r="W96"/>
      <c r="X96"/>
      <c r="Y96"/>
      <c r="Z96"/>
      <c r="AA96"/>
      <c r="AB96"/>
    </row>
    <row r="97" spans="1:28" s="35" customFormat="1">
      <c r="A97" s="254">
        <v>39022</v>
      </c>
      <c r="B97" s="249">
        <f>'[11]CoS 2017 Load History'!L135</f>
        <v>25214980.610000018</v>
      </c>
      <c r="C97" s="269">
        <f>'Weather Data'!B193</f>
        <v>540.4</v>
      </c>
      <c r="D97" s="269">
        <f>'Weather Data'!C193</f>
        <v>0</v>
      </c>
      <c r="E97" s="256">
        <v>30</v>
      </c>
      <c r="F97" s="256">
        <v>1</v>
      </c>
      <c r="G97" s="256">
        <f>'CDM Activity'!U29</f>
        <v>0</v>
      </c>
      <c r="H97" s="256">
        <v>352.08</v>
      </c>
      <c r="I97" s="257">
        <v>137.04311709485967</v>
      </c>
      <c r="J97" s="272">
        <f>'[11]CoS 2017 Load History'!O135</f>
        <v>491</v>
      </c>
      <c r="K97" s="273">
        <f t="shared" si="0"/>
        <v>24739500.301015444</v>
      </c>
      <c r="L97" s="232">
        <f t="shared" si="1"/>
        <v>-475480.30898457393</v>
      </c>
      <c r="M97" s="233">
        <f t="shared" si="2"/>
        <v>1.8857056300729536E-2</v>
      </c>
      <c r="N97" s="52"/>
      <c r="O97" s="52" t="s">
        <v>26</v>
      </c>
      <c r="P97" s="52" t="s">
        <v>27</v>
      </c>
      <c r="Q97" s="52" t="s">
        <v>28</v>
      </c>
      <c r="R97" s="52" t="s">
        <v>29</v>
      </c>
      <c r="S97" s="52" t="s">
        <v>30</v>
      </c>
      <c r="T97"/>
      <c r="U97"/>
      <c r="V97"/>
      <c r="W97"/>
      <c r="X97"/>
      <c r="Y97"/>
      <c r="Z97"/>
      <c r="AA97"/>
      <c r="AB97"/>
    </row>
    <row r="98" spans="1:28" s="35" customFormat="1">
      <c r="A98" s="254">
        <v>39052</v>
      </c>
      <c r="B98" s="249">
        <f>'[11]CoS 2017 Load History'!L136</f>
        <v>27155476.329999983</v>
      </c>
      <c r="C98" s="269">
        <f>'Weather Data'!B194</f>
        <v>747.4</v>
      </c>
      <c r="D98" s="269">
        <f>'Weather Data'!C194</f>
        <v>0</v>
      </c>
      <c r="E98" s="256">
        <v>31</v>
      </c>
      <c r="F98" s="256">
        <v>0</v>
      </c>
      <c r="G98" s="256">
        <f>'CDM Activity'!U30</f>
        <v>0</v>
      </c>
      <c r="H98" s="256">
        <v>304.29599999999999</v>
      </c>
      <c r="I98" s="257">
        <v>137.32540347798411</v>
      </c>
      <c r="J98" s="272">
        <f>'[11]CoS 2017 Load History'!O136</f>
        <v>494</v>
      </c>
      <c r="K98" s="273">
        <f t="shared" si="0"/>
        <v>27310465.58998904</v>
      </c>
      <c r="L98" s="232">
        <f t="shared" si="1"/>
        <v>154989.25998905674</v>
      </c>
      <c r="M98" s="233">
        <f t="shared" si="2"/>
        <v>5.7074771256298137E-3</v>
      </c>
      <c r="N98" s="40" t="s">
        <v>23</v>
      </c>
      <c r="O98" s="40">
        <v>6</v>
      </c>
      <c r="P98" s="40">
        <v>887463694538043.37</v>
      </c>
      <c r="Q98" s="40">
        <v>147910615756340.56</v>
      </c>
      <c r="R98" s="40">
        <v>580.14775666210392</v>
      </c>
      <c r="S98" s="40">
        <v>2.0327346813070812E-82</v>
      </c>
      <c r="T98"/>
      <c r="U98"/>
      <c r="V98"/>
      <c r="W98"/>
      <c r="X98"/>
      <c r="Y98"/>
      <c r="Z98"/>
      <c r="AA98"/>
      <c r="AB98"/>
    </row>
    <row r="99" spans="1:28" s="35" customFormat="1">
      <c r="A99" s="254">
        <v>39083</v>
      </c>
      <c r="B99" s="249">
        <f>'[11]CoS 2017 Load History'!L137</f>
        <v>29662727.760000009</v>
      </c>
      <c r="C99" s="269">
        <f>'Weather Data'!B195</f>
        <v>913.4</v>
      </c>
      <c r="D99" s="269">
        <f>'Weather Data'!C195</f>
        <v>0</v>
      </c>
      <c r="E99" s="256">
        <v>31</v>
      </c>
      <c r="F99" s="256">
        <v>0</v>
      </c>
      <c r="G99" s="256">
        <f>'CDM Activity'!U31</f>
        <v>0</v>
      </c>
      <c r="H99" s="256">
        <v>351.91199999999998</v>
      </c>
      <c r="I99" s="257">
        <v>137.552207546647</v>
      </c>
      <c r="J99" s="272">
        <f>'[11]CoS 2017 Load History'!O137</f>
        <v>493</v>
      </c>
      <c r="K99" s="273">
        <f t="shared" si="0"/>
        <v>29140370.757116914</v>
      </c>
      <c r="L99" s="232">
        <f t="shared" si="1"/>
        <v>-522357.00288309529</v>
      </c>
      <c r="M99" s="233">
        <f t="shared" si="2"/>
        <v>1.7609877524058667E-2</v>
      </c>
      <c r="N99" s="40" t="s">
        <v>24</v>
      </c>
      <c r="O99" s="40">
        <v>113</v>
      </c>
      <c r="P99" s="40">
        <v>28809728881191.172</v>
      </c>
      <c r="Q99" s="40">
        <v>254953352930.89532</v>
      </c>
      <c r="R99" s="40"/>
      <c r="S99" s="40"/>
      <c r="T99"/>
      <c r="U99"/>
      <c r="V99"/>
      <c r="W99"/>
      <c r="X99"/>
      <c r="Y99"/>
      <c r="Z99"/>
      <c r="AA99"/>
      <c r="AB99"/>
    </row>
    <row r="100" spans="1:28" s="35" customFormat="1" ht="13.5" thickBot="1">
      <c r="A100" s="254">
        <v>39114</v>
      </c>
      <c r="B100" s="249">
        <f>'[11]CoS 2017 Load History'!L138</f>
        <v>28296502.539999969</v>
      </c>
      <c r="C100" s="269">
        <f>'Weather Data'!B196</f>
        <v>924.7</v>
      </c>
      <c r="D100" s="269">
        <f>'Weather Data'!C196</f>
        <v>0</v>
      </c>
      <c r="E100" s="256">
        <v>28</v>
      </c>
      <c r="F100" s="256">
        <v>0</v>
      </c>
      <c r="G100" s="256">
        <f>'CDM Activity'!U32</f>
        <v>0</v>
      </c>
      <c r="H100" s="256">
        <v>319.87200000000001</v>
      </c>
      <c r="I100" s="257">
        <v>137.77938620066888</v>
      </c>
      <c r="J100" s="272">
        <f>'[11]CoS 2017 Load History'!O138</f>
        <v>492</v>
      </c>
      <c r="K100" s="273">
        <f t="shared" si="0"/>
        <v>27536154.346404754</v>
      </c>
      <c r="L100" s="232">
        <f t="shared" si="1"/>
        <v>-760348.19359521568</v>
      </c>
      <c r="M100" s="233">
        <f t="shared" si="2"/>
        <v>2.6870748161204255E-2</v>
      </c>
      <c r="N100" s="51" t="s">
        <v>5</v>
      </c>
      <c r="O100" s="51">
        <v>119</v>
      </c>
      <c r="P100" s="51">
        <v>916273423419234.5</v>
      </c>
      <c r="Q100" s="51"/>
      <c r="R100" s="51"/>
      <c r="S100" s="51"/>
      <c r="T100"/>
      <c r="U100"/>
      <c r="V100"/>
      <c r="W100"/>
      <c r="X100"/>
      <c r="Y100"/>
      <c r="Z100"/>
      <c r="AA100"/>
      <c r="AB100"/>
    </row>
    <row r="101" spans="1:28" s="35" customFormat="1" ht="13.5" thickBot="1">
      <c r="A101" s="254">
        <v>39142</v>
      </c>
      <c r="B101" s="249">
        <f>'[11]CoS 2017 Load History'!L139</f>
        <v>27525692.98999998</v>
      </c>
      <c r="C101" s="269">
        <f>'Weather Data'!B197</f>
        <v>665</v>
      </c>
      <c r="D101" s="269">
        <f>'Weather Data'!C197</f>
        <v>0</v>
      </c>
      <c r="E101" s="256">
        <v>31</v>
      </c>
      <c r="F101" s="256">
        <v>1</v>
      </c>
      <c r="G101" s="256">
        <f>'CDM Activity'!U33</f>
        <v>0</v>
      </c>
      <c r="H101" s="256">
        <v>351.91199999999998</v>
      </c>
      <c r="I101" s="257">
        <v>138.00694005870795</v>
      </c>
      <c r="J101" s="272">
        <f>'[11]CoS 2017 Load History'!O139</f>
        <v>494</v>
      </c>
      <c r="K101" s="273">
        <f t="shared" si="0"/>
        <v>26295954.456449043</v>
      </c>
      <c r="L101" s="232">
        <f t="shared" si="1"/>
        <v>-1229738.5335509367</v>
      </c>
      <c r="M101" s="233">
        <f t="shared" si="2"/>
        <v>4.4676024469127731E-2</v>
      </c>
      <c r="N101"/>
      <c r="O101"/>
      <c r="P101"/>
      <c r="Q101"/>
      <c r="R101"/>
      <c r="S101"/>
      <c r="T101"/>
      <c r="U101"/>
      <c r="V101"/>
      <c r="W101"/>
      <c r="X101"/>
      <c r="Y101"/>
      <c r="Z101"/>
      <c r="AA101"/>
      <c r="AB101"/>
    </row>
    <row r="102" spans="1:28" s="35" customFormat="1">
      <c r="A102" s="254">
        <v>39173</v>
      </c>
      <c r="B102" s="249">
        <f>'[11]CoS 2017 Load History'!L140</f>
        <v>23410934.150000002</v>
      </c>
      <c r="C102" s="269">
        <f>'Weather Data'!B198</f>
        <v>474.1</v>
      </c>
      <c r="D102" s="269">
        <f>'Weather Data'!C198</f>
        <v>0</v>
      </c>
      <c r="E102" s="256">
        <v>30</v>
      </c>
      <c r="F102" s="256">
        <v>1</v>
      </c>
      <c r="G102" s="256">
        <f>'CDM Activity'!U34</f>
        <v>0</v>
      </c>
      <c r="H102" s="256">
        <v>319.68</v>
      </c>
      <c r="I102" s="257">
        <v>138.23486974044414</v>
      </c>
      <c r="J102" s="272">
        <f>'[11]CoS 2017 Load History'!O140</f>
        <v>511</v>
      </c>
      <c r="K102" s="273">
        <f t="shared" si="0"/>
        <v>23898217.786678255</v>
      </c>
      <c r="L102" s="232">
        <f t="shared" si="1"/>
        <v>487283.63667825237</v>
      </c>
      <c r="M102" s="233">
        <f t="shared" si="2"/>
        <v>2.0814361082565017E-2</v>
      </c>
      <c r="N102" s="52"/>
      <c r="O102" s="52" t="s">
        <v>31</v>
      </c>
      <c r="P102" s="52" t="s">
        <v>20</v>
      </c>
      <c r="Q102" s="52" t="s">
        <v>32</v>
      </c>
      <c r="R102" s="52" t="s">
        <v>33</v>
      </c>
      <c r="S102" s="52" t="s">
        <v>34</v>
      </c>
      <c r="T102" s="52" t="s">
        <v>35</v>
      </c>
      <c r="U102"/>
      <c r="V102"/>
      <c r="W102"/>
      <c r="X102"/>
      <c r="Y102"/>
      <c r="Z102"/>
      <c r="AA102"/>
      <c r="AB102"/>
    </row>
    <row r="103" spans="1:28" s="35" customFormat="1">
      <c r="A103" s="254">
        <v>39203</v>
      </c>
      <c r="B103" s="249">
        <f>'[11]CoS 2017 Load History'!L141</f>
        <v>22478351.149999984</v>
      </c>
      <c r="C103" s="269">
        <f>'Weather Data'!B199</f>
        <v>250.9</v>
      </c>
      <c r="D103" s="269">
        <f>'Weather Data'!C199</f>
        <v>0.6</v>
      </c>
      <c r="E103" s="256">
        <v>31</v>
      </c>
      <c r="F103" s="256">
        <v>1</v>
      </c>
      <c r="G103" s="256">
        <f>'CDM Activity'!U35</f>
        <v>0</v>
      </c>
      <c r="H103" s="256">
        <v>351.91199999999998</v>
      </c>
      <c r="I103" s="257">
        <v>138.46317586658083</v>
      </c>
      <c r="J103" s="272">
        <f>'[11]CoS 2017 Load History'!O141</f>
        <v>502</v>
      </c>
      <c r="K103" s="273">
        <f t="shared" si="0"/>
        <v>22737495.860297628</v>
      </c>
      <c r="L103" s="232">
        <f t="shared" si="1"/>
        <v>259144.71029764414</v>
      </c>
      <c r="M103" s="233">
        <f t="shared" si="2"/>
        <v>1.1528635199634931E-2</v>
      </c>
      <c r="N103" s="40" t="s">
        <v>25</v>
      </c>
      <c r="O103" s="63">
        <v>3473770.7373167383</v>
      </c>
      <c r="P103" s="63">
        <v>1781797.9162560152</v>
      </c>
      <c r="Q103" s="54">
        <v>1.949587383408756</v>
      </c>
      <c r="R103" s="40">
        <v>5.3703024860569666E-2</v>
      </c>
      <c r="S103" s="63">
        <v>-56292.298815649934</v>
      </c>
      <c r="T103" s="63">
        <v>7003833.7734491266</v>
      </c>
      <c r="U103"/>
      <c r="V103"/>
      <c r="W103"/>
      <c r="X103"/>
      <c r="Y103"/>
      <c r="Z103"/>
      <c r="AA103"/>
      <c r="AB103"/>
    </row>
    <row r="104" spans="1:28" s="35" customFormat="1">
      <c r="A104" s="254">
        <v>39234</v>
      </c>
      <c r="B104" s="249">
        <f>'[11]CoS 2017 Load History'!L142</f>
        <v>22018767.950000007</v>
      </c>
      <c r="C104" s="269">
        <f>'Weather Data'!B200</f>
        <v>96.7</v>
      </c>
      <c r="D104" s="269">
        <f>'Weather Data'!C200</f>
        <v>6.5</v>
      </c>
      <c r="E104" s="256">
        <v>30</v>
      </c>
      <c r="F104" s="256">
        <v>0</v>
      </c>
      <c r="G104" s="256">
        <f>'CDM Activity'!U36</f>
        <v>0</v>
      </c>
      <c r="H104" s="256">
        <v>336.24</v>
      </c>
      <c r="I104" s="257">
        <v>138.69185905884657</v>
      </c>
      <c r="J104" s="272">
        <f>'[11]CoS 2017 Load History'!O142</f>
        <v>500</v>
      </c>
      <c r="K104" s="273">
        <f t="shared" si="0"/>
        <v>21746473.585033916</v>
      </c>
      <c r="L104" s="232">
        <f t="shared" si="1"/>
        <v>-272294.36496609077</v>
      </c>
      <c r="M104" s="233">
        <f t="shared" si="2"/>
        <v>1.2366466896985973E-2</v>
      </c>
      <c r="N104" s="40" t="s">
        <v>1</v>
      </c>
      <c r="O104" s="63">
        <v>8656.6609966383257</v>
      </c>
      <c r="P104" s="63">
        <v>185.29632434547224</v>
      </c>
      <c r="Q104" s="54">
        <v>46.717931546761697</v>
      </c>
      <c r="R104" s="40">
        <v>9.8599455586550121E-76</v>
      </c>
      <c r="S104" s="63">
        <v>8289.5555581733479</v>
      </c>
      <c r="T104" s="63">
        <v>9023.7664351033036</v>
      </c>
      <c r="U104"/>
      <c r="V104"/>
      <c r="W104"/>
      <c r="X104"/>
      <c r="Y104"/>
      <c r="Z104"/>
      <c r="AA104"/>
      <c r="AB104"/>
    </row>
    <row r="105" spans="1:28" s="35" customFormat="1">
      <c r="A105" s="254">
        <v>39264</v>
      </c>
      <c r="B105" s="249">
        <f>'[11]CoS 2017 Load History'!L143</f>
        <v>23322571.340000018</v>
      </c>
      <c r="C105" s="269">
        <f>'Weather Data'!B201</f>
        <v>40.200000000000003</v>
      </c>
      <c r="D105" s="269">
        <f>'Weather Data'!C201</f>
        <v>51.8</v>
      </c>
      <c r="E105" s="256">
        <v>31</v>
      </c>
      <c r="F105" s="256">
        <v>0</v>
      </c>
      <c r="G105" s="256">
        <f>'CDM Activity'!U37</f>
        <v>0</v>
      </c>
      <c r="H105" s="256">
        <v>336.28800000000001</v>
      </c>
      <c r="I105" s="257">
        <v>138.92091993999671</v>
      </c>
      <c r="J105" s="272">
        <f>'[11]CoS 2017 Load History'!O143</f>
        <v>501</v>
      </c>
      <c r="K105" s="273">
        <f t="shared" si="0"/>
        <v>23719975.292928245</v>
      </c>
      <c r="L105" s="232">
        <f t="shared" si="1"/>
        <v>397403.95292822644</v>
      </c>
      <c r="M105" s="233">
        <f t="shared" si="2"/>
        <v>1.7039457062208566E-2</v>
      </c>
      <c r="N105" s="40" t="s">
        <v>2</v>
      </c>
      <c r="O105" s="63">
        <v>43774.537594191286</v>
      </c>
      <c r="P105" s="63">
        <v>4454.8370408267219</v>
      </c>
      <c r="Q105" s="54">
        <v>9.8262937999787479</v>
      </c>
      <c r="R105" s="40">
        <v>7.6534362968418431E-17</v>
      </c>
      <c r="S105" s="63">
        <v>34948.701944512453</v>
      </c>
      <c r="T105" s="63">
        <v>52600.373243870119</v>
      </c>
      <c r="U105"/>
      <c r="V105"/>
      <c r="W105"/>
      <c r="X105"/>
      <c r="Y105"/>
      <c r="Z105"/>
      <c r="AA105"/>
      <c r="AB105"/>
    </row>
    <row r="106" spans="1:28" s="35" customFormat="1">
      <c r="A106" s="254">
        <v>39295</v>
      </c>
      <c r="B106" s="249">
        <f>'[11]CoS 2017 Load History'!L144</f>
        <v>23240376.049999986</v>
      </c>
      <c r="C106" s="269">
        <f>'Weather Data'!B202</f>
        <v>62.9</v>
      </c>
      <c r="D106" s="269">
        <f>'Weather Data'!C202</f>
        <v>22.1</v>
      </c>
      <c r="E106" s="256">
        <v>31</v>
      </c>
      <c r="F106" s="256">
        <v>0</v>
      </c>
      <c r="G106" s="256">
        <f>'CDM Activity'!U38</f>
        <v>0</v>
      </c>
      <c r="H106" s="256">
        <v>351.91199999999998</v>
      </c>
      <c r="I106" s="257">
        <v>139.15035913381516</v>
      </c>
      <c r="J106" s="272">
        <f>'[11]CoS 2017 Load History'!O144</f>
        <v>503</v>
      </c>
      <c r="K106" s="273">
        <f t="shared" si="0"/>
        <v>22745297.860307645</v>
      </c>
      <c r="L106" s="232">
        <f t="shared" si="1"/>
        <v>-495078.18969234079</v>
      </c>
      <c r="M106" s="233">
        <f t="shared" si="2"/>
        <v>2.1302503394403597E-2</v>
      </c>
      <c r="N106" s="40" t="s">
        <v>3</v>
      </c>
      <c r="O106" s="63">
        <v>479220.43320196122</v>
      </c>
      <c r="P106" s="63">
        <v>66099.339305009358</v>
      </c>
      <c r="Q106" s="54">
        <v>7.2500033773506019</v>
      </c>
      <c r="R106" s="40">
        <v>5.5383393697224297E-11</v>
      </c>
      <c r="S106" s="63">
        <v>348265.72040059109</v>
      </c>
      <c r="T106" s="63">
        <v>610175.14600333141</v>
      </c>
      <c r="U106"/>
      <c r="V106"/>
      <c r="W106"/>
      <c r="X106"/>
      <c r="Y106"/>
      <c r="Z106"/>
      <c r="AA106"/>
      <c r="AB106"/>
    </row>
    <row r="107" spans="1:28" s="35" customFormat="1">
      <c r="A107" s="254">
        <v>39326</v>
      </c>
      <c r="B107" s="249">
        <f>'[11]CoS 2017 Load History'!L145</f>
        <v>22268047.419999991</v>
      </c>
      <c r="C107" s="269">
        <f>'Weather Data'!B203</f>
        <v>164.7</v>
      </c>
      <c r="D107" s="269">
        <f>'Weather Data'!C203</f>
        <v>9.6</v>
      </c>
      <c r="E107" s="256">
        <v>30</v>
      </c>
      <c r="F107" s="256">
        <v>1</v>
      </c>
      <c r="G107" s="256">
        <f>'CDM Activity'!U39</f>
        <v>0</v>
      </c>
      <c r="H107" s="256">
        <v>303.83999999999997</v>
      </c>
      <c r="I107" s="257">
        <v>139.38017726511606</v>
      </c>
      <c r="J107" s="272">
        <f>'[11]CoS 2017 Load History'!O145</f>
        <v>503</v>
      </c>
      <c r="K107" s="273">
        <f t="shared" si="0"/>
        <v>21509379.999984335</v>
      </c>
      <c r="L107" s="232">
        <f t="shared" si="1"/>
        <v>-758667.42001565546</v>
      </c>
      <c r="M107" s="233">
        <f t="shared" si="2"/>
        <v>3.4069777457643648E-2</v>
      </c>
      <c r="N107" s="40" t="s">
        <v>14</v>
      </c>
      <c r="O107" s="63">
        <v>-694101.70910291106</v>
      </c>
      <c r="P107" s="63">
        <v>110782.38268467698</v>
      </c>
      <c r="Q107" s="54">
        <v>-6.2654520717301443</v>
      </c>
      <c r="R107" s="40">
        <v>6.9502021478037107E-9</v>
      </c>
      <c r="S107" s="63">
        <v>-913581.58984695212</v>
      </c>
      <c r="T107" s="63">
        <v>-474621.82835887006</v>
      </c>
      <c r="U107"/>
      <c r="V107"/>
      <c r="W107"/>
      <c r="X107"/>
      <c r="Y107"/>
      <c r="Z107"/>
      <c r="AA107"/>
      <c r="AB107"/>
    </row>
    <row r="108" spans="1:28" s="35" customFormat="1">
      <c r="A108" s="254">
        <v>39356</v>
      </c>
      <c r="B108" s="249">
        <f>'[11]CoS 2017 Load History'!L146</f>
        <v>23250601.389999993</v>
      </c>
      <c r="C108" s="269">
        <f>'Weather Data'!B204</f>
        <v>310.60000000000002</v>
      </c>
      <c r="D108" s="269">
        <f>'Weather Data'!C204</f>
        <v>0</v>
      </c>
      <c r="E108" s="256">
        <v>31</v>
      </c>
      <c r="F108" s="256">
        <v>1</v>
      </c>
      <c r="G108" s="256">
        <f>'CDM Activity'!U40</f>
        <v>0</v>
      </c>
      <c r="H108" s="256">
        <v>351.91199999999998</v>
      </c>
      <c r="I108" s="257">
        <v>139.61037495974546</v>
      </c>
      <c r="J108" s="272">
        <f>'[11]CoS 2017 Load History'!O146</f>
        <v>502</v>
      </c>
      <c r="K108" s="273">
        <f t="shared" si="0"/>
        <v>23228033.799240422</v>
      </c>
      <c r="L108" s="232">
        <f t="shared" si="1"/>
        <v>-22567.590759571642</v>
      </c>
      <c r="M108" s="233">
        <f t="shared" si="2"/>
        <v>9.7062395853889127E-4</v>
      </c>
      <c r="N108" s="40" t="s">
        <v>56</v>
      </c>
      <c r="O108" s="54">
        <v>-2.9028350728287893</v>
      </c>
      <c r="P108" s="54">
        <v>0.17834751493599335</v>
      </c>
      <c r="Q108" s="54">
        <v>-16.276285508494915</v>
      </c>
      <c r="R108" s="40">
        <v>2.1183127438633462E-31</v>
      </c>
      <c r="S108" s="54">
        <v>-3.2561736665703922</v>
      </c>
      <c r="T108" s="54">
        <v>-2.5494964790871864</v>
      </c>
      <c r="U108"/>
      <c r="V108"/>
      <c r="W108"/>
      <c r="X108"/>
      <c r="Y108"/>
      <c r="Z108"/>
      <c r="AA108"/>
      <c r="AB108"/>
    </row>
    <row r="109" spans="1:28" s="35" customFormat="1" ht="13.5" thickBot="1">
      <c r="A109" s="254">
        <v>39387</v>
      </c>
      <c r="B109" s="249">
        <f>'[11]CoS 2017 Load History'!L147</f>
        <v>25216488.030000024</v>
      </c>
      <c r="C109" s="269">
        <f>'Weather Data'!B205</f>
        <v>620.29999999999995</v>
      </c>
      <c r="D109" s="269">
        <f>'Weather Data'!C205</f>
        <v>0</v>
      </c>
      <c r="E109" s="256">
        <v>30</v>
      </c>
      <c r="F109" s="256">
        <v>1</v>
      </c>
      <c r="G109" s="256">
        <f>'CDM Activity'!U41</f>
        <v>0</v>
      </c>
      <c r="H109" s="256">
        <v>352.08</v>
      </c>
      <c r="I109" s="257">
        <v>139.84095284458306</v>
      </c>
      <c r="J109" s="272">
        <f>'[11]CoS 2017 Load History'!O147</f>
        <v>500</v>
      </c>
      <c r="K109" s="273">
        <f t="shared" si="0"/>
        <v>25431167.514646843</v>
      </c>
      <c r="L109" s="232">
        <f t="shared" si="1"/>
        <v>214679.48464681953</v>
      </c>
      <c r="M109" s="233">
        <f t="shared" si="2"/>
        <v>8.5134569251441999E-3</v>
      </c>
      <c r="N109" s="51" t="s">
        <v>58</v>
      </c>
      <c r="O109" s="55">
        <v>8251.4163660515442</v>
      </c>
      <c r="P109" s="55">
        <v>3022.9063796408755</v>
      </c>
      <c r="Q109" s="55">
        <v>2.729630140590666</v>
      </c>
      <c r="R109" s="51">
        <v>7.3563063357765593E-3</v>
      </c>
      <c r="S109" s="55">
        <v>2262.4936183577593</v>
      </c>
      <c r="T109" s="55">
        <v>14240.339113745329</v>
      </c>
      <c r="U109"/>
      <c r="V109"/>
      <c r="W109"/>
      <c r="X109"/>
      <c r="Y109"/>
      <c r="Z109"/>
      <c r="AA109"/>
      <c r="AB109"/>
    </row>
    <row r="110" spans="1:28" s="35" customFormat="1">
      <c r="A110" s="254">
        <v>39417</v>
      </c>
      <c r="B110" s="249">
        <f>'[11]CoS 2017 Load History'!L148</f>
        <v>28290655.52999999</v>
      </c>
      <c r="C110" s="269">
        <f>'Weather Data'!B206</f>
        <v>925.8</v>
      </c>
      <c r="D110" s="269">
        <f>'Weather Data'!C206</f>
        <v>0</v>
      </c>
      <c r="E110" s="256">
        <v>31</v>
      </c>
      <c r="F110" s="256">
        <v>0</v>
      </c>
      <c r="G110" s="256">
        <f>'CDM Activity'!U42</f>
        <v>0</v>
      </c>
      <c r="H110" s="256">
        <v>304.29599999999999</v>
      </c>
      <c r="I110" s="257">
        <v>140.07191154754381</v>
      </c>
      <c r="J110" s="272">
        <f>'[11]CoS 2017 Load History'!O148</f>
        <v>505</v>
      </c>
      <c r="K110" s="273">
        <f t="shared" si="0"/>
        <v>28854813.911789317</v>
      </c>
      <c r="L110" s="232">
        <f t="shared" si="1"/>
        <v>564158.38178932667</v>
      </c>
      <c r="M110" s="233">
        <f t="shared" si="2"/>
        <v>1.9941509704187715E-2</v>
      </c>
      <c r="N110"/>
      <c r="O110"/>
      <c r="P110"/>
      <c r="Q110"/>
      <c r="R110"/>
      <c r="S110"/>
      <c r="T110"/>
      <c r="U110"/>
      <c r="V110"/>
      <c r="W110"/>
      <c r="X110"/>
      <c r="Y110"/>
      <c r="Z110"/>
      <c r="AA110"/>
      <c r="AB110"/>
    </row>
    <row r="111" spans="1:28" s="35" customFormat="1">
      <c r="A111" s="254">
        <v>39448</v>
      </c>
      <c r="B111" s="249">
        <f>'[11]CoS 2017 Load History'!L149</f>
        <v>29938301.859999973</v>
      </c>
      <c r="C111" s="269">
        <f>'Weather Data'!B207</f>
        <v>934.70000000000016</v>
      </c>
      <c r="D111" s="269">
        <f>'Weather Data'!C207</f>
        <v>0</v>
      </c>
      <c r="E111" s="256">
        <v>31</v>
      </c>
      <c r="F111" s="256">
        <v>0</v>
      </c>
      <c r="G111" s="256">
        <f>'CDM Activity'!U43</f>
        <v>1664.0584928561793</v>
      </c>
      <c r="H111" s="260">
        <v>352</v>
      </c>
      <c r="I111" s="259">
        <v>139.96642175819056</v>
      </c>
      <c r="J111" s="272">
        <f>'[11]CoS 2017 Load History'!O149</f>
        <v>506</v>
      </c>
      <c r="K111" s="273">
        <f t="shared" si="0"/>
        <v>29320653.273629222</v>
      </c>
      <c r="L111" s="232">
        <f t="shared" si="1"/>
        <v>-617648.58637075126</v>
      </c>
      <c r="M111" s="233">
        <f t="shared" si="2"/>
        <v>2.0630715438004866E-2</v>
      </c>
      <c r="N111"/>
      <c r="O111"/>
      <c r="P111"/>
      <c r="Q111"/>
      <c r="R111"/>
      <c r="S111"/>
      <c r="T111"/>
      <c r="U111"/>
      <c r="V111"/>
      <c r="W111"/>
      <c r="X111"/>
      <c r="Y111"/>
      <c r="Z111"/>
      <c r="AA111"/>
      <c r="AB111"/>
    </row>
    <row r="112" spans="1:28" s="35" customFormat="1">
      <c r="A112" s="254">
        <v>39479</v>
      </c>
      <c r="B112" s="249">
        <f>'[11]CoS 2017 Load History'!L150</f>
        <v>28649711.050000001</v>
      </c>
      <c r="C112" s="269">
        <f>'Weather Data'!B208</f>
        <v>921.50000000000011</v>
      </c>
      <c r="D112" s="269">
        <f>'Weather Data'!C208</f>
        <v>0</v>
      </c>
      <c r="E112" s="256">
        <v>29</v>
      </c>
      <c r="F112" s="256">
        <v>0</v>
      </c>
      <c r="G112" s="256">
        <f>'CDM Activity'!U44</f>
        <v>3328.1169857123587</v>
      </c>
      <c r="H112" s="260">
        <v>320</v>
      </c>
      <c r="I112" s="259">
        <v>139.86101141442734</v>
      </c>
      <c r="J112" s="272">
        <f>'[11]CoS 2017 Load History'!O150</f>
        <v>508</v>
      </c>
      <c r="K112" s="273">
        <f t="shared" si="0"/>
        <v>27979068.670999724</v>
      </c>
      <c r="L112" s="232">
        <f t="shared" si="1"/>
        <v>-670642.37900027633</v>
      </c>
      <c r="M112" s="233">
        <f t="shared" si="2"/>
        <v>2.3408347045101394E-2</v>
      </c>
      <c r="N112"/>
      <c r="O112"/>
      <c r="P112"/>
      <c r="Q112"/>
      <c r="R112"/>
      <c r="S112"/>
      <c r="T112"/>
      <c r="U112"/>
      <c r="V112"/>
      <c r="W112"/>
      <c r="X112"/>
      <c r="Y112"/>
      <c r="Z112"/>
      <c r="AA112"/>
      <c r="AB112"/>
    </row>
    <row r="113" spans="1:28" s="35" customFormat="1">
      <c r="A113" s="254">
        <v>39508</v>
      </c>
      <c r="B113" s="249">
        <f>'[11]CoS 2017 Load History'!L151</f>
        <v>27818185.449999981</v>
      </c>
      <c r="C113" s="269">
        <f>'Weather Data'!B209</f>
        <v>791.9</v>
      </c>
      <c r="D113" s="269">
        <f>'Weather Data'!C209</f>
        <v>0</v>
      </c>
      <c r="E113" s="256">
        <v>31</v>
      </c>
      <c r="F113" s="256">
        <v>1</v>
      </c>
      <c r="G113" s="256">
        <f>'CDM Activity'!U45</f>
        <v>4992.175478568538</v>
      </c>
      <c r="H113" s="260">
        <v>304</v>
      </c>
      <c r="I113" s="259">
        <v>139.75568045642274</v>
      </c>
      <c r="J113" s="272">
        <f>'[11]CoS 2017 Load History'!O151</f>
        <v>507</v>
      </c>
      <c r="K113" s="273">
        <f t="shared" si="0"/>
        <v>26984651.413923278</v>
      </c>
      <c r="L113" s="232">
        <f t="shared" si="1"/>
        <v>-833534.03607670218</v>
      </c>
      <c r="M113" s="233">
        <f t="shared" si="2"/>
        <v>2.996363790783136E-2</v>
      </c>
      <c r="N113"/>
      <c r="O113"/>
      <c r="P113"/>
      <c r="Q113"/>
      <c r="R113"/>
      <c r="S113"/>
      <c r="T113"/>
      <c r="U113"/>
      <c r="V113"/>
      <c r="W113"/>
      <c r="X113"/>
      <c r="Y113"/>
      <c r="Z113"/>
      <c r="AA113"/>
      <c r="AB113"/>
    </row>
    <row r="114" spans="1:28" s="35" customFormat="1">
      <c r="A114" s="254">
        <v>39539</v>
      </c>
      <c r="B114" s="249">
        <f>'[11]CoS 2017 Load History'!L152</f>
        <v>23652657.520000007</v>
      </c>
      <c r="C114" s="269">
        <f>'Weather Data'!B210</f>
        <v>456.89999999999986</v>
      </c>
      <c r="D114" s="269">
        <f>'Weather Data'!C210</f>
        <v>0</v>
      </c>
      <c r="E114" s="256">
        <v>30</v>
      </c>
      <c r="F114" s="256">
        <v>1</v>
      </c>
      <c r="G114" s="256">
        <f>'CDM Activity'!U46</f>
        <v>6656.2339714247173</v>
      </c>
      <c r="H114" s="260">
        <v>352</v>
      </c>
      <c r="I114" s="259">
        <v>139.65042882439042</v>
      </c>
      <c r="J114" s="272">
        <f>'[11]CoS 2017 Load History'!O152</f>
        <v>511</v>
      </c>
      <c r="K114" s="273">
        <f t="shared" si="0"/>
        <v>23996687.045061652</v>
      </c>
      <c r="L114" s="232">
        <f t="shared" si="1"/>
        <v>344029.52506164461</v>
      </c>
      <c r="M114" s="233">
        <f t="shared" si="2"/>
        <v>1.4545068551842141E-2</v>
      </c>
      <c r="N114"/>
      <c r="O114"/>
      <c r="P114"/>
      <c r="Q114"/>
      <c r="R114"/>
      <c r="S114"/>
      <c r="T114"/>
      <c r="U114"/>
      <c r="V114"/>
      <c r="W114"/>
      <c r="X114"/>
      <c r="Y114"/>
      <c r="Z114"/>
      <c r="AA114"/>
      <c r="AB114"/>
    </row>
    <row r="115" spans="1:28" s="35" customFormat="1">
      <c r="A115" s="254">
        <v>39569</v>
      </c>
      <c r="B115" s="249">
        <f>'[11]CoS 2017 Load History'!L153</f>
        <v>22308792.069999997</v>
      </c>
      <c r="C115" s="269">
        <f>'Weather Data'!B211</f>
        <v>327.7</v>
      </c>
      <c r="D115" s="269">
        <f>'Weather Data'!C211</f>
        <v>0</v>
      </c>
      <c r="E115" s="256">
        <v>31</v>
      </c>
      <c r="F115" s="256">
        <v>1</v>
      </c>
      <c r="G115" s="256">
        <f>'CDM Activity'!U47</f>
        <v>8320.2924642808975</v>
      </c>
      <c r="H115" s="260">
        <v>336</v>
      </c>
      <c r="I115" s="259">
        <v>139.54525645858905</v>
      </c>
      <c r="J115" s="272">
        <f>'[11]CoS 2017 Load History'!O153</f>
        <v>506</v>
      </c>
      <c r="K115" s="273">
        <f t="shared" si="0"/>
        <v>23220613.728284821</v>
      </c>
      <c r="L115" s="232">
        <f t="shared" si="1"/>
        <v>911821.65828482434</v>
      </c>
      <c r="M115" s="233">
        <f t="shared" si="2"/>
        <v>4.0872748978238359E-2</v>
      </c>
      <c r="N115"/>
      <c r="O115"/>
      <c r="P115"/>
      <c r="Q115"/>
      <c r="R115"/>
      <c r="S115"/>
      <c r="T115"/>
      <c r="U115"/>
      <c r="V115"/>
      <c r="W115"/>
      <c r="X115"/>
      <c r="Y115"/>
      <c r="Z115"/>
      <c r="AA115"/>
      <c r="AB115"/>
    </row>
    <row r="116" spans="1:28" s="35" customFormat="1">
      <c r="A116" s="254">
        <v>39600</v>
      </c>
      <c r="B116" s="249">
        <f>'[11]CoS 2017 Load History'!L154</f>
        <v>21249644.889999986</v>
      </c>
      <c r="C116" s="269">
        <f>'Weather Data'!B212</f>
        <v>109.89999999999998</v>
      </c>
      <c r="D116" s="269">
        <f>'Weather Data'!C212</f>
        <v>4.5999999999999996</v>
      </c>
      <c r="E116" s="256">
        <v>30</v>
      </c>
      <c r="F116" s="256">
        <v>0</v>
      </c>
      <c r="G116" s="256">
        <f>'CDM Activity'!U48</f>
        <v>9984.3509571370778</v>
      </c>
      <c r="H116" s="260">
        <v>336</v>
      </c>
      <c r="I116" s="259">
        <v>139.44016329932234</v>
      </c>
      <c r="J116" s="272">
        <f>'[11]CoS 2017 Load History'!O154</f>
        <v>503</v>
      </c>
      <c r="K116" s="273">
        <f t="shared" si="0"/>
        <v>21746606.624694921</v>
      </c>
      <c r="L116" s="232">
        <f t="shared" si="1"/>
        <v>496961.73469493538</v>
      </c>
      <c r="M116" s="233">
        <f t="shared" si="2"/>
        <v>2.3386825392494159E-2</v>
      </c>
      <c r="N116"/>
      <c r="O116"/>
      <c r="P116"/>
      <c r="Q116"/>
      <c r="R116"/>
      <c r="S116"/>
      <c r="T116"/>
      <c r="U116"/>
      <c r="V116"/>
      <c r="W116"/>
      <c r="X116"/>
      <c r="Y116"/>
      <c r="Z116"/>
      <c r="AA116"/>
      <c r="AB116"/>
    </row>
    <row r="117" spans="1:28" s="35" customFormat="1">
      <c r="A117" s="254">
        <v>39630</v>
      </c>
      <c r="B117" s="249">
        <f>'[11]CoS 2017 Load History'!L155</f>
        <v>22972303.899999972</v>
      </c>
      <c r="C117" s="269">
        <f>'Weather Data'!B213</f>
        <v>34.700000000000003</v>
      </c>
      <c r="D117" s="269">
        <f>'Weather Data'!C213</f>
        <v>22.1</v>
      </c>
      <c r="E117" s="256">
        <v>31</v>
      </c>
      <c r="F117" s="256">
        <v>0</v>
      </c>
      <c r="G117" s="256">
        <f>'CDM Activity'!U49</f>
        <v>11648.409449993258</v>
      </c>
      <c r="H117" s="260">
        <v>352</v>
      </c>
      <c r="I117" s="259">
        <v>139.3351492869389</v>
      </c>
      <c r="J117" s="272">
        <f>'[11]CoS 2017 Load History'!O155</f>
        <v>504</v>
      </c>
      <c r="K117" s="273">
        <f t="shared" si="0"/>
        <v>22468092.733348548</v>
      </c>
      <c r="L117" s="232">
        <f t="shared" si="1"/>
        <v>-504211.16665142402</v>
      </c>
      <c r="M117" s="233">
        <f t="shared" si="2"/>
        <v>2.1948654729899538E-2</v>
      </c>
      <c r="N117"/>
      <c r="O117"/>
      <c r="P117"/>
      <c r="Q117"/>
      <c r="R117"/>
      <c r="S117"/>
      <c r="T117"/>
      <c r="U117"/>
      <c r="V117"/>
      <c r="W117"/>
      <c r="X117"/>
      <c r="Y117"/>
      <c r="Z117"/>
      <c r="AA117"/>
      <c r="AB117"/>
    </row>
    <row r="118" spans="1:28" s="35" customFormat="1">
      <c r="A118" s="254">
        <v>39661</v>
      </c>
      <c r="B118" s="249">
        <f>'[11]CoS 2017 Load History'!L156</f>
        <v>22825574.800000034</v>
      </c>
      <c r="C118" s="269">
        <f>'Weather Data'!B214</f>
        <v>50.400000000000006</v>
      </c>
      <c r="D118" s="269">
        <f>'Weather Data'!C214</f>
        <v>22.200000000000003</v>
      </c>
      <c r="E118" s="256">
        <v>31</v>
      </c>
      <c r="F118" s="256">
        <v>0</v>
      </c>
      <c r="G118" s="256">
        <f>'CDM Activity'!U50</f>
        <v>13312.467942849438</v>
      </c>
      <c r="H118" s="260">
        <v>320</v>
      </c>
      <c r="I118" s="259">
        <v>139.23021436183228</v>
      </c>
      <c r="J118" s="272">
        <f>'[11]CoS 2017 Load History'!O156</f>
        <v>504</v>
      </c>
      <c r="K118" s="273">
        <f t="shared" si="0"/>
        <v>22339503.953685235</v>
      </c>
      <c r="L118" s="232">
        <f t="shared" si="1"/>
        <v>-486070.84631479904</v>
      </c>
      <c r="M118" s="233">
        <f t="shared" si="2"/>
        <v>2.12950101179839E-2</v>
      </c>
      <c r="N118"/>
      <c r="O118"/>
      <c r="P118"/>
      <c r="Q118"/>
      <c r="R118"/>
      <c r="S118"/>
      <c r="T118"/>
      <c r="U118"/>
      <c r="V118"/>
      <c r="W118"/>
      <c r="X118"/>
      <c r="Y118"/>
      <c r="Z118"/>
      <c r="AA118"/>
      <c r="AB118"/>
    </row>
    <row r="119" spans="1:28" s="35" customFormat="1">
      <c r="A119" s="254">
        <v>39692</v>
      </c>
      <c r="B119" s="249">
        <f>'[11]CoS 2017 Load History'!L157</f>
        <v>21467207.539999992</v>
      </c>
      <c r="C119" s="269">
        <f>'Weather Data'!B215</f>
        <v>193.29999999999998</v>
      </c>
      <c r="D119" s="269">
        <f>'Weather Data'!C215</f>
        <v>7</v>
      </c>
      <c r="E119" s="256">
        <v>30</v>
      </c>
      <c r="F119" s="256">
        <v>1</v>
      </c>
      <c r="G119" s="256">
        <f>'CDM Activity'!U51</f>
        <v>14976.526435705618</v>
      </c>
      <c r="H119" s="260">
        <v>336</v>
      </c>
      <c r="I119" s="259">
        <v>139.12535846444095</v>
      </c>
      <c r="J119" s="272">
        <f>'[11]CoS 2017 Load History'!O157</f>
        <v>504</v>
      </c>
      <c r="K119" s="273">
        <f t="shared" si="0"/>
        <v>21865037.870868802</v>
      </c>
      <c r="L119" s="232">
        <f t="shared" si="1"/>
        <v>397830.33086881042</v>
      </c>
      <c r="M119" s="233">
        <f t="shared" si="2"/>
        <v>1.8532001897663238E-2</v>
      </c>
      <c r="N119"/>
      <c r="O119"/>
      <c r="P119"/>
      <c r="Q119"/>
      <c r="R119"/>
      <c r="S119"/>
      <c r="T119"/>
      <c r="U119"/>
      <c r="V119"/>
      <c r="W119"/>
      <c r="X119"/>
      <c r="Y119"/>
      <c r="Z119"/>
      <c r="AA119"/>
      <c r="AB119"/>
    </row>
    <row r="120" spans="1:28" s="35" customFormat="1">
      <c r="A120" s="254">
        <v>39722</v>
      </c>
      <c r="B120" s="249">
        <f>'[11]CoS 2017 Load History'!L158</f>
        <v>22467926.269999996</v>
      </c>
      <c r="C120" s="269">
        <f>'Weather Data'!B216</f>
        <v>373.09999999999997</v>
      </c>
      <c r="D120" s="269">
        <f>'Weather Data'!C216</f>
        <v>0</v>
      </c>
      <c r="E120" s="256">
        <v>31</v>
      </c>
      <c r="F120" s="256">
        <v>1</v>
      </c>
      <c r="G120" s="256">
        <f>'CDM Activity'!U52</f>
        <v>16640.584928561799</v>
      </c>
      <c r="H120" s="260">
        <v>352</v>
      </c>
      <c r="I120" s="259">
        <v>139.02058153524823</v>
      </c>
      <c r="J120" s="272">
        <f>'[11]CoS 2017 Load History'!O158</f>
        <v>510</v>
      </c>
      <c r="K120" s="273">
        <f t="shared" si="0"/>
        <v>23721496.362607513</v>
      </c>
      <c r="L120" s="232">
        <f t="shared" si="1"/>
        <v>1253570.0926075168</v>
      </c>
      <c r="M120" s="233">
        <f t="shared" si="2"/>
        <v>5.5793760293816247E-2</v>
      </c>
      <c r="N120"/>
      <c r="O120"/>
      <c r="P120"/>
      <c r="Q120"/>
      <c r="R120"/>
      <c r="S120"/>
      <c r="T120"/>
      <c r="U120"/>
      <c r="V120"/>
      <c r="W120"/>
      <c r="X120"/>
      <c r="Y120"/>
      <c r="Z120"/>
      <c r="AA120"/>
      <c r="AB120"/>
    </row>
    <row r="121" spans="1:28" s="35" customFormat="1">
      <c r="A121" s="254">
        <v>39753</v>
      </c>
      <c r="B121" s="249">
        <f>'[11]CoS 2017 Load History'!L159</f>
        <v>24892281.799999986</v>
      </c>
      <c r="C121" s="269">
        <f>'Weather Data'!B217</f>
        <v>591.00000000000011</v>
      </c>
      <c r="D121" s="269">
        <f>'Weather Data'!C217</f>
        <v>0</v>
      </c>
      <c r="E121" s="256">
        <v>30</v>
      </c>
      <c r="F121" s="256">
        <v>1</v>
      </c>
      <c r="G121" s="256">
        <f>'CDM Activity'!U53</f>
        <v>18304.643421417979</v>
      </c>
      <c r="H121" s="260">
        <v>304</v>
      </c>
      <c r="I121" s="259">
        <v>138.91588351478222</v>
      </c>
      <c r="J121" s="272">
        <f>'[11]CoS 2017 Load History'!O159</f>
        <v>517</v>
      </c>
      <c r="K121" s="273">
        <f t="shared" si="0"/>
        <v>24727663.887646269</v>
      </c>
      <c r="L121" s="232">
        <f t="shared" si="1"/>
        <v>-164617.91235371679</v>
      </c>
      <c r="M121" s="233">
        <f t="shared" si="2"/>
        <v>6.6132110216475569E-3</v>
      </c>
      <c r="N121"/>
      <c r="O121"/>
      <c r="P121"/>
      <c r="Q121"/>
      <c r="R121"/>
      <c r="S121"/>
      <c r="T121"/>
      <c r="U121"/>
      <c r="V121"/>
      <c r="W121"/>
      <c r="X121"/>
      <c r="Y121"/>
      <c r="Z121"/>
      <c r="AA121"/>
      <c r="AB121"/>
    </row>
    <row r="122" spans="1:28" s="35" customFormat="1">
      <c r="A122" s="254">
        <v>39783</v>
      </c>
      <c r="B122" s="249">
        <f>'[11]CoS 2017 Load History'!L160</f>
        <v>29306389.769999992</v>
      </c>
      <c r="C122" s="269">
        <f>'Weather Data'!B218</f>
        <v>1033.7999999999997</v>
      </c>
      <c r="D122" s="269">
        <f>'Weather Data'!C218</f>
        <v>0</v>
      </c>
      <c r="E122" s="256">
        <v>31</v>
      </c>
      <c r="F122" s="256">
        <v>0</v>
      </c>
      <c r="G122" s="256">
        <f>'CDM Activity'!U54</f>
        <v>19968.701914274159</v>
      </c>
      <c r="H122" s="260">
        <v>336</v>
      </c>
      <c r="I122" s="259">
        <v>138.8112643436159</v>
      </c>
      <c r="J122" s="272">
        <f>'[11]CoS 2017 Load History'!O160</f>
        <v>507</v>
      </c>
      <c r="K122" s="273">
        <f t="shared" si="0"/>
        <v>29993370.355619937</v>
      </c>
      <c r="L122" s="232">
        <f t="shared" si="1"/>
        <v>686980.58561994508</v>
      </c>
      <c r="M122" s="233">
        <f t="shared" si="2"/>
        <v>2.3441324264484635E-2</v>
      </c>
      <c r="N122"/>
      <c r="O122"/>
      <c r="P122"/>
      <c r="Q122"/>
      <c r="R122"/>
      <c r="S122"/>
      <c r="T122"/>
      <c r="U122"/>
      <c r="V122"/>
      <c r="W122"/>
      <c r="X122"/>
      <c r="Y122"/>
      <c r="Z122"/>
      <c r="AA122"/>
      <c r="AB122"/>
    </row>
    <row r="123" spans="1:28" s="35" customFormat="1">
      <c r="A123" s="254">
        <v>39814</v>
      </c>
      <c r="B123" s="249">
        <f>'[11]CoS 2017 Load History'!L161</f>
        <v>30390902.34999999</v>
      </c>
      <c r="C123" s="269">
        <f>'Weather Data'!B219</f>
        <v>1093.3999999999996</v>
      </c>
      <c r="D123" s="269">
        <f>'Weather Data'!C219</f>
        <v>0</v>
      </c>
      <c r="E123" s="256">
        <v>31</v>
      </c>
      <c r="F123" s="256">
        <v>0</v>
      </c>
      <c r="G123" s="256">
        <f>'CDM Activity'!U55</f>
        <v>32350.641219676876</v>
      </c>
      <c r="H123" s="260">
        <v>336</v>
      </c>
      <c r="I123" s="259">
        <v>138.43555825854429</v>
      </c>
      <c r="J123" s="272">
        <f>'[11]CoS 2017 Load History'!O161</f>
        <v>507</v>
      </c>
      <c r="K123" s="273">
        <f t="shared" si="0"/>
        <v>30473364.623334222</v>
      </c>
      <c r="L123" s="232">
        <f t="shared" si="1"/>
        <v>82462.273334231228</v>
      </c>
      <c r="M123" s="233">
        <f t="shared" si="2"/>
        <v>2.713386801897024E-3</v>
      </c>
      <c r="N123"/>
      <c r="O123"/>
      <c r="P123"/>
      <c r="Q123"/>
      <c r="R123"/>
      <c r="S123"/>
      <c r="T123"/>
      <c r="U123"/>
      <c r="V123"/>
      <c r="W123"/>
      <c r="X123"/>
      <c r="Y123"/>
      <c r="Z123"/>
      <c r="AA123"/>
      <c r="AB123"/>
    </row>
    <row r="124" spans="1:28" s="35" customFormat="1">
      <c r="A124" s="254">
        <v>39845</v>
      </c>
      <c r="B124" s="249">
        <f>'[11]CoS 2017 Load History'!L162</f>
        <v>26265717.409999982</v>
      </c>
      <c r="C124" s="269">
        <f>'Weather Data'!B220</f>
        <v>838.90000000000009</v>
      </c>
      <c r="D124" s="269">
        <f>'Weather Data'!C220</f>
        <v>0</v>
      </c>
      <c r="E124" s="256">
        <v>28</v>
      </c>
      <c r="F124" s="256">
        <v>0</v>
      </c>
      <c r="G124" s="256">
        <f>'CDM Activity'!U56</f>
        <v>44732.580525079597</v>
      </c>
      <c r="H124" s="260">
        <v>304</v>
      </c>
      <c r="I124" s="259">
        <v>138.06086905825526</v>
      </c>
      <c r="J124" s="272">
        <f>'[11]CoS 2017 Load History'!O162</f>
        <v>509</v>
      </c>
      <c r="K124" s="273">
        <f t="shared" si="0"/>
        <v>26532595.048684873</v>
      </c>
      <c r="L124" s="232">
        <f t="shared" si="1"/>
        <v>266877.63868489116</v>
      </c>
      <c r="M124" s="233">
        <f t="shared" si="2"/>
        <v>1.0160683392690599E-2</v>
      </c>
      <c r="N124"/>
      <c r="O124"/>
      <c r="P124"/>
      <c r="Q124"/>
      <c r="R124"/>
      <c r="S124"/>
      <c r="T124"/>
      <c r="U124"/>
      <c r="V124"/>
      <c r="W124"/>
      <c r="X124"/>
      <c r="Y124"/>
      <c r="Z124"/>
      <c r="AA124"/>
      <c r="AB124"/>
    </row>
    <row r="125" spans="1:28" s="35" customFormat="1">
      <c r="A125" s="254">
        <v>39873</v>
      </c>
      <c r="B125" s="249">
        <f>'[11]CoS 2017 Load History'!L163</f>
        <v>27254363.600000005</v>
      </c>
      <c r="C125" s="269">
        <f>'Weather Data'!B221</f>
        <v>762.3</v>
      </c>
      <c r="D125" s="269">
        <f>'Weather Data'!C221</f>
        <v>0</v>
      </c>
      <c r="E125" s="256">
        <v>31</v>
      </c>
      <c r="F125" s="256">
        <v>1</v>
      </c>
      <c r="G125" s="256">
        <f>'CDM Activity'!U57</f>
        <v>57114.519830482313</v>
      </c>
      <c r="H125" s="260">
        <v>352</v>
      </c>
      <c r="I125" s="259">
        <v>137.68719399045199</v>
      </c>
      <c r="J125" s="272">
        <f>'[11]CoS 2017 Load History'!O163</f>
        <v>505</v>
      </c>
      <c r="K125" s="273">
        <f t="shared" si="0"/>
        <v>26973179.664730467</v>
      </c>
      <c r="L125" s="232">
        <f t="shared" si="1"/>
        <v>-281183.93526953831</v>
      </c>
      <c r="M125" s="233">
        <f t="shared" si="2"/>
        <v>1.0317024436759853E-2</v>
      </c>
      <c r="N125"/>
      <c r="O125"/>
      <c r="P125"/>
      <c r="Q125"/>
      <c r="R125"/>
      <c r="S125"/>
      <c r="T125"/>
      <c r="U125"/>
      <c r="V125"/>
      <c r="W125"/>
      <c r="X125"/>
      <c r="Y125"/>
      <c r="Z125"/>
      <c r="AA125"/>
      <c r="AB125"/>
    </row>
    <row r="126" spans="1:28" s="35" customFormat="1">
      <c r="A126" s="254">
        <v>39904</v>
      </c>
      <c r="B126" s="249">
        <f>'[11]CoS 2017 Load History'!L164</f>
        <v>23432984.210000034</v>
      </c>
      <c r="C126" s="269">
        <f>'Weather Data'!B222</f>
        <v>453.2</v>
      </c>
      <c r="D126" s="269">
        <f>'Weather Data'!C222</f>
        <v>0</v>
      </c>
      <c r="E126" s="256">
        <v>30</v>
      </c>
      <c r="F126" s="256">
        <v>1</v>
      </c>
      <c r="G126" s="256">
        <f>'CDM Activity'!U58</f>
        <v>69496.45913588503</v>
      </c>
      <c r="H126" s="260">
        <v>320</v>
      </c>
      <c r="I126" s="259">
        <v>137.31453031028698</v>
      </c>
      <c r="J126" s="272">
        <f>'[11]CoS 2017 Load History'!O164</f>
        <v>509</v>
      </c>
      <c r="K126" s="273">
        <f t="shared" si="0"/>
        <v>23518197.266068589</v>
      </c>
      <c r="L126" s="232">
        <f t="shared" si="1"/>
        <v>85213.056068554521</v>
      </c>
      <c r="M126" s="233">
        <f t="shared" si="2"/>
        <v>3.6364577087108613E-3</v>
      </c>
      <c r="N126"/>
      <c r="O126"/>
      <c r="P126"/>
      <c r="Q126"/>
      <c r="R126"/>
      <c r="S126"/>
      <c r="T126"/>
      <c r="U126"/>
      <c r="V126"/>
      <c r="W126"/>
      <c r="X126"/>
      <c r="Y126"/>
      <c r="Z126"/>
      <c r="AA126"/>
      <c r="AB126"/>
    </row>
    <row r="127" spans="1:28" s="35" customFormat="1">
      <c r="A127" s="254">
        <v>39934</v>
      </c>
      <c r="B127" s="249">
        <f>'[11]CoS 2017 Load History'!L165</f>
        <v>22194838.930000022</v>
      </c>
      <c r="C127" s="269">
        <f>'Weather Data'!B223</f>
        <v>319.8</v>
      </c>
      <c r="D127" s="269">
        <f>'Weather Data'!C223</f>
        <v>0</v>
      </c>
      <c r="E127" s="256">
        <v>31</v>
      </c>
      <c r="F127" s="256">
        <v>1</v>
      </c>
      <c r="G127" s="256">
        <f>'CDM Activity'!U59</f>
        <v>81878.398441287747</v>
      </c>
      <c r="H127" s="260">
        <v>320</v>
      </c>
      <c r="I127" s="259">
        <v>136.94287528034204</v>
      </c>
      <c r="J127" s="272">
        <f>'[11]CoS 2017 Load History'!O165</f>
        <v>511</v>
      </c>
      <c r="K127" s="273">
        <f t="shared" si="0"/>
        <v>22806676.394633636</v>
      </c>
      <c r="L127" s="232">
        <f t="shared" si="1"/>
        <v>611837.46463361382</v>
      </c>
      <c r="M127" s="233">
        <f t="shared" si="2"/>
        <v>2.7566654867975347E-2</v>
      </c>
      <c r="N127"/>
      <c r="O127"/>
      <c r="P127"/>
      <c r="Q127"/>
      <c r="R127"/>
      <c r="S127"/>
      <c r="T127"/>
      <c r="U127"/>
      <c r="V127"/>
      <c r="W127"/>
      <c r="X127"/>
      <c r="Y127"/>
      <c r="Z127"/>
      <c r="AA127"/>
      <c r="AB127"/>
    </row>
    <row r="128" spans="1:28" s="35" customFormat="1">
      <c r="A128" s="254">
        <v>39965</v>
      </c>
      <c r="B128" s="249">
        <f>'[11]CoS 2017 Load History'!L166</f>
        <v>21369186.910000023</v>
      </c>
      <c r="C128" s="269">
        <f>'Weather Data'!B224</f>
        <v>141.80000000000001</v>
      </c>
      <c r="D128" s="269">
        <f>'Weather Data'!C224</f>
        <v>13.7</v>
      </c>
      <c r="E128" s="256">
        <v>30</v>
      </c>
      <c r="F128" s="256">
        <v>0</v>
      </c>
      <c r="G128" s="256">
        <f>'CDM Activity'!U60</f>
        <v>94260.337746690464</v>
      </c>
      <c r="H128" s="260">
        <v>352</v>
      </c>
      <c r="I128" s="259">
        <v>136.57222617060793</v>
      </c>
      <c r="J128" s="272">
        <f>'[11]CoS 2017 Load History'!O166</f>
        <v>512</v>
      </c>
      <c r="K128" s="273">
        <f t="shared" si="0"/>
        <v>22308485.774201673</v>
      </c>
      <c r="L128" s="232">
        <f t="shared" si="1"/>
        <v>939298.86420165002</v>
      </c>
      <c r="M128" s="233">
        <f t="shared" si="2"/>
        <v>4.3955760607910233E-2</v>
      </c>
      <c r="N128"/>
      <c r="O128"/>
      <c r="P128"/>
      <c r="Q128"/>
      <c r="R128"/>
      <c r="S128"/>
      <c r="T128"/>
      <c r="U128"/>
      <c r="V128"/>
      <c r="W128"/>
      <c r="X128"/>
      <c r="Y128"/>
      <c r="Z128"/>
      <c r="AA128"/>
      <c r="AB128"/>
    </row>
    <row r="129" spans="1:28" s="35" customFormat="1">
      <c r="A129" s="254">
        <v>39995</v>
      </c>
      <c r="B129" s="249">
        <f>'[11]CoS 2017 Load History'!L167</f>
        <v>21789412.370000005</v>
      </c>
      <c r="C129" s="269">
        <f>'Weather Data'!B225</f>
        <v>74.5</v>
      </c>
      <c r="D129" s="269">
        <f>'Weather Data'!C225</f>
        <v>2</v>
      </c>
      <c r="E129" s="256">
        <v>31</v>
      </c>
      <c r="F129" s="256">
        <v>0</v>
      </c>
      <c r="G129" s="256">
        <f>'CDM Activity'!U61</f>
        <v>106642.27705209318</v>
      </c>
      <c r="H129" s="260">
        <v>352</v>
      </c>
      <c r="I129" s="259">
        <v>136.20258025846454</v>
      </c>
      <c r="J129" s="272">
        <f>'[11]CoS 2017 Load History'!O167</f>
        <v>517</v>
      </c>
      <c r="K129" s="273">
        <f t="shared" si="0"/>
        <v>21657008.104792479</v>
      </c>
      <c r="L129" s="232">
        <f t="shared" si="1"/>
        <v>-132404.26520752534</v>
      </c>
      <c r="M129" s="233">
        <f t="shared" si="2"/>
        <v>6.0765413476602768E-3</v>
      </c>
      <c r="N129"/>
      <c r="O129"/>
      <c r="P129"/>
      <c r="Q129"/>
      <c r="R129"/>
      <c r="S129"/>
      <c r="T129"/>
      <c r="U129"/>
      <c r="V129"/>
      <c r="W129"/>
      <c r="X129"/>
      <c r="Y129"/>
      <c r="Z129"/>
      <c r="AA129"/>
      <c r="AB129"/>
    </row>
    <row r="130" spans="1:28" s="35" customFormat="1">
      <c r="A130" s="254">
        <v>40026</v>
      </c>
      <c r="B130" s="249">
        <f>'[11]CoS 2017 Load History'!L168</f>
        <v>21831315.479999978</v>
      </c>
      <c r="C130" s="269">
        <f>'Weather Data'!B226</f>
        <v>84.2</v>
      </c>
      <c r="D130" s="269">
        <f>'Weather Data'!C226</f>
        <v>14.2</v>
      </c>
      <c r="E130" s="256">
        <v>31</v>
      </c>
      <c r="F130" s="256">
        <v>0</v>
      </c>
      <c r="G130" s="256">
        <f>'CDM Activity'!U62</f>
        <v>119024.2163574959</v>
      </c>
      <c r="H130" s="260">
        <v>320</v>
      </c>
      <c r="I130" s="259">
        <v>135.83393482866074</v>
      </c>
      <c r="J130" s="272">
        <f>'[11]CoS 2017 Load History'!O168</f>
        <v>509</v>
      </c>
      <c r="K130" s="273">
        <f t="shared" si="0"/>
        <v>21975039.02370999</v>
      </c>
      <c r="L130" s="232">
        <f t="shared" si="1"/>
        <v>143723.54371001199</v>
      </c>
      <c r="M130" s="233">
        <f t="shared" si="2"/>
        <v>6.5833661669027436E-3</v>
      </c>
      <c r="N130"/>
      <c r="O130"/>
      <c r="P130"/>
      <c r="Q130"/>
      <c r="R130"/>
      <c r="S130"/>
      <c r="T130"/>
      <c r="U130"/>
      <c r="V130"/>
      <c r="W130"/>
      <c r="X130"/>
      <c r="Y130"/>
      <c r="Z130"/>
      <c r="AA130"/>
      <c r="AB130"/>
    </row>
    <row r="131" spans="1:28" s="35" customFormat="1">
      <c r="A131" s="254">
        <v>40057</v>
      </c>
      <c r="B131" s="249">
        <f>'[11]CoS 2017 Load History'!L169</f>
        <v>21746633.179999996</v>
      </c>
      <c r="C131" s="269">
        <f>'Weather Data'!B227</f>
        <v>102.8</v>
      </c>
      <c r="D131" s="269">
        <f>'Weather Data'!C227</f>
        <v>3.5</v>
      </c>
      <c r="E131" s="256">
        <v>30</v>
      </c>
      <c r="F131" s="256">
        <v>1</v>
      </c>
      <c r="G131" s="256">
        <f>'CDM Activity'!U63</f>
        <v>131406.15566289861</v>
      </c>
      <c r="H131" s="260">
        <v>336</v>
      </c>
      <c r="I131" s="259">
        <v>135.46628717329455</v>
      </c>
      <c r="J131" s="272">
        <f>'[11]CoS 2017 Load History'!O169</f>
        <v>500</v>
      </c>
      <c r="K131" s="273">
        <f t="shared" si="0"/>
        <v>20590423.157856211</v>
      </c>
      <c r="L131" s="232">
        <f t="shared" si="1"/>
        <v>-1156210.0221437849</v>
      </c>
      <c r="M131" s="233">
        <f t="shared" si="2"/>
        <v>5.316731158215017E-2</v>
      </c>
      <c r="N131"/>
      <c r="O131"/>
      <c r="P131"/>
      <c r="Q131"/>
      <c r="R131"/>
      <c r="S131"/>
      <c r="T131"/>
      <c r="U131"/>
      <c r="V131"/>
      <c r="W131"/>
      <c r="X131"/>
      <c r="Y131"/>
      <c r="Z131"/>
      <c r="AA131"/>
      <c r="AB131"/>
    </row>
    <row r="132" spans="1:28" s="35" customFormat="1">
      <c r="A132" s="254">
        <v>40087</v>
      </c>
      <c r="B132" s="249">
        <f>'[11]CoS 2017 Load History'!L170</f>
        <v>22881653.959999997</v>
      </c>
      <c r="C132" s="269">
        <f>'Weather Data'!B228</f>
        <v>451.40000000000003</v>
      </c>
      <c r="D132" s="269">
        <f>'Weather Data'!C228</f>
        <v>0</v>
      </c>
      <c r="E132" s="256">
        <v>31</v>
      </c>
      <c r="F132" s="256">
        <v>1</v>
      </c>
      <c r="G132" s="256">
        <f>'CDM Activity'!U64</f>
        <v>143788.09496830133</v>
      </c>
      <c r="H132" s="260">
        <v>336</v>
      </c>
      <c r="I132" s="259">
        <v>135.09963459179312</v>
      </c>
      <c r="J132" s="272">
        <f>'[11]CoS 2017 Load History'!O170</f>
        <v>498</v>
      </c>
      <c r="K132" s="273">
        <f t="shared" si="0"/>
        <v>23898202.005221263</v>
      </c>
      <c r="L132" s="232">
        <f t="shared" si="1"/>
        <v>1016548.0452212654</v>
      </c>
      <c r="M132" s="233">
        <f t="shared" si="2"/>
        <v>4.4426335919523954E-2</v>
      </c>
      <c r="N132"/>
      <c r="O132"/>
      <c r="P132"/>
      <c r="Q132"/>
      <c r="R132"/>
      <c r="S132"/>
      <c r="T132"/>
      <c r="U132"/>
      <c r="V132"/>
      <c r="W132"/>
      <c r="X132"/>
      <c r="Y132"/>
      <c r="Z132"/>
      <c r="AA132"/>
      <c r="AB132"/>
    </row>
    <row r="133" spans="1:28" s="35" customFormat="1">
      <c r="A133" s="254">
        <v>40118</v>
      </c>
      <c r="B133" s="249">
        <f>'[11]CoS 2017 Load History'!L171</f>
        <v>23647813.830000006</v>
      </c>
      <c r="C133" s="269">
        <f>'Weather Data'!B229</f>
        <v>473.49999999999994</v>
      </c>
      <c r="D133" s="269">
        <f>'Weather Data'!C229</f>
        <v>0</v>
      </c>
      <c r="E133" s="256">
        <v>30</v>
      </c>
      <c r="F133" s="256">
        <v>1</v>
      </c>
      <c r="G133" s="256">
        <f>'CDM Activity'!U65</f>
        <v>156170.03427370405</v>
      </c>
      <c r="H133" s="260">
        <v>320</v>
      </c>
      <c r="I133" s="259">
        <v>134.733974390893</v>
      </c>
      <c r="J133" s="272">
        <f>'[11]CoS 2017 Load History'!O171</f>
        <v>496</v>
      </c>
      <c r="K133" s="273">
        <f t="shared" si="0"/>
        <v>23442328.390502825</v>
      </c>
      <c r="L133" s="232">
        <f t="shared" si="1"/>
        <v>-205485.43949718028</v>
      </c>
      <c r="M133" s="233">
        <f t="shared" si="2"/>
        <v>8.6894053283055744E-3</v>
      </c>
      <c r="N133"/>
      <c r="O133"/>
      <c r="P133"/>
      <c r="Q133"/>
      <c r="R133"/>
      <c r="S133"/>
      <c r="T133"/>
      <c r="U133"/>
      <c r="V133"/>
      <c r="W133"/>
      <c r="X133"/>
      <c r="Y133"/>
      <c r="Z133"/>
      <c r="AA133"/>
      <c r="AB133"/>
    </row>
    <row r="134" spans="1:28" s="35" customFormat="1">
      <c r="A134" s="254">
        <v>40148</v>
      </c>
      <c r="B134" s="249">
        <f>'[11]CoS 2017 Load History'!L172</f>
        <v>27999304.569999997</v>
      </c>
      <c r="C134" s="269">
        <f>'Weather Data'!B230</f>
        <v>914.89999999999986</v>
      </c>
      <c r="D134" s="269">
        <f>'Weather Data'!C230</f>
        <v>0</v>
      </c>
      <c r="E134" s="256">
        <v>31</v>
      </c>
      <c r="F134" s="256">
        <v>0</v>
      </c>
      <c r="G134" s="256">
        <f>'CDM Activity'!U66</f>
        <v>168551.97357910677</v>
      </c>
      <c r="H134" s="260">
        <v>352</v>
      </c>
      <c r="I134" s="259">
        <v>134.36930388462019</v>
      </c>
      <c r="J134" s="272">
        <f>'[11]CoS 2017 Load History'!O172</f>
        <v>500</v>
      </c>
      <c r="K134" s="273">
        <f t="shared" si="0"/>
        <v>28664803.292752139</v>
      </c>
      <c r="L134" s="232">
        <f t="shared" si="1"/>
        <v>665498.7227521427</v>
      </c>
      <c r="M134" s="233">
        <f t="shared" si="2"/>
        <v>2.376840185756595E-2</v>
      </c>
      <c r="N134"/>
      <c r="O134"/>
      <c r="P134"/>
      <c r="Q134"/>
      <c r="R134"/>
      <c r="S134"/>
      <c r="T134"/>
      <c r="U134"/>
      <c r="V134"/>
      <c r="W134"/>
      <c r="X134"/>
      <c r="Y134"/>
      <c r="Z134"/>
      <c r="AA134"/>
      <c r="AB134"/>
    </row>
    <row r="135" spans="1:28" s="35" customFormat="1">
      <c r="A135" s="254">
        <v>40179</v>
      </c>
      <c r="B135" s="249">
        <f>'[11]CoS 2017 Load History'!L173</f>
        <v>28838475.690000013</v>
      </c>
      <c r="C135" s="269">
        <f>'Weather Data'!B231</f>
        <v>900.20000000000027</v>
      </c>
      <c r="D135" s="269">
        <f>'Weather Data'!C231</f>
        <v>0</v>
      </c>
      <c r="E135" s="256">
        <v>31</v>
      </c>
      <c r="F135" s="256">
        <v>0</v>
      </c>
      <c r="G135" s="256">
        <f>'CDM Activity'!U67</f>
        <v>171366.41509777043</v>
      </c>
      <c r="H135" s="256">
        <v>320</v>
      </c>
      <c r="I135" s="259">
        <v>134.73334561620703</v>
      </c>
      <c r="J135" s="272">
        <f>'[11]CoS 2017 Load History'!O173</f>
        <v>500</v>
      </c>
      <c r="K135" s="273">
        <f t="shared" si="0"/>
        <v>28265335.192837108</v>
      </c>
      <c r="L135" s="232">
        <f t="shared" si="1"/>
        <v>-573140.49716290459</v>
      </c>
      <c r="M135" s="233">
        <f t="shared" si="2"/>
        <v>1.9874160594474343E-2</v>
      </c>
      <c r="N135"/>
      <c r="O135"/>
      <c r="P135"/>
      <c r="Q135"/>
      <c r="R135"/>
      <c r="S135"/>
      <c r="T135"/>
      <c r="U135"/>
      <c r="V135"/>
      <c r="W135"/>
      <c r="X135"/>
      <c r="Y135"/>
      <c r="Z135"/>
      <c r="AA135"/>
      <c r="AB135"/>
    </row>
    <row r="136" spans="1:28" s="35" customFormat="1">
      <c r="A136" s="254">
        <v>40210</v>
      </c>
      <c r="B136" s="249">
        <f>'[11]CoS 2017 Load History'!L174</f>
        <v>25306729.540000018</v>
      </c>
      <c r="C136" s="269">
        <f>'Weather Data'!B232</f>
        <v>778.39999999999975</v>
      </c>
      <c r="D136" s="269">
        <f>'Weather Data'!C232</f>
        <v>0</v>
      </c>
      <c r="E136" s="256">
        <v>28</v>
      </c>
      <c r="F136" s="256">
        <v>0</v>
      </c>
      <c r="G136" s="256">
        <f>'CDM Activity'!U68</f>
        <v>174180.85661643409</v>
      </c>
      <c r="H136" s="256">
        <v>304</v>
      </c>
      <c r="I136" s="259">
        <v>135.09837363244745</v>
      </c>
      <c r="J136" s="272">
        <f>'[11]CoS 2017 Load History'!O174</f>
        <v>499</v>
      </c>
      <c r="K136" s="273">
        <f t="shared" si="0"/>
        <v>25633100.062433042</v>
      </c>
      <c r="L136" s="232">
        <f t="shared" si="1"/>
        <v>326370.5224330239</v>
      </c>
      <c r="M136" s="233">
        <f t="shared" si="2"/>
        <v>1.2896590289043872E-2</v>
      </c>
      <c r="N136"/>
      <c r="O136"/>
      <c r="P136"/>
      <c r="Q136"/>
      <c r="R136"/>
      <c r="S136"/>
      <c r="T136"/>
      <c r="U136"/>
      <c r="V136"/>
      <c r="W136"/>
      <c r="X136"/>
      <c r="Y136"/>
      <c r="Z136"/>
      <c r="AA136"/>
      <c r="AB136"/>
    </row>
    <row r="137" spans="1:28" s="35" customFormat="1">
      <c r="A137" s="254">
        <v>40238</v>
      </c>
      <c r="B137" s="249">
        <f>'[11]CoS 2017 Load History'!L175</f>
        <v>24777899.930000026</v>
      </c>
      <c r="C137" s="269">
        <f>'Weather Data'!B233</f>
        <v>514.4</v>
      </c>
      <c r="D137" s="269">
        <f>'Weather Data'!C233</f>
        <v>0</v>
      </c>
      <c r="E137" s="256">
        <v>31</v>
      </c>
      <c r="F137" s="256">
        <v>1</v>
      </c>
      <c r="G137" s="256">
        <f>'CDM Activity'!U69</f>
        <v>176995.29813509775</v>
      </c>
      <c r="H137" s="256">
        <v>368</v>
      </c>
      <c r="I137" s="259">
        <v>135.46439060544563</v>
      </c>
      <c r="J137" s="272">
        <f>'[11]CoS 2017 Load History'!O175</f>
        <v>504</v>
      </c>
      <c r="K137" s="273">
        <f t="shared" si="0"/>
        <v>24611221.9377</v>
      </c>
      <c r="L137" s="232">
        <f t="shared" si="1"/>
        <v>-166677.99230002612</v>
      </c>
      <c r="M137" s="233">
        <f t="shared" si="2"/>
        <v>6.7268813245233714E-3</v>
      </c>
      <c r="N137"/>
      <c r="O137"/>
      <c r="P137"/>
      <c r="Q137"/>
      <c r="R137"/>
      <c r="S137"/>
      <c r="T137"/>
      <c r="U137"/>
      <c r="V137"/>
      <c r="W137"/>
      <c r="X137"/>
      <c r="Y137"/>
      <c r="Z137"/>
      <c r="AA137"/>
      <c r="AB137"/>
    </row>
    <row r="138" spans="1:28" s="35" customFormat="1">
      <c r="A138" s="254">
        <v>40269</v>
      </c>
      <c r="B138" s="249">
        <f>'[11]CoS 2017 Load History'!L176</f>
        <v>21809289.850000009</v>
      </c>
      <c r="C138" s="269">
        <f>'Weather Data'!B234</f>
        <v>358.00000000000011</v>
      </c>
      <c r="D138" s="269">
        <f>'Weather Data'!C234</f>
        <v>0</v>
      </c>
      <c r="E138" s="256">
        <v>30</v>
      </c>
      <c r="F138" s="256">
        <v>1</v>
      </c>
      <c r="G138" s="256">
        <f>'CDM Activity'!U70</f>
        <v>179809.73965376141</v>
      </c>
      <c r="H138" s="256">
        <v>320</v>
      </c>
      <c r="I138" s="259">
        <v>135.83139921454512</v>
      </c>
      <c r="J138" s="272">
        <f>'[11]CoS 2017 Load History'!O176</f>
        <v>502</v>
      </c>
      <c r="K138" s="273">
        <f t="shared" si="0"/>
        <v>22373861.879502531</v>
      </c>
      <c r="L138" s="232">
        <f t="shared" si="1"/>
        <v>564572.0295025222</v>
      </c>
      <c r="M138" s="233">
        <f t="shared" si="2"/>
        <v>2.5886768133466846E-2</v>
      </c>
      <c r="N138"/>
      <c r="O138"/>
      <c r="P138"/>
      <c r="Q138"/>
      <c r="R138"/>
      <c r="S138"/>
      <c r="T138"/>
      <c r="U138"/>
      <c r="V138"/>
      <c r="W138"/>
      <c r="X138"/>
      <c r="Y138"/>
      <c r="Z138"/>
      <c r="AA138"/>
      <c r="AB138"/>
    </row>
    <row r="139" spans="1:28" s="35" customFormat="1">
      <c r="A139" s="254">
        <v>40299</v>
      </c>
      <c r="B139" s="249">
        <f>'[11]CoS 2017 Load History'!L177</f>
        <v>21546572.909999996</v>
      </c>
      <c r="C139" s="269">
        <f>'Weather Data'!B235</f>
        <v>212.40000000000003</v>
      </c>
      <c r="D139" s="269">
        <f>'Weather Data'!C235</f>
        <v>0.6</v>
      </c>
      <c r="E139" s="256">
        <v>31</v>
      </c>
      <c r="F139" s="256">
        <v>1</v>
      </c>
      <c r="G139" s="256">
        <f>'CDM Activity'!U71</f>
        <v>182624.18117242507</v>
      </c>
      <c r="H139" s="256">
        <v>320</v>
      </c>
      <c r="I139" s="259">
        <v>136.19940214634852</v>
      </c>
      <c r="J139" s="272">
        <f>'[11]CoS 2017 Load History'!O177</f>
        <v>504</v>
      </c>
      <c r="K139" s="273">
        <f t="shared" si="0"/>
        <v>21610767.334599663</v>
      </c>
      <c r="L139" s="232">
        <f t="shared" si="1"/>
        <v>64194.424599666148</v>
      </c>
      <c r="M139" s="233">
        <f t="shared" si="2"/>
        <v>2.979333412687306E-3</v>
      </c>
      <c r="N139"/>
      <c r="O139"/>
      <c r="P139"/>
      <c r="Q139"/>
      <c r="R139"/>
      <c r="S139"/>
      <c r="T139"/>
      <c r="U139"/>
      <c r="V139"/>
      <c r="W139"/>
      <c r="X139"/>
      <c r="Y139"/>
      <c r="Z139"/>
      <c r="AA139"/>
      <c r="AB139"/>
    </row>
    <row r="140" spans="1:28" s="35" customFormat="1">
      <c r="A140" s="254">
        <v>40330</v>
      </c>
      <c r="B140" s="249">
        <f>'[11]CoS 2017 Load History'!L178</f>
        <v>21152488.750000004</v>
      </c>
      <c r="C140" s="269">
        <f>'Weather Data'!B236</f>
        <v>106.30000000000003</v>
      </c>
      <c r="D140" s="269">
        <f>'Weather Data'!C236</f>
        <v>3.0000000000000004</v>
      </c>
      <c r="E140" s="256">
        <v>30</v>
      </c>
      <c r="F140" s="256">
        <v>0</v>
      </c>
      <c r="G140" s="256">
        <f>'CDM Activity'!U72</f>
        <v>185438.62269108873</v>
      </c>
      <c r="H140" s="256">
        <v>352</v>
      </c>
      <c r="I140" s="259">
        <v>136.56840209473719</v>
      </c>
      <c r="J140" s="272">
        <f>'[11]CoS 2017 Load History'!O178</f>
        <v>507</v>
      </c>
      <c r="K140" s="273">
        <f t="shared" si="0"/>
        <v>21268111.233146191</v>
      </c>
      <c r="L140" s="232">
        <f t="shared" si="1"/>
        <v>115622.48314618692</v>
      </c>
      <c r="M140" s="233">
        <f t="shared" si="2"/>
        <v>5.466140864686048E-3</v>
      </c>
      <c r="N140"/>
      <c r="O140"/>
      <c r="P140"/>
      <c r="Q140"/>
      <c r="R140"/>
      <c r="S140"/>
      <c r="T140"/>
      <c r="U140"/>
      <c r="V140"/>
      <c r="W140"/>
      <c r="X140"/>
      <c r="Y140"/>
      <c r="Z140"/>
      <c r="AA140"/>
      <c r="AB140"/>
    </row>
    <row r="141" spans="1:28" s="35" customFormat="1">
      <c r="A141" s="254">
        <v>40360</v>
      </c>
      <c r="B141" s="249">
        <f>'[11]CoS 2017 Load History'!L179</f>
        <v>23012031.620000001</v>
      </c>
      <c r="C141" s="269">
        <f>'Weather Data'!B237</f>
        <v>14.5</v>
      </c>
      <c r="D141" s="269">
        <f>'Weather Data'!C237</f>
        <v>52</v>
      </c>
      <c r="E141" s="256">
        <v>31</v>
      </c>
      <c r="F141" s="256">
        <v>0</v>
      </c>
      <c r="G141" s="256">
        <f>'CDM Activity'!U73</f>
        <v>188253.0642097524</v>
      </c>
      <c r="H141" s="256">
        <v>336</v>
      </c>
      <c r="I141" s="259">
        <v>136.93840176089088</v>
      </c>
      <c r="J141" s="272">
        <f>'[11]CoS 2017 Load History'!O179</f>
        <v>508</v>
      </c>
      <c r="K141" s="273">
        <f t="shared" si="0"/>
        <v>22957410.0075645</v>
      </c>
      <c r="L141" s="232">
        <f t="shared" si="1"/>
        <v>-54621.612435501069</v>
      </c>
      <c r="M141" s="233">
        <f t="shared" si="2"/>
        <v>2.3736110456248826E-3</v>
      </c>
      <c r="N141"/>
      <c r="O141"/>
      <c r="P141"/>
      <c r="Q141"/>
      <c r="R141"/>
      <c r="S141"/>
      <c r="T141"/>
      <c r="U141"/>
      <c r="V141"/>
      <c r="W141"/>
      <c r="X141"/>
      <c r="Y141"/>
      <c r="Z141"/>
      <c r="AA141"/>
      <c r="AB141"/>
    </row>
    <row r="142" spans="1:28" s="35" customFormat="1">
      <c r="A142" s="254">
        <v>40391</v>
      </c>
      <c r="B142" s="249">
        <f>'[11]CoS 2017 Load History'!L180</f>
        <v>22901514.910000049</v>
      </c>
      <c r="C142" s="269">
        <f>'Weather Data'!B238</f>
        <v>37.9</v>
      </c>
      <c r="D142" s="269">
        <f>'Weather Data'!C238</f>
        <v>55.8</v>
      </c>
      <c r="E142" s="256">
        <v>31</v>
      </c>
      <c r="F142" s="256">
        <v>0</v>
      </c>
      <c r="G142" s="256">
        <f>'CDM Activity'!U74</f>
        <v>191067.50572841606</v>
      </c>
      <c r="H142" s="256">
        <v>336</v>
      </c>
      <c r="I142" s="259">
        <v>137.30940385330757</v>
      </c>
      <c r="J142" s="272">
        <f>'[11]CoS 2017 Load History'!O180</f>
        <v>505</v>
      </c>
      <c r="K142" s="273">
        <f t="shared" si="0"/>
        <v>23318149.258192956</v>
      </c>
      <c r="L142" s="232">
        <f t="shared" si="1"/>
        <v>416634.34819290787</v>
      </c>
      <c r="M142" s="233">
        <f t="shared" si="2"/>
        <v>1.8192436169844058E-2</v>
      </c>
      <c r="N142"/>
      <c r="O142"/>
      <c r="P142"/>
      <c r="Q142"/>
      <c r="R142"/>
      <c r="S142"/>
      <c r="T142"/>
      <c r="U142"/>
      <c r="V142"/>
      <c r="W142"/>
      <c r="X142"/>
      <c r="Y142"/>
      <c r="Z142"/>
      <c r="AA142"/>
      <c r="AB142"/>
    </row>
    <row r="143" spans="1:28" s="35" customFormat="1">
      <c r="A143" s="254">
        <v>40422</v>
      </c>
      <c r="B143" s="249">
        <f>'[11]CoS 2017 Load History'!L181</f>
        <v>21432268.879999973</v>
      </c>
      <c r="C143" s="269">
        <f>'Weather Data'!B239</f>
        <v>231.1</v>
      </c>
      <c r="D143" s="269">
        <f>'Weather Data'!C239</f>
        <v>0</v>
      </c>
      <c r="E143" s="256">
        <v>30</v>
      </c>
      <c r="F143" s="256">
        <v>1</v>
      </c>
      <c r="G143" s="256">
        <f>'CDM Activity'!U75</f>
        <v>193881.94724707972</v>
      </c>
      <c r="H143" s="256">
        <v>336</v>
      </c>
      <c r="I143" s="259">
        <v>137.68141108782325</v>
      </c>
      <c r="J143" s="272">
        <f>'[11]CoS 2017 Load History'!O181</f>
        <v>510</v>
      </c>
      <c r="K143" s="273">
        <f t="shared" si="0"/>
        <v>21366504.963131934</v>
      </c>
      <c r="L143" s="232">
        <f t="shared" si="1"/>
        <v>-65763.916868038476</v>
      </c>
      <c r="M143" s="233">
        <f t="shared" si="2"/>
        <v>3.0684533325077692E-3</v>
      </c>
      <c r="N143"/>
      <c r="O143"/>
      <c r="P143"/>
      <c r="Q143"/>
      <c r="R143"/>
      <c r="S143"/>
      <c r="T143"/>
      <c r="U143"/>
      <c r="V143"/>
      <c r="W143"/>
      <c r="X143"/>
      <c r="Y143"/>
      <c r="Z143"/>
      <c r="AA143"/>
      <c r="AB143"/>
    </row>
    <row r="144" spans="1:28" s="35" customFormat="1">
      <c r="A144" s="254">
        <v>40452</v>
      </c>
      <c r="B144" s="249">
        <f>'[11]CoS 2017 Load History'!L182</f>
        <v>22472903.979999989</v>
      </c>
      <c r="C144" s="269">
        <f>'Weather Data'!B240</f>
        <v>355.49999999999989</v>
      </c>
      <c r="D144" s="269">
        <f>'Weather Data'!C240</f>
        <v>0</v>
      </c>
      <c r="E144" s="256">
        <v>31</v>
      </c>
      <c r="F144" s="256">
        <v>1</v>
      </c>
      <c r="G144" s="256">
        <f>'CDM Activity'!U76</f>
        <v>196696.38876574338</v>
      </c>
      <c r="H144" s="256">
        <v>320</v>
      </c>
      <c r="I144" s="259">
        <v>138.0544261876318</v>
      </c>
      <c r="J144" s="272">
        <f>'[11]CoS 2017 Load History'!O182</f>
        <v>510</v>
      </c>
      <c r="K144" s="273">
        <f t="shared" si="0"/>
        <v>22782421.502908077</v>
      </c>
      <c r="L144" s="232">
        <f t="shared" si="1"/>
        <v>309517.52290808782</v>
      </c>
      <c r="M144" s="233">
        <f t="shared" si="2"/>
        <v>1.377292063293406E-2</v>
      </c>
      <c r="N144"/>
      <c r="O144"/>
      <c r="P144"/>
      <c r="Q144"/>
      <c r="R144"/>
      <c r="S144"/>
      <c r="T144"/>
      <c r="U144"/>
      <c r="V144"/>
      <c r="W144"/>
      <c r="X144"/>
      <c r="Y144"/>
      <c r="Z144"/>
      <c r="AA144"/>
      <c r="AB144"/>
    </row>
    <row r="145" spans="1:28" s="35" customFormat="1">
      <c r="A145" s="254">
        <v>40483</v>
      </c>
      <c r="B145" s="249">
        <f>'[11]CoS 2017 Load History'!L183</f>
        <v>24030452.420000006</v>
      </c>
      <c r="C145" s="269">
        <f>'Weather Data'!B241</f>
        <v>549.40000000000009</v>
      </c>
      <c r="D145" s="269">
        <f>'Weather Data'!C241</f>
        <v>0</v>
      </c>
      <c r="E145" s="256">
        <v>30</v>
      </c>
      <c r="F145" s="256">
        <v>1</v>
      </c>
      <c r="G145" s="256">
        <f>'CDM Activity'!U77</f>
        <v>199510.83028440704</v>
      </c>
      <c r="H145" s="256">
        <v>336</v>
      </c>
      <c r="I145" s="259">
        <v>138.42845188330503</v>
      </c>
      <c r="J145" s="272">
        <f>'[11]CoS 2017 Load History'!O183</f>
        <v>515</v>
      </c>
      <c r="K145" s="273">
        <f t="shared" si="0"/>
        <v>24105580.439260311</v>
      </c>
      <c r="L145" s="232">
        <f t="shared" si="1"/>
        <v>75128.019260305911</v>
      </c>
      <c r="M145" s="233">
        <f t="shared" si="2"/>
        <v>3.1263672421655512E-3</v>
      </c>
      <c r="N145"/>
      <c r="O145"/>
      <c r="P145"/>
      <c r="Q145"/>
      <c r="R145"/>
      <c r="S145"/>
      <c r="T145"/>
      <c r="U145"/>
      <c r="V145"/>
      <c r="W145"/>
      <c r="X145"/>
      <c r="Y145"/>
      <c r="Z145"/>
      <c r="AA145"/>
      <c r="AB145"/>
    </row>
    <row r="146" spans="1:28" s="35" customFormat="1">
      <c r="A146" s="254">
        <v>40513</v>
      </c>
      <c r="B146" s="249">
        <f>'[11]CoS 2017 Load History'!L184</f>
        <v>27767188.379999999</v>
      </c>
      <c r="C146" s="269">
        <f>'Weather Data'!B242</f>
        <v>879.0999999999998</v>
      </c>
      <c r="D146" s="269">
        <f>'Weather Data'!C242</f>
        <v>0</v>
      </c>
      <c r="E146" s="256">
        <v>31</v>
      </c>
      <c r="F146" s="256">
        <v>0</v>
      </c>
      <c r="G146" s="256">
        <f>'CDM Activity'!U78</f>
        <v>202325.2718030707</v>
      </c>
      <c r="H146" s="256">
        <v>368</v>
      </c>
      <c r="I146" s="259">
        <v>138.80349091281266</v>
      </c>
      <c r="J146" s="272">
        <f>'[11]CoS 2017 Load History'!O184</f>
        <v>516</v>
      </c>
      <c r="K146" s="273">
        <f t="shared" si="0"/>
        <v>28388879.176319685</v>
      </c>
      <c r="L146" s="232">
        <f t="shared" si="1"/>
        <v>621690.79631968588</v>
      </c>
      <c r="M146" s="233">
        <f t="shared" si="2"/>
        <v>2.2389403918456289E-2</v>
      </c>
      <c r="N146"/>
      <c r="O146"/>
      <c r="P146"/>
      <c r="Q146"/>
      <c r="R146"/>
      <c r="S146"/>
      <c r="T146"/>
      <c r="U146"/>
      <c r="V146"/>
      <c r="W146"/>
      <c r="X146"/>
      <c r="Y146"/>
      <c r="Z146"/>
      <c r="AA146"/>
      <c r="AB146"/>
    </row>
    <row r="147" spans="1:28" s="35" customFormat="1">
      <c r="A147" s="254">
        <v>40544</v>
      </c>
      <c r="B147" s="249">
        <f>'[11]CoS 2017 Load History'!L185</f>
        <v>29631691.289999962</v>
      </c>
      <c r="C147" s="269">
        <f>'Weather Data'!B243</f>
        <v>1077.9000000000003</v>
      </c>
      <c r="D147" s="269">
        <f>'Weather Data'!C243</f>
        <v>0</v>
      </c>
      <c r="E147" s="261">
        <v>31</v>
      </c>
      <c r="F147" s="256">
        <v>0</v>
      </c>
      <c r="G147" s="256">
        <f>'CDM Activity'!U79</f>
        <v>199054.10932333182</v>
      </c>
      <c r="H147" s="256">
        <v>336</v>
      </c>
      <c r="I147" s="259">
        <v>139.10070640604135</v>
      </c>
      <c r="J147" s="272">
        <f>'[11]CoS 2017 Load History'!O185</f>
        <v>499</v>
      </c>
      <c r="K147" s="273">
        <f t="shared" si="0"/>
        <v>29855273.703912847</v>
      </c>
      <c r="L147" s="232">
        <f t="shared" si="1"/>
        <v>223582.41391288489</v>
      </c>
      <c r="M147" s="233">
        <f t="shared" si="2"/>
        <v>7.5453814540899656E-3</v>
      </c>
      <c r="N147"/>
      <c r="O147"/>
      <c r="P147"/>
      <c r="Q147"/>
      <c r="R147"/>
      <c r="S147"/>
      <c r="T147"/>
      <c r="U147"/>
      <c r="V147"/>
      <c r="W147"/>
      <c r="X147"/>
      <c r="Y147"/>
      <c r="Z147"/>
      <c r="AA147"/>
      <c r="AB147"/>
    </row>
    <row r="148" spans="1:28" s="35" customFormat="1">
      <c r="A148" s="254">
        <v>40575</v>
      </c>
      <c r="B148" s="249">
        <f>'[11]CoS 2017 Load History'!L186</f>
        <v>26046838.789999999</v>
      </c>
      <c r="C148" s="269">
        <f>'Weather Data'!B244</f>
        <v>826.9</v>
      </c>
      <c r="D148" s="269">
        <f>'Weather Data'!C244</f>
        <v>0</v>
      </c>
      <c r="E148" s="261">
        <v>28</v>
      </c>
      <c r="F148" s="256">
        <v>0</v>
      </c>
      <c r="G148" s="256">
        <f>'CDM Activity'!U80</f>
        <v>195782.94684359294</v>
      </c>
      <c r="H148" s="256">
        <v>304</v>
      </c>
      <c r="I148" s="259">
        <v>139.39855831733732</v>
      </c>
      <c r="J148" s="272">
        <f>'[11]CoS 2017 Load History'!O186</f>
        <v>500</v>
      </c>
      <c r="K148" s="273">
        <f t="shared" si="0"/>
        <v>25990240.815612193</v>
      </c>
      <c r="L148" s="232">
        <f t="shared" si="1"/>
        <v>-56597.974387805909</v>
      </c>
      <c r="M148" s="233">
        <f t="shared" si="2"/>
        <v>2.172930651743244E-3</v>
      </c>
      <c r="N148"/>
      <c r="O148"/>
      <c r="P148"/>
      <c r="Q148"/>
      <c r="R148"/>
      <c r="S148"/>
      <c r="T148"/>
      <c r="U148"/>
      <c r="V148"/>
      <c r="W148"/>
      <c r="X148"/>
      <c r="Y148"/>
      <c r="Z148"/>
      <c r="AA148"/>
      <c r="AB148"/>
    </row>
    <row r="149" spans="1:28" s="35" customFormat="1">
      <c r="A149" s="254">
        <v>40603</v>
      </c>
      <c r="B149" s="249">
        <f>'[11]CoS 2017 Load History'!L187</f>
        <v>26570003.080000009</v>
      </c>
      <c r="C149" s="269">
        <f>'Weather Data'!B245</f>
        <v>749.9</v>
      </c>
      <c r="D149" s="269">
        <f>'Weather Data'!C245</f>
        <v>0</v>
      </c>
      <c r="E149" s="261">
        <v>31</v>
      </c>
      <c r="F149" s="256">
        <v>1</v>
      </c>
      <c r="G149" s="256">
        <f>'CDM Activity'!U81</f>
        <v>192511.78436385407</v>
      </c>
      <c r="H149" s="256">
        <v>368</v>
      </c>
      <c r="I149" s="259">
        <v>139.69704800944226</v>
      </c>
      <c r="J149" s="272">
        <f>'[11]CoS 2017 Load History'!O187</f>
        <v>505</v>
      </c>
      <c r="K149" s="273">
        <f t="shared" si="0"/>
        <v>26604823.801976431</v>
      </c>
      <c r="L149" s="232">
        <f t="shared" si="1"/>
        <v>34820.721976421773</v>
      </c>
      <c r="M149" s="233">
        <f t="shared" si="2"/>
        <v>1.3105275852463981E-3</v>
      </c>
      <c r="N149"/>
      <c r="O149"/>
      <c r="P149"/>
      <c r="Q149"/>
      <c r="R149"/>
      <c r="S149"/>
      <c r="T149"/>
      <c r="U149"/>
      <c r="V149"/>
      <c r="W149"/>
      <c r="X149"/>
      <c r="Y149"/>
      <c r="Z149"/>
      <c r="AA149"/>
      <c r="AB149"/>
    </row>
    <row r="150" spans="1:28" s="35" customFormat="1">
      <c r="A150" s="254">
        <v>40634</v>
      </c>
      <c r="B150" s="249">
        <f>'[11]CoS 2017 Load History'!L188</f>
        <v>23083598.169999979</v>
      </c>
      <c r="C150" s="269">
        <f>'Weather Data'!B246</f>
        <v>482.30000000000007</v>
      </c>
      <c r="D150" s="269">
        <f>'Weather Data'!C246</f>
        <v>0</v>
      </c>
      <c r="E150" s="261">
        <v>30</v>
      </c>
      <c r="F150" s="256">
        <v>1</v>
      </c>
      <c r="G150" s="256">
        <f>'CDM Activity'!U82</f>
        <v>189240.62188411519</v>
      </c>
      <c r="H150" s="256">
        <v>320</v>
      </c>
      <c r="I150" s="259">
        <v>139.99617684801592</v>
      </c>
      <c r="J150" s="272">
        <f>'[11]CoS 2017 Load History'!O188</f>
        <v>506</v>
      </c>
      <c r="K150" s="273">
        <f t="shared" si="0"/>
        <v>23422508.545678686</v>
      </c>
      <c r="L150" s="232">
        <f t="shared" si="1"/>
        <v>338910.37567870691</v>
      </c>
      <c r="M150" s="233">
        <f t="shared" si="2"/>
        <v>1.4681869489443951E-2</v>
      </c>
      <c r="N150"/>
      <c r="O150"/>
      <c r="P150"/>
      <c r="Q150"/>
      <c r="R150"/>
      <c r="S150"/>
      <c r="T150"/>
      <c r="U150"/>
      <c r="V150"/>
      <c r="W150"/>
      <c r="X150"/>
      <c r="Y150"/>
      <c r="Z150"/>
      <c r="AA150"/>
      <c r="AB150"/>
    </row>
    <row r="151" spans="1:28" s="35" customFormat="1">
      <c r="A151" s="254">
        <v>40664</v>
      </c>
      <c r="B151" s="249">
        <f>'[11]CoS 2017 Load History'!L189</f>
        <v>21824619.570000008</v>
      </c>
      <c r="C151" s="269">
        <f>'Weather Data'!B247</f>
        <v>266.99999999999994</v>
      </c>
      <c r="D151" s="269">
        <f>'Weather Data'!C247</f>
        <v>0</v>
      </c>
      <c r="E151" s="261">
        <v>31</v>
      </c>
      <c r="F151" s="256">
        <v>1</v>
      </c>
      <c r="G151" s="256">
        <f>'CDM Activity'!U83</f>
        <v>185969.45940437631</v>
      </c>
      <c r="H151" s="256">
        <v>336</v>
      </c>
      <c r="I151" s="259">
        <v>140.29594620164227</v>
      </c>
      <c r="J151" s="272">
        <f>'[11]CoS 2017 Load History'!O189</f>
        <v>507</v>
      </c>
      <c r="K151" s="273">
        <f t="shared" si="0"/>
        <v>22179468.173336342</v>
      </c>
      <c r="L151" s="232">
        <f t="shared" si="1"/>
        <v>354848.60333633423</v>
      </c>
      <c r="M151" s="233">
        <f t="shared" si="2"/>
        <v>1.6259096851525743E-2</v>
      </c>
      <c r="N151"/>
      <c r="O151"/>
      <c r="P151"/>
      <c r="Q151"/>
      <c r="R151"/>
      <c r="S151"/>
      <c r="T151"/>
      <c r="U151"/>
      <c r="V151"/>
      <c r="W151"/>
      <c r="X151"/>
      <c r="Y151"/>
      <c r="Z151"/>
      <c r="AA151"/>
      <c r="AB151"/>
    </row>
    <row r="152" spans="1:28" s="35" customFormat="1">
      <c r="A152" s="254">
        <v>40695</v>
      </c>
      <c r="B152" s="249">
        <f>'[11]CoS 2017 Load History'!L190</f>
        <v>20701172.160000015</v>
      </c>
      <c r="C152" s="269">
        <f>'Weather Data'!B248</f>
        <v>110.1</v>
      </c>
      <c r="D152" s="269">
        <f>'Weather Data'!C248</f>
        <v>0</v>
      </c>
      <c r="E152" s="261">
        <v>30</v>
      </c>
      <c r="F152" s="256">
        <v>0</v>
      </c>
      <c r="G152" s="256">
        <f>'CDM Activity'!U84</f>
        <v>182698.29692463743</v>
      </c>
      <c r="H152" s="256">
        <v>352</v>
      </c>
      <c r="I152" s="259">
        <v>140.59635744183578</v>
      </c>
      <c r="J152" s="272">
        <f>'[11]CoS 2017 Load History'!O190</f>
        <v>507</v>
      </c>
      <c r="K152" s="273">
        <f t="shared" ref="K152:K215" si="3">$O$103+C152*$O$104+D152*$O$105+E152*$O$106+F152*$O$107+G152*$O$108+H152*$O$109</f>
        <v>21177637.645896669</v>
      </c>
      <c r="L152" s="232">
        <f t="shared" ref="L152:L206" si="4">K152-B152</f>
        <v>476465.48589665443</v>
      </c>
      <c r="M152" s="233">
        <f t="shared" ref="M152:M206" si="5">ABS(L152/B152)</f>
        <v>2.3016352997503601E-2</v>
      </c>
      <c r="N152"/>
      <c r="O152"/>
      <c r="P152"/>
      <c r="Q152"/>
      <c r="R152"/>
      <c r="S152"/>
      <c r="T152"/>
      <c r="U152"/>
      <c r="V152"/>
      <c r="W152"/>
      <c r="X152"/>
      <c r="Y152"/>
      <c r="Z152"/>
      <c r="AA152"/>
      <c r="AB152"/>
    </row>
    <row r="153" spans="1:28" s="35" customFormat="1">
      <c r="A153" s="254">
        <v>40725</v>
      </c>
      <c r="B153" s="249">
        <f>'[11]CoS 2017 Load History'!L191</f>
        <v>22583045.949999999</v>
      </c>
      <c r="C153" s="269">
        <f>'Weather Data'!B249</f>
        <v>29.8</v>
      </c>
      <c r="D153" s="269">
        <f>'Weather Data'!C249</f>
        <v>63.7</v>
      </c>
      <c r="E153" s="261">
        <v>31</v>
      </c>
      <c r="F153" s="256">
        <v>0</v>
      </c>
      <c r="G153" s="256">
        <f>'CDM Activity'!U85</f>
        <v>179427.13444489855</v>
      </c>
      <c r="H153" s="256">
        <v>320</v>
      </c>
      <c r="I153" s="259">
        <v>140.89741194304773</v>
      </c>
      <c r="J153" s="272">
        <f>'[11]CoS 2017 Load History'!O191</f>
        <v>503</v>
      </c>
      <c r="K153" s="273">
        <f t="shared" si="3"/>
        <v>23495616.567280021</v>
      </c>
      <c r="L153" s="232">
        <f t="shared" si="4"/>
        <v>912570.61728002131</v>
      </c>
      <c r="M153" s="233">
        <f t="shared" si="5"/>
        <v>4.0409545253572023E-2</v>
      </c>
      <c r="N153"/>
      <c r="O153"/>
      <c r="P153"/>
      <c r="Q153"/>
      <c r="R153"/>
      <c r="S153"/>
      <c r="T153"/>
      <c r="U153"/>
      <c r="V153"/>
      <c r="W153"/>
      <c r="X153"/>
      <c r="Y153"/>
      <c r="Z153"/>
      <c r="AA153"/>
      <c r="AB153"/>
    </row>
    <row r="154" spans="1:28" s="35" customFormat="1">
      <c r="A154" s="254">
        <v>40756</v>
      </c>
      <c r="B154" s="249">
        <f>'[11]CoS 2017 Load History'!L192</f>
        <v>22784484.029999986</v>
      </c>
      <c r="C154" s="269">
        <f>'Weather Data'!B250</f>
        <v>22.2</v>
      </c>
      <c r="D154" s="269">
        <f>'Weather Data'!C250</f>
        <v>35.699999999999996</v>
      </c>
      <c r="E154" s="261">
        <v>31</v>
      </c>
      <c r="F154" s="256">
        <v>0</v>
      </c>
      <c r="G154" s="256">
        <f>'CDM Activity'!U86</f>
        <v>176155.97196515967</v>
      </c>
      <c r="H154" s="256">
        <v>352</v>
      </c>
      <c r="I154" s="259">
        <v>141.19911108267243</v>
      </c>
      <c r="J154" s="272">
        <f>'[11]CoS 2017 Load History'!O192</f>
        <v>507</v>
      </c>
      <c r="K154" s="273">
        <f t="shared" si="3"/>
        <v>22477679.859956969</v>
      </c>
      <c r="L154" s="232">
        <f t="shared" si="4"/>
        <v>-306804.17004301772</v>
      </c>
      <c r="M154" s="233">
        <f t="shared" si="5"/>
        <v>1.3465486847937977E-2</v>
      </c>
      <c r="N154"/>
      <c r="O154"/>
      <c r="P154"/>
      <c r="Q154"/>
      <c r="R154"/>
      <c r="S154"/>
      <c r="T154"/>
      <c r="U154"/>
      <c r="V154"/>
      <c r="W154"/>
      <c r="X154"/>
      <c r="Y154"/>
      <c r="Z154"/>
      <c r="AA154"/>
      <c r="AB154"/>
    </row>
    <row r="155" spans="1:28" s="35" customFormat="1">
      <c r="A155" s="254">
        <v>40787</v>
      </c>
      <c r="B155" s="249">
        <f>'[11]CoS 2017 Load History'!L193</f>
        <v>21345135.690000005</v>
      </c>
      <c r="C155" s="269">
        <f>'Weather Data'!B251</f>
        <v>172.3</v>
      </c>
      <c r="D155" s="269">
        <f>'Weather Data'!C251</f>
        <v>9.4</v>
      </c>
      <c r="E155" s="261">
        <v>30</v>
      </c>
      <c r="F155" s="256">
        <v>1</v>
      </c>
      <c r="G155" s="256">
        <f>'CDM Activity'!U87</f>
        <v>172884.80948542079</v>
      </c>
      <c r="H155" s="256">
        <v>336</v>
      </c>
      <c r="I155" s="259">
        <v>141.50145624105357</v>
      </c>
      <c r="J155" s="272">
        <f>'[11]CoS 2017 Load History'!O193</f>
        <v>506</v>
      </c>
      <c r="K155" s="273">
        <f t="shared" si="3"/>
        <v>21329925.177838564</v>
      </c>
      <c r="L155" s="232">
        <f t="shared" si="4"/>
        <v>-15210.512161441147</v>
      </c>
      <c r="M155" s="233">
        <f t="shared" si="5"/>
        <v>7.1259852278976747E-4</v>
      </c>
      <c r="N155"/>
      <c r="O155"/>
      <c r="P155"/>
      <c r="Q155"/>
      <c r="R155"/>
      <c r="S155"/>
      <c r="T155"/>
      <c r="U155"/>
      <c r="V155"/>
      <c r="W155"/>
      <c r="X155"/>
      <c r="Y155"/>
      <c r="Z155"/>
      <c r="AA155"/>
      <c r="AB155"/>
    </row>
    <row r="156" spans="1:28" s="35" customFormat="1">
      <c r="A156" s="254">
        <v>40817</v>
      </c>
      <c r="B156" s="249">
        <f>'[11]CoS 2017 Load History'!L194</f>
        <v>22769113.109999996</v>
      </c>
      <c r="C156" s="269">
        <f>'Weather Data'!B252</f>
        <v>337.20000000000005</v>
      </c>
      <c r="D156" s="269">
        <f>'Weather Data'!C252</f>
        <v>5.4</v>
      </c>
      <c r="E156" s="261">
        <v>31</v>
      </c>
      <c r="F156" s="256">
        <v>1</v>
      </c>
      <c r="G156" s="256">
        <f>'CDM Activity'!U88</f>
        <v>169613.64700568191</v>
      </c>
      <c r="H156" s="256">
        <v>320</v>
      </c>
      <c r="I156" s="259">
        <v>141.80444880149057</v>
      </c>
      <c r="J156" s="272">
        <f>'[11]CoS 2017 Load History'!O194</f>
        <v>508</v>
      </c>
      <c r="K156" s="273">
        <f t="shared" si="3"/>
        <v>22939003.842327703</v>
      </c>
      <c r="L156" s="232">
        <f t="shared" si="4"/>
        <v>169890.73232770711</v>
      </c>
      <c r="M156" s="233">
        <f t="shared" si="5"/>
        <v>7.4614558549973816E-3</v>
      </c>
      <c r="N156"/>
      <c r="O156"/>
      <c r="P156"/>
      <c r="Q156"/>
      <c r="R156"/>
      <c r="S156"/>
      <c r="T156"/>
      <c r="U156"/>
      <c r="V156"/>
      <c r="W156"/>
      <c r="X156"/>
      <c r="Y156"/>
      <c r="Z156"/>
      <c r="AA156"/>
      <c r="AB156"/>
    </row>
    <row r="157" spans="1:28" s="35" customFormat="1">
      <c r="A157" s="254">
        <v>40848</v>
      </c>
      <c r="B157" s="249">
        <f>'[11]CoS 2017 Load History'!L195</f>
        <v>24230624.479999993</v>
      </c>
      <c r="C157" s="269">
        <f>'Weather Data'!B253</f>
        <v>563.20000000000005</v>
      </c>
      <c r="D157" s="269">
        <f>'Weather Data'!C253</f>
        <v>0</v>
      </c>
      <c r="E157" s="261">
        <v>30</v>
      </c>
      <c r="F157" s="256">
        <v>1</v>
      </c>
      <c r="G157" s="256">
        <f>'CDM Activity'!U89</f>
        <v>166342.48452594303</v>
      </c>
      <c r="H157" s="256">
        <v>352</v>
      </c>
      <c r="I157" s="259">
        <v>142.10809015024478</v>
      </c>
      <c r="J157" s="272">
        <f>'[11]CoS 2017 Load History'!O195</f>
        <v>509</v>
      </c>
      <c r="K157" s="273">
        <f t="shared" si="3"/>
        <v>24453347.260246124</v>
      </c>
      <c r="L157" s="232">
        <f t="shared" si="4"/>
        <v>222722.78024613112</v>
      </c>
      <c r="M157" s="233">
        <f t="shared" si="5"/>
        <v>9.1917886982222415E-3</v>
      </c>
      <c r="N157"/>
      <c r="O157"/>
      <c r="P157"/>
      <c r="Q157"/>
      <c r="R157"/>
      <c r="S157"/>
      <c r="T157"/>
      <c r="U157"/>
      <c r="V157"/>
      <c r="W157"/>
      <c r="X157"/>
      <c r="Y157"/>
      <c r="Z157"/>
      <c r="AA157"/>
      <c r="AB157"/>
    </row>
    <row r="158" spans="1:28" s="35" customFormat="1">
      <c r="A158" s="254">
        <v>40878</v>
      </c>
      <c r="B158" s="249">
        <f>'[11]CoS 2017 Load History'!L196</f>
        <v>26954814.169999983</v>
      </c>
      <c r="C158" s="269">
        <f>'Weather Data'!B254</f>
        <v>769.8</v>
      </c>
      <c r="D158" s="269">
        <f>'Weather Data'!C254</f>
        <v>0</v>
      </c>
      <c r="E158" s="261">
        <v>31</v>
      </c>
      <c r="F158" s="256">
        <v>0</v>
      </c>
      <c r="G158" s="256">
        <f>'CDM Activity'!U90</f>
        <v>163071.32204620415</v>
      </c>
      <c r="H158" s="256">
        <v>336</v>
      </c>
      <c r="I158" s="259">
        <v>142.41238167654581</v>
      </c>
      <c r="J158" s="272">
        <f>'[11]CoS 2017 Load History'!O196</f>
        <v>512</v>
      </c>
      <c r="K158" s="273">
        <f t="shared" si="3"/>
        <v>27292608.547774762</v>
      </c>
      <c r="L158" s="232">
        <f t="shared" si="4"/>
        <v>337794.37777477875</v>
      </c>
      <c r="M158" s="233">
        <f t="shared" si="5"/>
        <v>1.2531875591660923E-2</v>
      </c>
      <c r="N158"/>
      <c r="O158"/>
      <c r="P158"/>
      <c r="Q158"/>
      <c r="R158"/>
      <c r="S158"/>
      <c r="T158"/>
      <c r="U158"/>
      <c r="V158"/>
      <c r="W158"/>
      <c r="X158"/>
      <c r="Y158"/>
      <c r="Z158"/>
      <c r="AA158"/>
      <c r="AB158"/>
    </row>
    <row r="159" spans="1:28" s="35" customFormat="1">
      <c r="A159" s="254">
        <v>40909</v>
      </c>
      <c r="B159" s="249">
        <f>'[11]CoS 2017 Load History'!L197</f>
        <v>27978052.340000004</v>
      </c>
      <c r="C159" s="269">
        <f>'Weather Data'!B255</f>
        <v>865.69999999999993</v>
      </c>
      <c r="D159" s="269">
        <f>'Weather Data'!C255</f>
        <v>0</v>
      </c>
      <c r="E159" s="256">
        <v>31</v>
      </c>
      <c r="F159" s="256">
        <v>0</v>
      </c>
      <c r="G159" s="256">
        <f>'CDM Activity'!U91</f>
        <v>175843.44693469186</v>
      </c>
      <c r="H159" s="256">
        <v>336</v>
      </c>
      <c r="I159" s="259">
        <v>142.61257743956915</v>
      </c>
      <c r="J159" s="272">
        <f>'[11]CoS 2017 Load History'!O197</f>
        <v>507</v>
      </c>
      <c r="K159" s="273">
        <f t="shared" si="3"/>
        <v>28085706.965271525</v>
      </c>
      <c r="L159" s="232">
        <f t="shared" si="4"/>
        <v>107654.62527152151</v>
      </c>
      <c r="M159" s="233">
        <f t="shared" si="5"/>
        <v>3.8478241431269514E-3</v>
      </c>
      <c r="N159"/>
      <c r="O159"/>
      <c r="P159"/>
      <c r="Q159"/>
      <c r="R159"/>
      <c r="S159"/>
      <c r="T159"/>
      <c r="U159"/>
      <c r="V159"/>
      <c r="W159"/>
      <c r="X159"/>
      <c r="Y159"/>
      <c r="Z159"/>
      <c r="AA159"/>
      <c r="AB159"/>
    </row>
    <row r="160" spans="1:28" s="35" customFormat="1">
      <c r="A160" s="254">
        <v>40940</v>
      </c>
      <c r="B160" s="249">
        <f>'[11]CoS 2017 Load History'!L198</f>
        <v>25273761.339999985</v>
      </c>
      <c r="C160" s="269">
        <f>'Weather Data'!B256</f>
        <v>693.8</v>
      </c>
      <c r="D160" s="269">
        <f>'Weather Data'!C256</f>
        <v>0</v>
      </c>
      <c r="E160" s="256">
        <v>29</v>
      </c>
      <c r="F160" s="256">
        <v>0</v>
      </c>
      <c r="G160" s="256">
        <f>'CDM Activity'!U92</f>
        <v>188615.57182317961</v>
      </c>
      <c r="H160" s="256">
        <v>320</v>
      </c>
      <c r="I160" s="259">
        <v>142.81305462716429</v>
      </c>
      <c r="J160" s="272">
        <f>'[11]CoS 2017 Load History'!O198</f>
        <v>512</v>
      </c>
      <c r="K160" s="273">
        <f t="shared" si="3"/>
        <v>25470088.039607793</v>
      </c>
      <c r="L160" s="232">
        <f t="shared" si="4"/>
        <v>196326.69960780814</v>
      </c>
      <c r="M160" s="233">
        <f t="shared" si="5"/>
        <v>7.7680048080966905E-3</v>
      </c>
      <c r="N160"/>
      <c r="O160"/>
      <c r="P160"/>
      <c r="Q160"/>
      <c r="R160"/>
      <c r="S160"/>
      <c r="T160"/>
      <c r="U160"/>
      <c r="V160"/>
      <c r="W160"/>
      <c r="X160"/>
      <c r="Y160"/>
      <c r="Z160"/>
      <c r="AA160"/>
      <c r="AB160"/>
    </row>
    <row r="161" spans="1:28" s="35" customFormat="1">
      <c r="A161" s="254">
        <v>40969</v>
      </c>
      <c r="B161" s="249">
        <f>'[11]CoS 2017 Load History'!L199</f>
        <v>24803557.269999992</v>
      </c>
      <c r="C161" s="269">
        <f>'Weather Data'!B257</f>
        <v>525.4</v>
      </c>
      <c r="D161" s="269">
        <f>'Weather Data'!C257</f>
        <v>0</v>
      </c>
      <c r="E161" s="256">
        <v>31</v>
      </c>
      <c r="F161" s="256">
        <v>1</v>
      </c>
      <c r="G161" s="256">
        <f>'CDM Activity'!U93</f>
        <v>201387.69671166735</v>
      </c>
      <c r="H161" s="256">
        <v>352</v>
      </c>
      <c r="I161" s="259">
        <v>143.01381363494295</v>
      </c>
      <c r="J161" s="272">
        <f>'[11]CoS 2017 Load History'!O199</f>
        <v>512</v>
      </c>
      <c r="K161" s="273">
        <f t="shared" si="3"/>
        <v>24503615.436707709</v>
      </c>
      <c r="L161" s="232">
        <f t="shared" si="4"/>
        <v>-299941.83329228312</v>
      </c>
      <c r="M161" s="233">
        <f t="shared" si="5"/>
        <v>1.2092694206208237E-2</v>
      </c>
      <c r="N161"/>
      <c r="O161"/>
      <c r="P161"/>
      <c r="Q161"/>
      <c r="R161"/>
      <c r="S161"/>
      <c r="T161"/>
      <c r="U161"/>
      <c r="V161"/>
      <c r="W161"/>
      <c r="X161"/>
      <c r="Y161"/>
      <c r="Z161"/>
      <c r="AA161"/>
      <c r="AB161"/>
    </row>
    <row r="162" spans="1:28" s="35" customFormat="1">
      <c r="A162" s="254">
        <v>41000</v>
      </c>
      <c r="B162" s="249">
        <f>'[11]CoS 2017 Load History'!L200</f>
        <v>22044979.170000002</v>
      </c>
      <c r="C162" s="269">
        <f>'Weather Data'!B258</f>
        <v>434.89999999999986</v>
      </c>
      <c r="D162" s="269">
        <f>'Weather Data'!C258</f>
        <v>0</v>
      </c>
      <c r="E162" s="256">
        <v>30</v>
      </c>
      <c r="F162" s="256">
        <v>1</v>
      </c>
      <c r="G162" s="256">
        <f>'CDM Activity'!U94</f>
        <v>214159.82160015509</v>
      </c>
      <c r="H162" s="256">
        <v>320</v>
      </c>
      <c r="I162" s="259">
        <v>143.21485485907297</v>
      </c>
      <c r="J162" s="272">
        <f>'[11]CoS 2017 Load History'!O200</f>
        <v>513</v>
      </c>
      <c r="K162" s="273">
        <f t="shared" si="3"/>
        <v>22939846.487515479</v>
      </c>
      <c r="L162" s="232">
        <f t="shared" si="4"/>
        <v>894867.31751547754</v>
      </c>
      <c r="M162" s="233">
        <f t="shared" si="5"/>
        <v>4.0592794876996817E-2</v>
      </c>
      <c r="N162"/>
      <c r="O162"/>
      <c r="P162"/>
      <c r="Q162"/>
      <c r="R162"/>
      <c r="S162"/>
      <c r="T162"/>
      <c r="U162"/>
      <c r="V162"/>
      <c r="W162"/>
      <c r="X162"/>
      <c r="Y162"/>
      <c r="Z162"/>
      <c r="AA162"/>
      <c r="AB162"/>
    </row>
    <row r="163" spans="1:28" s="35" customFormat="1">
      <c r="A163" s="254">
        <v>41030</v>
      </c>
      <c r="B163" s="249">
        <f>'[11]CoS 2017 Load History'!L201</f>
        <v>21279302.760000005</v>
      </c>
      <c r="C163" s="269">
        <f>'Weather Data'!B259</f>
        <v>227.10000000000002</v>
      </c>
      <c r="D163" s="269">
        <f>'Weather Data'!C259</f>
        <v>0</v>
      </c>
      <c r="E163" s="256">
        <v>31</v>
      </c>
      <c r="F163" s="256">
        <v>1</v>
      </c>
      <c r="G163" s="256">
        <f>'CDM Activity'!U95</f>
        <v>226931.94648864283</v>
      </c>
      <c r="H163" s="256">
        <v>352</v>
      </c>
      <c r="I163" s="259">
        <v>143.41617869627913</v>
      </c>
      <c r="J163" s="272">
        <f>'[11]CoS 2017 Load History'!O201</f>
        <v>511</v>
      </c>
      <c r="K163" s="273">
        <f t="shared" si="3"/>
        <v>21847182.717248794</v>
      </c>
      <c r="L163" s="232">
        <f t="shared" si="4"/>
        <v>567879.95724878833</v>
      </c>
      <c r="M163" s="233">
        <f t="shared" si="5"/>
        <v>2.6686962615911771E-2</v>
      </c>
      <c r="N163"/>
      <c r="O163"/>
      <c r="P163"/>
      <c r="Q163"/>
      <c r="R163"/>
      <c r="S163"/>
      <c r="T163"/>
      <c r="U163"/>
      <c r="V163"/>
      <c r="W163"/>
      <c r="X163"/>
      <c r="Y163"/>
      <c r="Z163"/>
      <c r="AA163"/>
      <c r="AB163"/>
    </row>
    <row r="164" spans="1:28" s="35" customFormat="1">
      <c r="A164" s="254">
        <v>41061</v>
      </c>
      <c r="B164" s="249">
        <f>'[11]CoS 2017 Load History'!L202</f>
        <v>21429781.859999992</v>
      </c>
      <c r="C164" s="269">
        <f>'Weather Data'!B260</f>
        <v>64.900000000000006</v>
      </c>
      <c r="D164" s="269">
        <f>'Weather Data'!C260</f>
        <v>18.399999999999999</v>
      </c>
      <c r="E164" s="256">
        <v>30</v>
      </c>
      <c r="F164" s="256">
        <v>0</v>
      </c>
      <c r="G164" s="256">
        <f>'CDM Activity'!U96</f>
        <v>239704.07137713057</v>
      </c>
      <c r="H164" s="256">
        <v>336</v>
      </c>
      <c r="I164" s="259">
        <v>143.61778554384387</v>
      </c>
      <c r="J164" s="272">
        <f>'[11]CoS 2017 Load History'!O202</f>
        <v>515</v>
      </c>
      <c r="K164" s="273">
        <f t="shared" si="3"/>
        <v>21294307.037290454</v>
      </c>
      <c r="L164" s="232">
        <f t="shared" si="4"/>
        <v>-135474.82270953804</v>
      </c>
      <c r="M164" s="233">
        <f t="shared" si="5"/>
        <v>6.3218012947863994E-3</v>
      </c>
      <c r="N164"/>
      <c r="O164"/>
      <c r="P164"/>
      <c r="Q164"/>
      <c r="R164"/>
      <c r="S164"/>
      <c r="T164"/>
      <c r="U164"/>
      <c r="V164"/>
      <c r="W164"/>
      <c r="X164"/>
      <c r="Y164"/>
      <c r="Z164"/>
      <c r="AA164"/>
      <c r="AB164"/>
    </row>
    <row r="165" spans="1:28" s="35" customFormat="1">
      <c r="A165" s="254">
        <v>41091</v>
      </c>
      <c r="B165" s="249">
        <f>'[11]CoS 2017 Load History'!L203</f>
        <v>23340060.429999981</v>
      </c>
      <c r="C165" s="269">
        <f>'Weather Data'!B261</f>
        <v>6.8</v>
      </c>
      <c r="D165" s="269">
        <f>'Weather Data'!C261</f>
        <v>66.5</v>
      </c>
      <c r="E165" s="256">
        <v>31</v>
      </c>
      <c r="F165" s="256">
        <v>0</v>
      </c>
      <c r="G165" s="256">
        <f>'CDM Activity'!U97</f>
        <v>252476.19626561832</v>
      </c>
      <c r="H165" s="256">
        <v>336</v>
      </c>
      <c r="I165" s="259">
        <v>143.81967579960809</v>
      </c>
      <c r="J165" s="272">
        <f>'[11]CoS 2017 Load History'!O203</f>
        <v>514</v>
      </c>
      <c r="K165" s="273">
        <f t="shared" si="3"/>
        <v>23339055.352787472</v>
      </c>
      <c r="L165" s="232">
        <f t="shared" si="4"/>
        <v>-1005.0772125087678</v>
      </c>
      <c r="M165" s="233">
        <f t="shared" si="5"/>
        <v>4.3062322632931102E-5</v>
      </c>
      <c r="N165"/>
      <c r="O165"/>
      <c r="P165"/>
      <c r="Q165"/>
      <c r="R165"/>
      <c r="S165"/>
      <c r="T165"/>
      <c r="U165"/>
      <c r="V165"/>
      <c r="W165"/>
      <c r="X165"/>
      <c r="Y165"/>
      <c r="Z165"/>
      <c r="AA165"/>
      <c r="AB165"/>
    </row>
    <row r="166" spans="1:28" s="35" customFormat="1">
      <c r="A166" s="254">
        <v>41122</v>
      </c>
      <c r="B166" s="249">
        <f>'[11]CoS 2017 Load History'!L204</f>
        <v>22638507.330000032</v>
      </c>
      <c r="C166" s="269">
        <f>'Weather Data'!B262</f>
        <v>38.499999999999986</v>
      </c>
      <c r="D166" s="269">
        <f>'Weather Data'!C262</f>
        <v>27.7</v>
      </c>
      <c r="E166" s="256">
        <v>31</v>
      </c>
      <c r="F166" s="256">
        <v>0</v>
      </c>
      <c r="G166" s="256">
        <f>'CDM Activity'!U98</f>
        <v>265248.32115410606</v>
      </c>
      <c r="H166" s="256">
        <v>352</v>
      </c>
      <c r="I166" s="259">
        <v>144.02184986197204</v>
      </c>
      <c r="J166" s="272">
        <f>'[11]CoS 2017 Load History'!O204</f>
        <v>515</v>
      </c>
      <c r="K166" s="273">
        <f t="shared" si="3"/>
        <v>22009966.737502262</v>
      </c>
      <c r="L166" s="232">
        <f t="shared" si="4"/>
        <v>-628540.59249776974</v>
      </c>
      <c r="M166" s="233">
        <f t="shared" si="5"/>
        <v>2.7764224175011846E-2</v>
      </c>
      <c r="N166"/>
      <c r="O166"/>
      <c r="P166"/>
      <c r="Q166"/>
      <c r="R166"/>
      <c r="S166"/>
      <c r="T166"/>
      <c r="U166"/>
      <c r="V166"/>
      <c r="W166"/>
      <c r="X166"/>
      <c r="Y166"/>
      <c r="Z166"/>
      <c r="AA166"/>
      <c r="AB166"/>
    </row>
    <row r="167" spans="1:28" s="35" customFormat="1">
      <c r="A167" s="254">
        <v>41153</v>
      </c>
      <c r="B167" s="249">
        <f>'[11]CoS 2017 Load History'!L205</f>
        <v>21056351.920000013</v>
      </c>
      <c r="C167" s="269">
        <f>'Weather Data'!B263</f>
        <v>213.49999999999997</v>
      </c>
      <c r="D167" s="269">
        <f>'Weather Data'!C263</f>
        <v>4</v>
      </c>
      <c r="E167" s="256">
        <v>30</v>
      </c>
      <c r="F167" s="256">
        <v>1</v>
      </c>
      <c r="G167" s="256">
        <f>'CDM Activity'!U99</f>
        <v>278020.4460425938</v>
      </c>
      <c r="H167" s="256">
        <v>304</v>
      </c>
      <c r="I167" s="259">
        <v>144.22430812989595</v>
      </c>
      <c r="J167" s="272">
        <f>'[11]CoS 2017 Load History'!O205</f>
        <v>515</v>
      </c>
      <c r="K167" s="273">
        <f t="shared" si="3"/>
        <v>20880960.370975435</v>
      </c>
      <c r="L167" s="232">
        <f t="shared" si="4"/>
        <v>-175391.54902457818</v>
      </c>
      <c r="M167" s="233">
        <f t="shared" si="5"/>
        <v>8.3296265987075156E-3</v>
      </c>
      <c r="N167"/>
      <c r="O167"/>
      <c r="P167"/>
      <c r="Q167"/>
      <c r="R167"/>
      <c r="S167"/>
      <c r="T167"/>
      <c r="U167"/>
      <c r="V167"/>
      <c r="W167"/>
      <c r="X167"/>
      <c r="Y167"/>
      <c r="Z167"/>
      <c r="AA167"/>
      <c r="AB167"/>
    </row>
    <row r="168" spans="1:28" s="35" customFormat="1">
      <c r="A168" s="254">
        <v>41183</v>
      </c>
      <c r="B168" s="249">
        <f>'[11]CoS 2017 Load History'!L206</f>
        <v>22591003.560000002</v>
      </c>
      <c r="C168" s="269">
        <f>'Weather Data'!B264</f>
        <v>395.80000000000007</v>
      </c>
      <c r="D168" s="269">
        <f>'Weather Data'!C264</f>
        <v>0</v>
      </c>
      <c r="E168" s="256">
        <v>31</v>
      </c>
      <c r="F168" s="256">
        <v>1</v>
      </c>
      <c r="G168" s="256">
        <f>'CDM Activity'!U100</f>
        <v>290792.57093108154</v>
      </c>
      <c r="H168" s="256">
        <v>352</v>
      </c>
      <c r="I168" s="259">
        <v>144.42705100290087</v>
      </c>
      <c r="J168" s="272">
        <f>'[11]CoS 2017 Load History'!O206</f>
        <v>516</v>
      </c>
      <c r="K168" s="273">
        <f t="shared" si="3"/>
        <v>23122184.566977423</v>
      </c>
      <c r="L168" s="232">
        <f t="shared" si="4"/>
        <v>531181.0069774203</v>
      </c>
      <c r="M168" s="233">
        <f t="shared" si="5"/>
        <v>2.3512944237587478E-2</v>
      </c>
      <c r="N168"/>
      <c r="O168"/>
      <c r="P168"/>
      <c r="Q168"/>
      <c r="R168"/>
      <c r="S168"/>
      <c r="T168"/>
      <c r="U168"/>
      <c r="V168"/>
      <c r="W168"/>
      <c r="X168"/>
      <c r="Y168"/>
      <c r="Z168"/>
      <c r="AA168"/>
      <c r="AB168"/>
    </row>
    <row r="169" spans="1:28" s="35" customFormat="1">
      <c r="A169" s="254">
        <v>41214</v>
      </c>
      <c r="B169" s="249">
        <f>'[11]CoS 2017 Load History'!L207</f>
        <v>24156927.709999982</v>
      </c>
      <c r="C169" s="269">
        <f>'Weather Data'!B265</f>
        <v>600.80000000000007</v>
      </c>
      <c r="D169" s="269">
        <f>'Weather Data'!C265</f>
        <v>0</v>
      </c>
      <c r="E169" s="256">
        <v>30</v>
      </c>
      <c r="F169" s="256">
        <v>1</v>
      </c>
      <c r="G169" s="256">
        <f>'CDM Activity'!U101</f>
        <v>303564.69581956929</v>
      </c>
      <c r="H169" s="256">
        <v>352</v>
      </c>
      <c r="I169" s="259">
        <v>144.63007888106955</v>
      </c>
      <c r="J169" s="272">
        <f>'[11]CoS 2017 Load History'!O207</f>
        <v>515</v>
      </c>
      <c r="K169" s="273">
        <f t="shared" si="3"/>
        <v>24380504.266005468</v>
      </c>
      <c r="L169" s="232">
        <f t="shared" si="4"/>
        <v>223576.55600548536</v>
      </c>
      <c r="M169" s="233">
        <f t="shared" si="5"/>
        <v>9.2551734512553007E-3</v>
      </c>
      <c r="N169"/>
      <c r="O169"/>
      <c r="P169"/>
      <c r="Q169"/>
      <c r="R169"/>
      <c r="S169"/>
      <c r="T169"/>
      <c r="U169"/>
      <c r="V169"/>
      <c r="W169"/>
      <c r="X169"/>
      <c r="Y169"/>
      <c r="Z169"/>
      <c r="AA169"/>
      <c r="AB169"/>
    </row>
    <row r="170" spans="1:28" s="35" customFormat="1">
      <c r="A170" s="254">
        <v>41244</v>
      </c>
      <c r="B170" s="249">
        <f>'[11]CoS 2017 Load History'!L208</f>
        <v>26882954.980000008</v>
      </c>
      <c r="C170" s="269">
        <f>'Weather Data'!B266</f>
        <v>793.69999999999993</v>
      </c>
      <c r="D170" s="269">
        <f>'Weather Data'!C266</f>
        <v>0</v>
      </c>
      <c r="E170" s="256">
        <v>31</v>
      </c>
      <c r="F170" s="256">
        <v>0</v>
      </c>
      <c r="G170" s="256">
        <f>'CDM Activity'!U102</f>
        <v>316336.82070805703</v>
      </c>
      <c r="H170" s="256">
        <v>304</v>
      </c>
      <c r="I170" s="259">
        <v>144.83339216504706</v>
      </c>
      <c r="J170" s="272">
        <f>'[11]CoS 2017 Load History'!O208</f>
        <v>517</v>
      </c>
      <c r="K170" s="273">
        <f t="shared" si="3"/>
        <v>26790552.956910539</v>
      </c>
      <c r="L170" s="232">
        <f t="shared" si="4"/>
        <v>-92402.023089468479</v>
      </c>
      <c r="M170" s="233">
        <f t="shared" si="5"/>
        <v>3.4371974047574905E-3</v>
      </c>
      <c r="N170"/>
      <c r="O170"/>
      <c r="P170"/>
      <c r="Q170"/>
      <c r="R170"/>
      <c r="S170"/>
      <c r="T170"/>
      <c r="U170"/>
      <c r="V170"/>
      <c r="W170"/>
      <c r="X170"/>
      <c r="Y170"/>
      <c r="Z170"/>
      <c r="AA170"/>
      <c r="AB170"/>
    </row>
    <row r="171" spans="1:28" s="35" customFormat="1">
      <c r="A171" s="254">
        <v>41275</v>
      </c>
      <c r="B171" s="249">
        <f>'[11]CoS 2017 Load History'!L209</f>
        <v>28716062.250000019</v>
      </c>
      <c r="C171" s="269">
        <f>'Weather Data'!B267</f>
        <v>928.40000000000009</v>
      </c>
      <c r="D171" s="269">
        <f>'Weather Data'!C267</f>
        <v>0</v>
      </c>
      <c r="E171" s="256">
        <v>31</v>
      </c>
      <c r="F171" s="256">
        <v>0</v>
      </c>
      <c r="G171" s="256">
        <f>'CDM Activity'!U103</f>
        <v>326976.77818381082</v>
      </c>
      <c r="H171" s="256">
        <v>352</v>
      </c>
      <c r="I171" s="259">
        <v>144.98936781896037</v>
      </c>
      <c r="J171" s="272">
        <f>'[11]CoS 2017 Load History'!O209</f>
        <v>516</v>
      </c>
      <c r="K171" s="273">
        <f t="shared" si="3"/>
        <v>28321787.136994176</v>
      </c>
      <c r="L171" s="232">
        <f t="shared" si="4"/>
        <v>-394275.11300584301</v>
      </c>
      <c r="M171" s="233">
        <f t="shared" si="5"/>
        <v>1.3730124610168051E-2</v>
      </c>
      <c r="N171"/>
      <c r="O171"/>
      <c r="P171"/>
      <c r="Q171"/>
      <c r="R171"/>
      <c r="S171"/>
      <c r="T171"/>
      <c r="U171"/>
      <c r="V171"/>
      <c r="W171"/>
      <c r="X171"/>
      <c r="Y171"/>
      <c r="Z171"/>
      <c r="AA171"/>
      <c r="AB171"/>
    </row>
    <row r="172" spans="1:28" s="35" customFormat="1">
      <c r="A172" s="254">
        <v>41306</v>
      </c>
      <c r="B172" s="249">
        <f>'[11]CoS 2017 Load History'!L210</f>
        <v>25735079.889999986</v>
      </c>
      <c r="C172" s="269">
        <f>'Weather Data'!B268</f>
        <v>866.59999999999991</v>
      </c>
      <c r="D172" s="269">
        <f>'Weather Data'!C268</f>
        <v>0</v>
      </c>
      <c r="E172" s="256">
        <v>28</v>
      </c>
      <c r="F172" s="256">
        <v>0</v>
      </c>
      <c r="G172" s="256">
        <f>'CDM Activity'!U104</f>
        <v>337616.73565956461</v>
      </c>
      <c r="H172" s="256">
        <v>304</v>
      </c>
      <c r="I172" s="259">
        <v>145.14551144798114</v>
      </c>
      <c r="J172" s="272">
        <f>'[11]CoS 2017 Load History'!O210</f>
        <v>516</v>
      </c>
      <c r="K172" s="273">
        <f t="shared" si="3"/>
        <v>25922190.160491541</v>
      </c>
      <c r="L172" s="232">
        <f t="shared" si="4"/>
        <v>187110.27049155533</v>
      </c>
      <c r="M172" s="233">
        <f t="shared" si="5"/>
        <v>7.2706310332559627E-3</v>
      </c>
      <c r="N172"/>
      <c r="O172"/>
      <c r="P172"/>
      <c r="Q172"/>
      <c r="R172"/>
      <c r="S172"/>
      <c r="T172"/>
      <c r="U172"/>
      <c r="V172"/>
      <c r="W172"/>
      <c r="X172"/>
      <c r="Y172"/>
      <c r="Z172"/>
      <c r="AA172"/>
      <c r="AB172"/>
    </row>
    <row r="173" spans="1:28" s="35" customFormat="1">
      <c r="A173" s="254">
        <v>41334</v>
      </c>
      <c r="B173" s="249">
        <f>'[11]CoS 2017 Load History'!L211</f>
        <v>26208212.909999989</v>
      </c>
      <c r="C173" s="269">
        <f>'Weather Data'!B269</f>
        <v>767.3</v>
      </c>
      <c r="D173" s="269">
        <f>'Weather Data'!C269</f>
        <v>0</v>
      </c>
      <c r="E173" s="256">
        <v>31</v>
      </c>
      <c r="F173" s="256">
        <v>1</v>
      </c>
      <c r="G173" s="256">
        <f>'CDM Activity'!U105</f>
        <v>348256.6931353184</v>
      </c>
      <c r="H173" s="256">
        <v>320</v>
      </c>
      <c r="I173" s="259">
        <v>145.30182323300707</v>
      </c>
      <c r="J173" s="272">
        <f>'[11]CoS 2017 Load History'!O211</f>
        <v>516</v>
      </c>
      <c r="K173" s="273">
        <f t="shared" si="3"/>
        <v>25907279.934151132</v>
      </c>
      <c r="L173" s="232">
        <f t="shared" si="4"/>
        <v>-300932.97584885731</v>
      </c>
      <c r="M173" s="233">
        <f t="shared" si="5"/>
        <v>1.1482392060926577E-2</v>
      </c>
      <c r="N173"/>
      <c r="O173"/>
      <c r="P173"/>
      <c r="Q173"/>
      <c r="R173"/>
      <c r="S173"/>
      <c r="T173"/>
      <c r="U173"/>
      <c r="V173"/>
      <c r="W173"/>
      <c r="X173"/>
      <c r="Y173"/>
      <c r="Z173"/>
      <c r="AA173"/>
      <c r="AB173"/>
    </row>
    <row r="174" spans="1:28" s="35" customFormat="1">
      <c r="A174" s="254">
        <v>41365</v>
      </c>
      <c r="B174" s="249">
        <f>'[11]CoS 2017 Load History'!L212</f>
        <v>22900049.009999964</v>
      </c>
      <c r="C174" s="269">
        <f>'Weather Data'!B270</f>
        <v>524.79999999999995</v>
      </c>
      <c r="D174" s="269">
        <f>'Weather Data'!C270</f>
        <v>0</v>
      </c>
      <c r="E174" s="256">
        <v>30</v>
      </c>
      <c r="F174" s="256">
        <v>1</v>
      </c>
      <c r="G174" s="256">
        <f>'CDM Activity'!U106</f>
        <v>358896.6506110722</v>
      </c>
      <c r="H174" s="256">
        <v>352</v>
      </c>
      <c r="I174" s="259">
        <v>145.45830335513068</v>
      </c>
      <c r="J174" s="272">
        <f>'[11]CoS 2017 Load History'!O212</f>
        <v>517</v>
      </c>
      <c r="K174" s="273">
        <f t="shared" si="3"/>
        <v>23561978.491243999</v>
      </c>
      <c r="L174" s="232">
        <f t="shared" si="4"/>
        <v>661929.48124403507</v>
      </c>
      <c r="M174" s="233">
        <f t="shared" si="5"/>
        <v>2.8905155659491581E-2</v>
      </c>
      <c r="N174"/>
      <c r="O174"/>
      <c r="P174"/>
      <c r="Q174"/>
      <c r="R174"/>
      <c r="S174"/>
      <c r="T174"/>
      <c r="U174"/>
      <c r="V174"/>
      <c r="W174"/>
      <c r="X174"/>
      <c r="Y174"/>
      <c r="Z174"/>
      <c r="AA174"/>
      <c r="AB174"/>
    </row>
    <row r="175" spans="1:28" s="35" customFormat="1">
      <c r="A175" s="254">
        <v>41395</v>
      </c>
      <c r="B175" s="249">
        <f>'[11]CoS 2017 Load History'!L213</f>
        <v>21368507.77</v>
      </c>
      <c r="C175" s="269">
        <f>'Weather Data'!B271</f>
        <v>325.3</v>
      </c>
      <c r="D175" s="269">
        <f>'Weather Data'!C271</f>
        <v>0</v>
      </c>
      <c r="E175" s="256">
        <v>31</v>
      </c>
      <c r="F175" s="256">
        <v>1</v>
      </c>
      <c r="G175" s="256">
        <f>'CDM Activity'!U107</f>
        <v>369536.60808682599</v>
      </c>
      <c r="H175" s="256">
        <v>352</v>
      </c>
      <c r="I175" s="259">
        <v>145.6149519956395</v>
      </c>
      <c r="J175" s="272">
        <f>'[11]CoS 2017 Load History'!O213</f>
        <v>516</v>
      </c>
      <c r="K175" s="273">
        <f t="shared" si="3"/>
        <v>22283309.013882592</v>
      </c>
      <c r="L175" s="232">
        <f t="shared" si="4"/>
        <v>914801.24388259277</v>
      </c>
      <c r="M175" s="233">
        <f t="shared" si="5"/>
        <v>4.2810721915121953E-2</v>
      </c>
      <c r="N175"/>
      <c r="O175"/>
      <c r="P175"/>
      <c r="Q175"/>
      <c r="R175"/>
      <c r="S175"/>
      <c r="T175"/>
      <c r="U175"/>
      <c r="V175"/>
      <c r="W175"/>
      <c r="X175"/>
      <c r="Y175"/>
      <c r="Z175"/>
      <c r="AA175"/>
      <c r="AB175"/>
    </row>
    <row r="176" spans="1:28" s="35" customFormat="1">
      <c r="A176" s="254">
        <v>41426</v>
      </c>
      <c r="B176" s="249">
        <f>'[11]CoS 2017 Load History'!L214</f>
        <v>20598949.780000005</v>
      </c>
      <c r="C176" s="269">
        <f>'Weather Data'!B272</f>
        <v>130.9</v>
      </c>
      <c r="D176" s="269">
        <f>'Weather Data'!C272</f>
        <v>5.5</v>
      </c>
      <c r="E176" s="256">
        <v>30</v>
      </c>
      <c r="F176" s="256">
        <v>0</v>
      </c>
      <c r="G176" s="256">
        <f>'CDM Activity'!U108</f>
        <v>380176.56556257978</v>
      </c>
      <c r="H176" s="256">
        <v>320</v>
      </c>
      <c r="I176" s="259">
        <v>145.77176933601632</v>
      </c>
      <c r="J176" s="272">
        <f>'[11]CoS 2017 Load History'!O214</f>
        <v>516</v>
      </c>
      <c r="K176" s="273">
        <f t="shared" si="3"/>
        <v>20761163.983357426</v>
      </c>
      <c r="L176" s="232">
        <f t="shared" si="4"/>
        <v>162214.20335742086</v>
      </c>
      <c r="M176" s="233">
        <f t="shared" si="5"/>
        <v>7.8748773646178001E-3</v>
      </c>
      <c r="N176"/>
      <c r="O176"/>
      <c r="P176"/>
      <c r="Q176"/>
      <c r="R176"/>
      <c r="S176"/>
      <c r="T176"/>
      <c r="U176"/>
      <c r="V176"/>
      <c r="W176"/>
      <c r="X176"/>
      <c r="Y176"/>
      <c r="Z176"/>
      <c r="AA176"/>
      <c r="AB176"/>
    </row>
    <row r="177" spans="1:28" s="35" customFormat="1">
      <c r="A177" s="254">
        <v>41456</v>
      </c>
      <c r="B177" s="249">
        <f>'[11]CoS 2017 Load History'!L215</f>
        <v>21754518.050000001</v>
      </c>
      <c r="C177" s="269">
        <f>'Weather Data'!B273</f>
        <v>60.7</v>
      </c>
      <c r="D177" s="269">
        <f>'Weather Data'!C273</f>
        <v>28.000000000000007</v>
      </c>
      <c r="E177" s="256">
        <v>31</v>
      </c>
      <c r="F177" s="256">
        <v>0</v>
      </c>
      <c r="G177" s="256">
        <f>'CDM Activity'!U109</f>
        <v>390816.52303833357</v>
      </c>
      <c r="H177" s="256">
        <v>352</v>
      </c>
      <c r="I177" s="259">
        <v>145.92875555793933</v>
      </c>
      <c r="J177" s="272">
        <f>'[11]CoS 2017 Load History'!O215</f>
        <v>510</v>
      </c>
      <c r="K177" s="273">
        <f t="shared" si="3"/>
        <v>21850773.192444306</v>
      </c>
      <c r="L177" s="232">
        <f t="shared" si="4"/>
        <v>96255.142444305122</v>
      </c>
      <c r="M177" s="233">
        <f t="shared" si="5"/>
        <v>4.4246046831777604E-3</v>
      </c>
      <c r="N177"/>
      <c r="O177"/>
      <c r="P177"/>
      <c r="Q177"/>
      <c r="R177"/>
      <c r="S177"/>
      <c r="T177"/>
      <c r="U177"/>
      <c r="V177"/>
      <c r="W177"/>
      <c r="X177"/>
      <c r="Y177"/>
      <c r="Z177"/>
      <c r="AA177"/>
      <c r="AB177"/>
    </row>
    <row r="178" spans="1:28" s="35" customFormat="1">
      <c r="A178" s="254">
        <v>41487</v>
      </c>
      <c r="B178" s="249">
        <f>'[11]CoS 2017 Load History'!L216</f>
        <v>22034828.830000017</v>
      </c>
      <c r="C178" s="269">
        <f>'Weather Data'!B274</f>
        <v>45.8</v>
      </c>
      <c r="D178" s="269">
        <f>'Weather Data'!C274</f>
        <v>41.8</v>
      </c>
      <c r="E178" s="256">
        <v>31</v>
      </c>
      <c r="F178" s="256">
        <v>0</v>
      </c>
      <c r="G178" s="256">
        <f>'CDM Activity'!U110</f>
        <v>401456.48051408737</v>
      </c>
      <c r="H178" s="256">
        <v>336</v>
      </c>
      <c r="I178" s="259">
        <v>146.08591084328242</v>
      </c>
      <c r="J178" s="272">
        <f>'[11]CoS 2017 Load History'!O216</f>
        <v>507</v>
      </c>
      <c r="K178" s="273">
        <f t="shared" si="3"/>
        <v>22162968.858803384</v>
      </c>
      <c r="L178" s="232">
        <f t="shared" si="4"/>
        <v>128140.02880336717</v>
      </c>
      <c r="M178" s="233">
        <f t="shared" si="5"/>
        <v>5.8153403319796551E-3</v>
      </c>
      <c r="N178"/>
      <c r="O178"/>
      <c r="P178"/>
      <c r="Q178"/>
      <c r="R178"/>
      <c r="S178"/>
      <c r="T178"/>
      <c r="U178"/>
      <c r="V178"/>
      <c r="W178"/>
      <c r="X178"/>
      <c r="Y178"/>
      <c r="Z178"/>
      <c r="AA178"/>
      <c r="AB178"/>
    </row>
    <row r="179" spans="1:28" s="35" customFormat="1">
      <c r="A179" s="254">
        <v>41518</v>
      </c>
      <c r="B179" s="249">
        <f>'[11]CoS 2017 Load History'!L217</f>
        <v>20818130.780000005</v>
      </c>
      <c r="C179" s="269">
        <f>'Weather Data'!B275</f>
        <v>178.79999999999995</v>
      </c>
      <c r="D179" s="269">
        <f>'Weather Data'!C275</f>
        <v>0</v>
      </c>
      <c r="E179" s="256">
        <v>30</v>
      </c>
      <c r="F179" s="256">
        <v>1</v>
      </c>
      <c r="G179" s="256">
        <f>'CDM Activity'!U111</f>
        <v>412096.43798984116</v>
      </c>
      <c r="H179" s="256">
        <v>320</v>
      </c>
      <c r="I179" s="259">
        <v>146.2432353741153</v>
      </c>
      <c r="J179" s="272">
        <f>'[11]CoS 2017 Load History'!O217</f>
        <v>513</v>
      </c>
      <c r="K179" s="273">
        <f t="shared" si="3"/>
        <v>20148298.254023366</v>
      </c>
      <c r="L179" s="232">
        <f t="shared" si="4"/>
        <v>-669832.52597663924</v>
      </c>
      <c r="M179" s="233">
        <f t="shared" si="5"/>
        <v>3.2175440391610369E-2</v>
      </c>
      <c r="N179"/>
      <c r="O179"/>
      <c r="P179"/>
      <c r="Q179"/>
      <c r="R179"/>
      <c r="S179"/>
      <c r="T179"/>
      <c r="U179"/>
      <c r="V179"/>
      <c r="W179"/>
      <c r="X179"/>
      <c r="Y179"/>
      <c r="Z179"/>
      <c r="AA179"/>
      <c r="AB179"/>
    </row>
    <row r="180" spans="1:28" s="35" customFormat="1">
      <c r="A180" s="254">
        <v>41548</v>
      </c>
      <c r="B180" s="249">
        <f>'[11]CoS 2017 Load History'!L218</f>
        <v>22036269.400000013</v>
      </c>
      <c r="C180" s="269">
        <f>'Weather Data'!B276</f>
        <v>328.50000000000006</v>
      </c>
      <c r="D180" s="269">
        <f>'Weather Data'!C276</f>
        <v>0</v>
      </c>
      <c r="E180" s="256">
        <v>31</v>
      </c>
      <c r="F180" s="256">
        <v>1</v>
      </c>
      <c r="G180" s="256">
        <f>'CDM Activity'!U112</f>
        <v>422736.39546559495</v>
      </c>
      <c r="H180" s="256">
        <v>352</v>
      </c>
      <c r="I180" s="259">
        <v>146.4007293327038</v>
      </c>
      <c r="J180" s="272">
        <f>'[11]CoS 2017 Load History'!O218</f>
        <v>511</v>
      </c>
      <c r="K180" s="273">
        <f t="shared" si="3"/>
        <v>22156580.12040171</v>
      </c>
      <c r="L180" s="232">
        <f t="shared" si="4"/>
        <v>120310.72040169686</v>
      </c>
      <c r="M180" s="233">
        <f t="shared" si="5"/>
        <v>5.459668250456985E-3</v>
      </c>
      <c r="N180"/>
      <c r="O180"/>
      <c r="P180"/>
      <c r="Q180"/>
      <c r="R180"/>
      <c r="S180"/>
      <c r="T180"/>
      <c r="U180"/>
      <c r="V180"/>
      <c r="W180"/>
      <c r="X180"/>
      <c r="Y180"/>
      <c r="Z180"/>
      <c r="AA180"/>
      <c r="AB180"/>
    </row>
    <row r="181" spans="1:28" s="35" customFormat="1">
      <c r="A181" s="254">
        <v>41579</v>
      </c>
      <c r="B181" s="249">
        <f>'[11]CoS 2017 Load History'!L219</f>
        <v>24280735.420000028</v>
      </c>
      <c r="C181" s="269">
        <f>'Weather Data'!B277</f>
        <v>620.6</v>
      </c>
      <c r="D181" s="269">
        <f>'Weather Data'!C277</f>
        <v>0</v>
      </c>
      <c r="E181" s="256">
        <v>30</v>
      </c>
      <c r="F181" s="256">
        <v>1</v>
      </c>
      <c r="G181" s="256">
        <f>'CDM Activity'!U113</f>
        <v>433376.35294134874</v>
      </c>
      <c r="H181" s="256">
        <v>336</v>
      </c>
      <c r="I181" s="259">
        <v>146.55839290151005</v>
      </c>
      <c r="J181" s="272">
        <f>'[11]CoS 2017 Load History'!O219</f>
        <v>505</v>
      </c>
      <c r="K181" s="273">
        <f t="shared" si="3"/>
        <v>24043061.660726957</v>
      </c>
      <c r="L181" s="232">
        <f t="shared" si="4"/>
        <v>-237673.75927307084</v>
      </c>
      <c r="M181" s="233">
        <f t="shared" si="5"/>
        <v>9.7885733344509444E-3</v>
      </c>
      <c r="N181"/>
      <c r="O181"/>
      <c r="P181"/>
      <c r="Q181"/>
      <c r="R181"/>
      <c r="S181"/>
      <c r="T181"/>
      <c r="U181"/>
      <c r="V181"/>
      <c r="W181"/>
      <c r="X181"/>
      <c r="Y181"/>
      <c r="Z181"/>
      <c r="AA181"/>
      <c r="AB181"/>
    </row>
    <row r="182" spans="1:28" s="35" customFormat="1">
      <c r="A182" s="254">
        <v>41609</v>
      </c>
      <c r="B182" s="249">
        <f>'[11]CoS 2017 Load History'!L220</f>
        <v>28617030.289999984</v>
      </c>
      <c r="C182" s="269">
        <f>'Weather Data'!B278</f>
        <v>1112.8999999999999</v>
      </c>
      <c r="D182" s="269">
        <f>'Weather Data'!C278</f>
        <v>0</v>
      </c>
      <c r="E182" s="256">
        <v>31</v>
      </c>
      <c r="F182" s="256">
        <v>0</v>
      </c>
      <c r="G182" s="256">
        <f>'CDM Activity'!U114</f>
        <v>444016.31041710253</v>
      </c>
      <c r="H182" s="256">
        <v>320</v>
      </c>
      <c r="I182" s="259">
        <v>146.71622626319265</v>
      </c>
      <c r="J182" s="272">
        <f>'[11]CoS 2017 Load History'!O220</f>
        <v>496</v>
      </c>
      <c r="K182" s="273">
        <f t="shared" si="3"/>
        <v>29315149.308086023</v>
      </c>
      <c r="L182" s="232">
        <f t="shared" si="4"/>
        <v>698119.01808603853</v>
      </c>
      <c r="M182" s="233">
        <f t="shared" si="5"/>
        <v>2.4395229379548557E-2</v>
      </c>
      <c r="N182"/>
      <c r="O182"/>
      <c r="P182"/>
      <c r="Q182"/>
      <c r="R182"/>
      <c r="S182"/>
      <c r="T182"/>
      <c r="U182"/>
      <c r="V182"/>
      <c r="W182"/>
      <c r="X182"/>
      <c r="Y182"/>
      <c r="Z182"/>
      <c r="AA182"/>
      <c r="AB182"/>
    </row>
    <row r="183" spans="1:28" s="35" customFormat="1">
      <c r="A183" s="254">
        <v>41640</v>
      </c>
      <c r="B183" s="249">
        <f>'[11]CoS 2017 Load History'!L221</f>
        <v>29731360.839999992</v>
      </c>
      <c r="C183" s="269">
        <f>'Weather Data'!B279</f>
        <v>1119.5999999999997</v>
      </c>
      <c r="D183" s="269">
        <f>'Weather Data'!C279</f>
        <v>0</v>
      </c>
      <c r="E183" s="256">
        <v>31</v>
      </c>
      <c r="F183" s="256">
        <v>0</v>
      </c>
      <c r="G183" s="256">
        <f>'CDM Activity'!U115</f>
        <v>465993.07078963402</v>
      </c>
      <c r="H183" s="256">
        <v>352</v>
      </c>
      <c r="I183" s="259">
        <v>147.04232175221028</v>
      </c>
      <c r="J183" s="272">
        <f>'[11]CoS 2017 Load History'!O221</f>
        <v>499</v>
      </c>
      <c r="K183" s="273">
        <f t="shared" si="3"/>
        <v>29573399.349680606</v>
      </c>
      <c r="L183" s="232">
        <f t="shared" si="4"/>
        <v>-157961.49031938612</v>
      </c>
      <c r="M183" s="233">
        <f t="shared" si="5"/>
        <v>5.3129586354778557E-3</v>
      </c>
      <c r="N183"/>
      <c r="O183"/>
      <c r="P183"/>
      <c r="Q183"/>
      <c r="R183"/>
      <c r="S183"/>
      <c r="T183"/>
      <c r="U183"/>
      <c r="V183"/>
      <c r="W183"/>
      <c r="X183"/>
      <c r="Y183"/>
      <c r="Z183"/>
      <c r="AA183"/>
      <c r="AB183"/>
    </row>
    <row r="184" spans="1:28" s="35" customFormat="1">
      <c r="A184" s="254">
        <v>41671</v>
      </c>
      <c r="B184" s="249">
        <f>'[11]CoS 2017 Load History'!L222</f>
        <v>26524870.020000014</v>
      </c>
      <c r="C184" s="269">
        <f>'Weather Data'!B280</f>
        <v>978.39999999999986</v>
      </c>
      <c r="D184" s="269">
        <f>'Weather Data'!C280</f>
        <v>0</v>
      </c>
      <c r="E184" s="256">
        <v>28</v>
      </c>
      <c r="F184" s="256">
        <v>0</v>
      </c>
      <c r="G184" s="256">
        <f>'CDM Activity'!U116</f>
        <v>487969.8311621655</v>
      </c>
      <c r="H184" s="256">
        <v>304</v>
      </c>
      <c r="I184" s="259">
        <v>147.36914202996238</v>
      </c>
      <c r="J184" s="272">
        <f>'[11]CoS 2017 Load History'!O222</f>
        <v>501.5</v>
      </c>
      <c r="K184" s="273">
        <f t="shared" si="3"/>
        <v>26453554.620982382</v>
      </c>
      <c r="L184" s="232">
        <f t="shared" si="4"/>
        <v>-71315.399017632008</v>
      </c>
      <c r="M184" s="233">
        <f t="shared" si="5"/>
        <v>2.6886238825622705E-3</v>
      </c>
      <c r="N184"/>
      <c r="O184"/>
      <c r="P184"/>
      <c r="Q184"/>
      <c r="R184"/>
      <c r="S184"/>
      <c r="T184"/>
      <c r="U184"/>
      <c r="V184"/>
      <c r="W184"/>
      <c r="X184"/>
      <c r="Y184"/>
      <c r="Z184"/>
      <c r="AA184"/>
      <c r="AB184"/>
    </row>
    <row r="185" spans="1:28" s="35" customFormat="1">
      <c r="A185" s="254">
        <v>41699</v>
      </c>
      <c r="B185" s="249">
        <f>'[11]CoS 2017 Load History'!L223</f>
        <v>26573892.160000034</v>
      </c>
      <c r="C185" s="269">
        <f>'Weather Data'!B281</f>
        <v>883.5</v>
      </c>
      <c r="D185" s="269">
        <f>'Weather Data'!C281</f>
        <v>0</v>
      </c>
      <c r="E185" s="256">
        <v>31</v>
      </c>
      <c r="F185" s="256">
        <v>1</v>
      </c>
      <c r="G185" s="256">
        <f>'CDM Activity'!U117</f>
        <v>509946.59153469699</v>
      </c>
      <c r="H185" s="256">
        <v>336</v>
      </c>
      <c r="I185" s="259">
        <v>147.69668870738414</v>
      </c>
      <c r="J185" s="272">
        <f>'[11]CoS 2017 Load History'!O223</f>
        <v>503.25</v>
      </c>
      <c r="K185" s="273">
        <f t="shared" si="3"/>
        <v>26575847.495821491</v>
      </c>
      <c r="L185" s="232">
        <f t="shared" si="4"/>
        <v>1955.3358214572072</v>
      </c>
      <c r="M185" s="233">
        <f t="shared" si="5"/>
        <v>7.3581085137405954E-5</v>
      </c>
      <c r="N185"/>
      <c r="O185"/>
      <c r="P185"/>
      <c r="Q185"/>
      <c r="R185"/>
      <c r="S185"/>
      <c r="T185"/>
      <c r="U185"/>
      <c r="V185"/>
      <c r="W185"/>
      <c r="X185"/>
      <c r="Y185"/>
      <c r="Z185"/>
      <c r="AA185"/>
      <c r="AB185"/>
    </row>
    <row r="186" spans="1:28" s="35" customFormat="1">
      <c r="A186" s="254">
        <v>41730</v>
      </c>
      <c r="B186" s="249">
        <f>'[11]CoS 2017 Load History'!L224</f>
        <v>22785513.130000003</v>
      </c>
      <c r="C186" s="269">
        <f>'Weather Data'!B282</f>
        <v>522.9</v>
      </c>
      <c r="D186" s="269">
        <f>'Weather Data'!C282</f>
        <v>0</v>
      </c>
      <c r="E186" s="256">
        <v>30</v>
      </c>
      <c r="F186" s="256">
        <v>1</v>
      </c>
      <c r="G186" s="256">
        <f>'CDM Activity'!U118</f>
        <v>531923.35190722847</v>
      </c>
      <c r="H186" s="256">
        <v>320</v>
      </c>
      <c r="I186" s="259">
        <v>148.02496339899133</v>
      </c>
      <c r="J186" s="272">
        <f>'[11]CoS 2017 Load History'!O224</f>
        <v>504.625</v>
      </c>
      <c r="K186" s="273">
        <f t="shared" si="3"/>
        <v>22779217.534578387</v>
      </c>
      <c r="L186" s="232">
        <f t="shared" si="4"/>
        <v>-6295.595421615988</v>
      </c>
      <c r="M186" s="233">
        <f t="shared" si="5"/>
        <v>2.7629816303443449E-4</v>
      </c>
      <c r="N186"/>
      <c r="O186"/>
      <c r="P186"/>
      <c r="Q186"/>
      <c r="R186"/>
      <c r="S186"/>
      <c r="T186"/>
      <c r="U186"/>
      <c r="V186"/>
      <c r="W186"/>
      <c r="X186"/>
      <c r="Y186"/>
      <c r="Z186"/>
      <c r="AA186"/>
      <c r="AB186"/>
    </row>
    <row r="187" spans="1:28" s="35" customFormat="1">
      <c r="A187" s="254">
        <v>41760</v>
      </c>
      <c r="B187" s="249">
        <f>'[11]CoS 2017 Load History'!L225</f>
        <v>21163181.64999998</v>
      </c>
      <c r="C187" s="269">
        <f>'Weather Data'!B283</f>
        <v>266.90000000000003</v>
      </c>
      <c r="D187" s="269">
        <f>'Weather Data'!C283</f>
        <v>1.1000000000000001</v>
      </c>
      <c r="E187" s="256">
        <v>31</v>
      </c>
      <c r="F187" s="256">
        <v>1</v>
      </c>
      <c r="G187" s="256">
        <f>'CDM Activity'!U119</f>
        <v>553900.11227975995</v>
      </c>
      <c r="H187" s="256">
        <v>336</v>
      </c>
      <c r="I187" s="259">
        <v>148.35396772288814</v>
      </c>
      <c r="J187" s="272">
        <f>'[11]CoS 2017 Load History'!O225</f>
        <v>498.8125</v>
      </c>
      <c r="K187" s="273">
        <f t="shared" si="3"/>
        <v>21158712.495054834</v>
      </c>
      <c r="L187" s="232">
        <f t="shared" si="4"/>
        <v>-4469.1549451462924</v>
      </c>
      <c r="M187" s="233">
        <f t="shared" si="5"/>
        <v>2.1117594788240627E-4</v>
      </c>
      <c r="N187"/>
      <c r="O187"/>
      <c r="P187"/>
      <c r="Q187"/>
      <c r="R187"/>
      <c r="S187"/>
      <c r="T187"/>
      <c r="U187"/>
      <c r="V187"/>
      <c r="W187"/>
      <c r="X187"/>
      <c r="Y187"/>
      <c r="Z187"/>
      <c r="AA187"/>
      <c r="AB187"/>
    </row>
    <row r="188" spans="1:28" s="35" customFormat="1">
      <c r="A188" s="254">
        <v>41791</v>
      </c>
      <c r="B188" s="249">
        <f>'[11]CoS 2017 Load History'!L226</f>
        <v>19864970.560000002</v>
      </c>
      <c r="C188" s="269">
        <f>'Weather Data'!B284</f>
        <v>135.19999999999999</v>
      </c>
      <c r="D188" s="269">
        <f>'Weather Data'!C284</f>
        <v>6</v>
      </c>
      <c r="E188" s="256">
        <v>30</v>
      </c>
      <c r="F188" s="256">
        <v>0</v>
      </c>
      <c r="G188" s="256">
        <f>'CDM Activity'!U120</f>
        <v>575876.87265229144</v>
      </c>
      <c r="H188" s="256">
        <v>336</v>
      </c>
      <c r="I188" s="259">
        <v>148.68370330077519</v>
      </c>
      <c r="J188" s="272">
        <f>'[11]CoS 2017 Load History'!O226</f>
        <v>496.40625</v>
      </c>
      <c r="K188" s="273">
        <f t="shared" si="3"/>
        <v>20384211.841113515</v>
      </c>
      <c r="L188" s="232">
        <f t="shared" si="4"/>
        <v>519241.28111351281</v>
      </c>
      <c r="M188" s="233">
        <f t="shared" si="5"/>
        <v>2.6138537660813567E-2</v>
      </c>
      <c r="N188"/>
      <c r="O188"/>
      <c r="P188"/>
      <c r="Q188"/>
      <c r="R188"/>
      <c r="S188"/>
      <c r="T188"/>
      <c r="U188"/>
      <c r="V188"/>
      <c r="W188"/>
      <c r="X188"/>
      <c r="Y188"/>
      <c r="Z188"/>
      <c r="AA188"/>
      <c r="AB188"/>
    </row>
    <row r="189" spans="1:28" s="35" customFormat="1">
      <c r="A189" s="254">
        <v>41821</v>
      </c>
      <c r="B189" s="249">
        <f>'[11]CoS 2017 Load History'!L227</f>
        <v>20551473.419999994</v>
      </c>
      <c r="C189" s="269">
        <f>'Weather Data'!B285</f>
        <v>47.199999999999989</v>
      </c>
      <c r="D189" s="269">
        <f>'Weather Data'!C285</f>
        <v>9.5</v>
      </c>
      <c r="E189" s="256">
        <v>31</v>
      </c>
      <c r="F189" s="256">
        <v>0</v>
      </c>
      <c r="G189" s="256">
        <f>'CDM Activity'!U121</f>
        <v>597853.63302482292</v>
      </c>
      <c r="H189" s="256">
        <v>352</v>
      </c>
      <c r="I189" s="259">
        <v>149.0141717579576</v>
      </c>
      <c r="J189" s="272">
        <f>'[11]CoS 2017 Load History'!O227</f>
        <v>495.203125</v>
      </c>
      <c r="K189" s="273">
        <f t="shared" si="3"/>
        <v>20323084.73925126</v>
      </c>
      <c r="L189" s="232">
        <f t="shared" si="4"/>
        <v>-228388.68074873462</v>
      </c>
      <c r="M189" s="233">
        <f t="shared" si="5"/>
        <v>1.1113007621462048E-2</v>
      </c>
      <c r="N189"/>
      <c r="O189"/>
      <c r="P189"/>
      <c r="Q189"/>
      <c r="R189"/>
      <c r="S189"/>
      <c r="T189"/>
      <c r="U189"/>
      <c r="V189"/>
      <c r="W189"/>
      <c r="X189"/>
      <c r="Y189"/>
      <c r="Z189"/>
      <c r="AA189"/>
      <c r="AB189"/>
    </row>
    <row r="190" spans="1:28" s="35" customFormat="1">
      <c r="A190" s="254">
        <v>41852</v>
      </c>
      <c r="B190" s="249">
        <f>'[11]CoS 2017 Load History'!L228</f>
        <v>20809859.190000009</v>
      </c>
      <c r="C190" s="269">
        <f>'Weather Data'!B286</f>
        <v>65.200000000000017</v>
      </c>
      <c r="D190" s="269">
        <f>'Weather Data'!C286</f>
        <v>10.099999999999998</v>
      </c>
      <c r="E190" s="256">
        <v>31</v>
      </c>
      <c r="F190" s="256">
        <v>0</v>
      </c>
      <c r="G190" s="256">
        <f>'CDM Activity'!U122</f>
        <v>619830.3933973544</v>
      </c>
      <c r="H190" s="256">
        <v>320</v>
      </c>
      <c r="I190" s="259">
        <v>149.34537472335285</v>
      </c>
      <c r="J190" s="272">
        <f>'[11]CoS 2017 Load History'!O228</f>
        <v>491.1015625</v>
      </c>
      <c r="K190" s="273">
        <f t="shared" si="3"/>
        <v>20177329.125237074</v>
      </c>
      <c r="L190" s="232">
        <f t="shared" si="4"/>
        <v>-632530.06476293504</v>
      </c>
      <c r="M190" s="233">
        <f t="shared" si="5"/>
        <v>3.0395691724184836E-2</v>
      </c>
      <c r="N190"/>
      <c r="O190"/>
      <c r="P190"/>
      <c r="Q190"/>
      <c r="R190"/>
      <c r="S190"/>
      <c r="T190"/>
      <c r="U190"/>
      <c r="V190"/>
      <c r="W190"/>
      <c r="X190"/>
      <c r="Y190"/>
      <c r="Z190"/>
      <c r="AA190"/>
      <c r="AB190"/>
    </row>
    <row r="191" spans="1:28" s="35" customFormat="1">
      <c r="A191" s="254">
        <v>41883</v>
      </c>
      <c r="B191" s="249">
        <f>'[11]CoS 2017 Load History'!L229</f>
        <v>19978896.649999991</v>
      </c>
      <c r="C191" s="269">
        <f>'Weather Data'!B287</f>
        <v>196.5</v>
      </c>
      <c r="D191" s="269">
        <f>'Weather Data'!C287</f>
        <v>0</v>
      </c>
      <c r="E191" s="256">
        <v>30</v>
      </c>
      <c r="F191" s="256">
        <v>1</v>
      </c>
      <c r="G191" s="256">
        <f>'CDM Activity'!U123</f>
        <v>641807.15376988589</v>
      </c>
      <c r="H191" s="256">
        <v>336</v>
      </c>
      <c r="I191" s="259">
        <v>149.67731382949896</v>
      </c>
      <c r="J191" s="272">
        <f>'[11]CoS 2017 Load History'!O229</f>
        <v>490.05078125</v>
      </c>
      <c r="K191" s="273">
        <f t="shared" si="3"/>
        <v>19766731.493149765</v>
      </c>
      <c r="L191" s="232">
        <f t="shared" si="4"/>
        <v>-212165.15685022622</v>
      </c>
      <c r="M191" s="233">
        <f t="shared" si="5"/>
        <v>1.0619463154899814E-2</v>
      </c>
      <c r="N191"/>
      <c r="O191"/>
      <c r="P191"/>
      <c r="Q191"/>
      <c r="R191"/>
      <c r="S191"/>
      <c r="T191"/>
      <c r="U191"/>
      <c r="V191"/>
      <c r="W191"/>
      <c r="X191"/>
      <c r="Y191"/>
      <c r="Z191"/>
      <c r="AA191"/>
      <c r="AB191"/>
    </row>
    <row r="192" spans="1:28" s="35" customFormat="1">
      <c r="A192" s="254">
        <v>41913</v>
      </c>
      <c r="B192" s="249">
        <f>'[11]CoS 2017 Load History'!L230</f>
        <v>21777286.870000001</v>
      </c>
      <c r="C192" s="269">
        <f>'Weather Data'!B288</f>
        <v>382.59999999999997</v>
      </c>
      <c r="D192" s="269">
        <f>'Weather Data'!C288</f>
        <v>0</v>
      </c>
      <c r="E192" s="256">
        <v>31</v>
      </c>
      <c r="F192" s="256">
        <v>1</v>
      </c>
      <c r="G192" s="256">
        <f>'CDM Activity'!U124</f>
        <v>663783.91414241737</v>
      </c>
      <c r="H192" s="256">
        <v>352</v>
      </c>
      <c r="I192" s="259">
        <v>150.00999071256246</v>
      </c>
      <c r="J192" s="272">
        <f>'[11]CoS 2017 Load History'!O230</f>
        <v>488.525390625</v>
      </c>
      <c r="K192" s="273">
        <f t="shared" si="3"/>
        <v>21925184.288886409</v>
      </c>
      <c r="L192" s="232">
        <f t="shared" si="4"/>
        <v>147897.41888640821</v>
      </c>
      <c r="M192" s="233">
        <f t="shared" si="5"/>
        <v>6.7913610988037743E-3</v>
      </c>
      <c r="N192"/>
      <c r="O192"/>
      <c r="P192"/>
      <c r="Q192"/>
      <c r="R192"/>
      <c r="S192"/>
      <c r="T192"/>
      <c r="U192"/>
      <c r="V192"/>
      <c r="W192"/>
      <c r="X192"/>
      <c r="Y192"/>
      <c r="Z192"/>
      <c r="AA192"/>
      <c r="AB192"/>
    </row>
    <row r="193" spans="1:28" s="35" customFormat="1">
      <c r="A193" s="254">
        <v>41944</v>
      </c>
      <c r="B193" s="249">
        <f>'[11]CoS 2017 Load History'!L231</f>
        <v>24141227.480000012</v>
      </c>
      <c r="C193" s="269">
        <f>'Weather Data'!B289</f>
        <v>647.79999999999995</v>
      </c>
      <c r="D193" s="269">
        <f>'Weather Data'!C289</f>
        <v>0</v>
      </c>
      <c r="E193" s="256">
        <v>30</v>
      </c>
      <c r="F193" s="256">
        <v>1</v>
      </c>
      <c r="G193" s="256">
        <f>'CDM Activity'!U125</f>
        <v>685760.67451494886</v>
      </c>
      <c r="H193" s="256">
        <v>304</v>
      </c>
      <c r="I193" s="259">
        <v>150.34340701234646</v>
      </c>
      <c r="J193" s="272">
        <f>'[11]CoS 2017 Load History'!O231</f>
        <v>487.7626953125</v>
      </c>
      <c r="K193" s="273">
        <f t="shared" si="3"/>
        <v>23281847.455625918</v>
      </c>
      <c r="L193" s="232">
        <f t="shared" si="4"/>
        <v>-859380.02437409386</v>
      </c>
      <c r="M193" s="233">
        <f t="shared" si="5"/>
        <v>3.559802520754398E-2</v>
      </c>
      <c r="N193"/>
      <c r="O193"/>
      <c r="P193"/>
      <c r="Q193"/>
      <c r="R193"/>
      <c r="S193"/>
      <c r="T193"/>
      <c r="U193"/>
      <c r="V193"/>
      <c r="W193"/>
      <c r="X193"/>
      <c r="Y193"/>
      <c r="Z193"/>
      <c r="AA193"/>
      <c r="AB193"/>
    </row>
    <row r="194" spans="1:28" s="35" customFormat="1">
      <c r="A194" s="254">
        <v>41974</v>
      </c>
      <c r="B194" s="249">
        <f>'[11]CoS 2017 Load History'!L232</f>
        <v>26134928.269999992</v>
      </c>
      <c r="C194" s="269">
        <f>'Weather Data'!B290</f>
        <v>780.59999999999991</v>
      </c>
      <c r="D194" s="269">
        <f>'Weather Data'!C290</f>
        <v>0</v>
      </c>
      <c r="E194" s="256">
        <v>31</v>
      </c>
      <c r="F194" s="256">
        <v>0</v>
      </c>
      <c r="G194" s="256">
        <f>'CDM Activity'!U126</f>
        <v>707737.43488748034</v>
      </c>
      <c r="H194" s="256">
        <v>336</v>
      </c>
      <c r="I194" s="259">
        <v>150.67756437229883</v>
      </c>
      <c r="J194" s="272">
        <f>'[11]CoS 2017 Load History'!O232</f>
        <v>487.38134765625</v>
      </c>
      <c r="K194" s="273">
        <f t="shared" si="3"/>
        <v>25805024.591201469</v>
      </c>
      <c r="L194" s="232">
        <f t="shared" si="4"/>
        <v>-329903.6787985228</v>
      </c>
      <c r="M194" s="233">
        <f t="shared" si="5"/>
        <v>1.2623094863329538E-2</v>
      </c>
      <c r="N194"/>
      <c r="O194"/>
      <c r="P194"/>
      <c r="Q194"/>
      <c r="R194"/>
      <c r="S194"/>
      <c r="T194"/>
      <c r="U194"/>
      <c r="V194"/>
      <c r="W194"/>
      <c r="X194"/>
      <c r="Y194"/>
      <c r="Z194"/>
      <c r="AA194"/>
      <c r="AB194"/>
    </row>
    <row r="195" spans="1:28" s="35" customFormat="1">
      <c r="A195" s="254">
        <v>42005</v>
      </c>
      <c r="B195" s="249">
        <f>'[11]CoS 2017 Load History'!L233</f>
        <v>27731660.080000002</v>
      </c>
      <c r="C195" s="269">
        <f>'Weather Data'!B291</f>
        <v>979.49999999999989</v>
      </c>
      <c r="D195" s="269">
        <f>'Weather Data'!C291</f>
        <v>0</v>
      </c>
      <c r="E195" s="256">
        <v>31</v>
      </c>
      <c r="F195" s="256">
        <v>0</v>
      </c>
      <c r="G195" s="256">
        <f>'CDM Activity'!U127</f>
        <v>723269.33626694127</v>
      </c>
      <c r="H195" s="256">
        <v>336</v>
      </c>
      <c r="I195" s="259">
        <v>150.98793548444445</v>
      </c>
      <c r="J195" s="272">
        <f>'[11]CoS 2017 Load History'!O233</f>
        <v>487.190673828125</v>
      </c>
      <c r="K195" s="273">
        <f t="shared" si="3"/>
        <v>27481747.915360816</v>
      </c>
      <c r="L195" s="232">
        <f t="shared" si="4"/>
        <v>-249912.16463918611</v>
      </c>
      <c r="M195" s="233">
        <f t="shared" si="5"/>
        <v>9.0117996513098073E-3</v>
      </c>
      <c r="N195"/>
      <c r="O195"/>
      <c r="P195"/>
      <c r="Q195"/>
      <c r="R195"/>
      <c r="S195"/>
      <c r="T195"/>
      <c r="U195"/>
      <c r="V195"/>
      <c r="W195"/>
      <c r="X195"/>
      <c r="Y195"/>
      <c r="Z195"/>
      <c r="AA195"/>
      <c r="AB195"/>
    </row>
    <row r="196" spans="1:28" s="35" customFormat="1">
      <c r="A196" s="254">
        <v>42036</v>
      </c>
      <c r="B196" s="249">
        <f>'[11]CoS 2017 Load History'!L234</f>
        <v>25715487.790000014</v>
      </c>
      <c r="C196" s="269">
        <f>'Weather Data'!B292</f>
        <v>1053.3</v>
      </c>
      <c r="D196" s="269">
        <f>'Weather Data'!C292</f>
        <v>0</v>
      </c>
      <c r="E196" s="256">
        <v>28</v>
      </c>
      <c r="F196" s="256">
        <v>0</v>
      </c>
      <c r="G196" s="256">
        <f>'CDM Activity'!U128</f>
        <v>738801.23764640221</v>
      </c>
      <c r="H196" s="256">
        <v>304</v>
      </c>
      <c r="I196" s="259">
        <v>151.298945910264</v>
      </c>
      <c r="J196" s="272">
        <f>'[11]CoS 2017 Load History'!O234</f>
        <v>487.5953369140625</v>
      </c>
      <c r="K196" s="273">
        <f t="shared" si="3"/>
        <v>26373816.325521175</v>
      </c>
      <c r="L196" s="232">
        <f t="shared" si="4"/>
        <v>658328.53552116081</v>
      </c>
      <c r="M196" s="233">
        <f t="shared" si="5"/>
        <v>2.5600468515209931E-2</v>
      </c>
      <c r="N196"/>
      <c r="O196"/>
      <c r="P196"/>
      <c r="Q196"/>
      <c r="R196"/>
      <c r="S196"/>
      <c r="T196"/>
      <c r="U196"/>
      <c r="V196"/>
      <c r="W196"/>
      <c r="X196"/>
      <c r="Y196"/>
      <c r="Z196"/>
      <c r="AA196"/>
      <c r="AB196"/>
    </row>
    <row r="197" spans="1:28" s="35" customFormat="1">
      <c r="A197" s="254">
        <v>42064</v>
      </c>
      <c r="B197" s="249">
        <f>'[11]CoS 2017 Load History'!L235</f>
        <v>25051564.360000011</v>
      </c>
      <c r="C197" s="269">
        <f>'Weather Data'!B293</f>
        <v>710.39999999999986</v>
      </c>
      <c r="D197" s="269">
        <f>'Weather Data'!C293</f>
        <v>0</v>
      </c>
      <c r="E197" s="256">
        <v>31</v>
      </c>
      <c r="F197" s="256">
        <v>1</v>
      </c>
      <c r="G197" s="256">
        <f>'CDM Activity'!U129</f>
        <v>754333.13902586314</v>
      </c>
      <c r="H197" s="256">
        <v>352</v>
      </c>
      <c r="I197" s="259">
        <v>151.61059696663892</v>
      </c>
      <c r="J197" s="272">
        <f>'[11]CoS 2017 Load History'!O235</f>
        <v>486.79766845703125</v>
      </c>
      <c r="K197" s="273">
        <f t="shared" si="3"/>
        <v>24499988.297775324</v>
      </c>
      <c r="L197" s="232">
        <f t="shared" si="4"/>
        <v>-551576.06222468615</v>
      </c>
      <c r="M197" s="233">
        <f t="shared" si="5"/>
        <v>2.2017629490052568E-2</v>
      </c>
      <c r="N197"/>
      <c r="O197"/>
      <c r="P197"/>
      <c r="Q197"/>
      <c r="R197"/>
      <c r="S197"/>
      <c r="T197"/>
      <c r="U197"/>
      <c r="V197"/>
      <c r="W197"/>
      <c r="X197"/>
      <c r="Y197"/>
      <c r="Z197"/>
      <c r="AA197"/>
      <c r="AB197"/>
    </row>
    <row r="198" spans="1:28" s="35" customFormat="1">
      <c r="A198" s="254">
        <v>42095</v>
      </c>
      <c r="B198" s="249">
        <f>'[11]CoS 2017 Load History'!L236</f>
        <v>21377518.080000013</v>
      </c>
      <c r="C198" s="269">
        <f>'Weather Data'!B294</f>
        <v>432.09999999999997</v>
      </c>
      <c r="D198" s="269">
        <f>'Weather Data'!C294</f>
        <v>0</v>
      </c>
      <c r="E198" s="256">
        <v>30</v>
      </c>
      <c r="F198" s="256">
        <v>1</v>
      </c>
      <c r="G198" s="256">
        <f>'CDM Activity'!U130</f>
        <v>769865.04040532408</v>
      </c>
      <c r="H198" s="256">
        <v>336</v>
      </c>
      <c r="I198" s="259">
        <v>151.92288997316331</v>
      </c>
      <c r="J198" s="272">
        <f>'[11]CoS 2017 Load History'!O236</f>
        <v>485.89883422851563</v>
      </c>
      <c r="K198" s="273">
        <f t="shared" si="3"/>
        <v>21434509.899280079</v>
      </c>
      <c r="L198" s="232">
        <f t="shared" si="4"/>
        <v>56991.819280065596</v>
      </c>
      <c r="M198" s="233">
        <f t="shared" si="5"/>
        <v>2.6659698785793549E-3</v>
      </c>
      <c r="N198"/>
      <c r="O198"/>
      <c r="P198"/>
      <c r="Q198"/>
      <c r="R198"/>
      <c r="S198"/>
      <c r="T198"/>
      <c r="U198"/>
      <c r="V198"/>
      <c r="W198"/>
      <c r="X198"/>
      <c r="Y198"/>
      <c r="Z198"/>
      <c r="AA198"/>
      <c r="AB198"/>
    </row>
    <row r="199" spans="1:28" s="35" customFormat="1">
      <c r="A199" s="254">
        <v>42125</v>
      </c>
      <c r="B199" s="249">
        <f>'[11]CoS 2017 Load History'!L237</f>
        <v>20280334.619999997</v>
      </c>
      <c r="C199" s="269">
        <f>'Weather Data'!B295</f>
        <v>276</v>
      </c>
      <c r="D199" s="269">
        <f>'Weather Data'!C295</f>
        <v>0</v>
      </c>
      <c r="E199" s="256">
        <v>31</v>
      </c>
      <c r="F199" s="256">
        <v>1</v>
      </c>
      <c r="G199" s="256">
        <f>'CDM Activity'!U131</f>
        <v>785396.94178478501</v>
      </c>
      <c r="H199" s="256">
        <v>320</v>
      </c>
      <c r="I199" s="259">
        <v>152.23582625214937</v>
      </c>
      <c r="J199" s="272">
        <f>'[11]CoS 2017 Load History'!O237</f>
        <v>478.94941711425781</v>
      </c>
      <c r="K199" s="273">
        <f t="shared" si="3"/>
        <v>20385316.340977956</v>
      </c>
      <c r="L199" s="232">
        <f t="shared" si="4"/>
        <v>104981.72097795829</v>
      </c>
      <c r="M199" s="233">
        <f t="shared" si="5"/>
        <v>5.1765280477388056E-3</v>
      </c>
      <c r="N199"/>
      <c r="O199"/>
      <c r="P199"/>
      <c r="Q199"/>
      <c r="R199"/>
      <c r="S199"/>
      <c r="T199"/>
      <c r="U199"/>
      <c r="V199"/>
      <c r="W199"/>
      <c r="X199"/>
      <c r="Y199"/>
      <c r="Z199"/>
      <c r="AA199"/>
      <c r="AB199"/>
    </row>
    <row r="200" spans="1:28" s="35" customFormat="1">
      <c r="A200" s="254">
        <v>42156</v>
      </c>
      <c r="B200" s="249">
        <f>'[11]CoS 2017 Load History'!L238</f>
        <v>19371535.930000011</v>
      </c>
      <c r="C200" s="269">
        <f>'Weather Data'!B296</f>
        <v>118.60000000000004</v>
      </c>
      <c r="D200" s="269">
        <f>'Weather Data'!C296</f>
        <v>0</v>
      </c>
      <c r="E200" s="256">
        <v>30</v>
      </c>
      <c r="F200" s="256">
        <v>0</v>
      </c>
      <c r="G200" s="256">
        <f>'CDM Activity'!U132</f>
        <v>800928.84316424595</v>
      </c>
      <c r="H200" s="256">
        <v>352</v>
      </c>
      <c r="I200" s="259">
        <v>152.54940712863302</v>
      </c>
      <c r="J200" s="272">
        <f>'[11]CoS 2017 Load History'!O238</f>
        <v>469.47470855712891</v>
      </c>
      <c r="K200" s="273">
        <f t="shared" si="3"/>
        <v>19456597.951649662</v>
      </c>
      <c r="L200" s="232">
        <f t="shared" si="4"/>
        <v>85062.021649651229</v>
      </c>
      <c r="M200" s="233">
        <f t="shared" si="5"/>
        <v>4.391082976436509E-3</v>
      </c>
      <c r="N200"/>
      <c r="O200"/>
      <c r="P200"/>
      <c r="Q200"/>
      <c r="R200"/>
      <c r="S200"/>
      <c r="T200"/>
      <c r="U200"/>
      <c r="V200"/>
      <c r="W200"/>
      <c r="X200"/>
      <c r="Y200"/>
      <c r="Z200"/>
      <c r="AA200"/>
      <c r="AB200"/>
    </row>
    <row r="201" spans="1:28" s="35" customFormat="1">
      <c r="A201" s="254">
        <v>42186</v>
      </c>
      <c r="B201" s="249">
        <f>'[11]CoS 2017 Load History'!L239</f>
        <v>20675017.580000002</v>
      </c>
      <c r="C201" s="269">
        <f>'Weather Data'!B297</f>
        <v>31.7</v>
      </c>
      <c r="D201" s="269">
        <f>'Weather Data'!C297</f>
        <v>38.000000000000007</v>
      </c>
      <c r="E201" s="256">
        <v>31</v>
      </c>
      <c r="F201" s="256">
        <v>0</v>
      </c>
      <c r="G201" s="256">
        <f>'CDM Activity'!U133</f>
        <v>816460.74454370688</v>
      </c>
      <c r="H201" s="256">
        <v>352</v>
      </c>
      <c r="I201" s="259">
        <v>152.86363393037959</v>
      </c>
      <c r="J201" s="272">
        <f>'[11]CoS 2017 Load History'!O239</f>
        <v>463.73735427856445</v>
      </c>
      <c r="K201" s="273">
        <f t="shared" si="3"/>
        <v>20801900.424751006</v>
      </c>
      <c r="L201" s="232">
        <f t="shared" si="4"/>
        <v>126882.84475100413</v>
      </c>
      <c r="M201" s="233">
        <f t="shared" si="5"/>
        <v>6.1370126656503723E-3</v>
      </c>
      <c r="N201"/>
      <c r="O201"/>
      <c r="P201"/>
      <c r="Q201"/>
      <c r="R201"/>
      <c r="S201"/>
      <c r="T201"/>
      <c r="U201"/>
      <c r="V201"/>
      <c r="W201"/>
      <c r="X201"/>
      <c r="Y201"/>
      <c r="Z201"/>
      <c r="AA201"/>
      <c r="AB201"/>
    </row>
    <row r="202" spans="1:28" s="35" customFormat="1">
      <c r="A202" s="254">
        <v>42217</v>
      </c>
      <c r="B202" s="249">
        <f>'[11]CoS 2017 Load History'!L240</f>
        <v>20614734.829999994</v>
      </c>
      <c r="C202" s="269">
        <f>'Weather Data'!B298</f>
        <v>50.7</v>
      </c>
      <c r="D202" s="269">
        <f>'Weather Data'!C298</f>
        <v>35.4</v>
      </c>
      <c r="E202" s="256">
        <v>31</v>
      </c>
      <c r="F202" s="256">
        <v>0</v>
      </c>
      <c r="G202" s="256">
        <f>'CDM Activity'!U134</f>
        <v>831992.64592316782</v>
      </c>
      <c r="H202" s="256">
        <v>320</v>
      </c>
      <c r="I202" s="259">
        <v>153.17850798788936</v>
      </c>
      <c r="J202" s="272">
        <f>'[11]CoS 2017 Load History'!O240</f>
        <v>460.86867713928223</v>
      </c>
      <c r="K202" s="273">
        <f t="shared" si="3"/>
        <v>20543431.31415657</v>
      </c>
      <c r="L202" s="232">
        <f t="shared" si="4"/>
        <v>-71303.515843424946</v>
      </c>
      <c r="M202" s="233">
        <f t="shared" si="5"/>
        <v>3.4588616555794411E-3</v>
      </c>
      <c r="N202"/>
      <c r="O202"/>
      <c r="P202"/>
      <c r="Q202"/>
      <c r="R202"/>
      <c r="S202"/>
      <c r="T202"/>
      <c r="U202"/>
      <c r="V202"/>
      <c r="W202"/>
      <c r="X202"/>
      <c r="Y202"/>
      <c r="Z202"/>
      <c r="AA202"/>
      <c r="AB202"/>
    </row>
    <row r="203" spans="1:28" s="35" customFormat="1">
      <c r="A203" s="254">
        <v>42248</v>
      </c>
      <c r="B203" s="249">
        <f>'[11]CoS 2017 Load History'!L241</f>
        <v>19939072.719999995</v>
      </c>
      <c r="C203" s="269">
        <f>'Weather Data'!B299</f>
        <v>106.20000000000002</v>
      </c>
      <c r="D203" s="269">
        <f>'Weather Data'!C299</f>
        <v>15.8</v>
      </c>
      <c r="E203" s="256">
        <v>30</v>
      </c>
      <c r="F203" s="256">
        <v>1</v>
      </c>
      <c r="G203" s="256">
        <f>'CDM Activity'!U135</f>
        <v>847524.54730262875</v>
      </c>
      <c r="H203" s="256">
        <v>336</v>
      </c>
      <c r="I203" s="259">
        <v>153.4940306344032</v>
      </c>
      <c r="J203" s="272">
        <f>'[11]CoS 2017 Load History'!O241</f>
        <v>459.93433856964111</v>
      </c>
      <c r="K203" s="273">
        <f t="shared" si="3"/>
        <v>19079509.034103781</v>
      </c>
      <c r="L203" s="232">
        <f t="shared" si="4"/>
        <v>-859563.6858962141</v>
      </c>
      <c r="M203" s="233">
        <f t="shared" si="5"/>
        <v>4.3109511558881278E-2</v>
      </c>
      <c r="N203"/>
      <c r="O203"/>
      <c r="P203"/>
      <c r="Q203"/>
      <c r="R203"/>
      <c r="S203"/>
      <c r="T203"/>
      <c r="U203"/>
      <c r="V203"/>
      <c r="W203"/>
      <c r="X203"/>
      <c r="Y203"/>
      <c r="Z203"/>
      <c r="AA203"/>
      <c r="AB203"/>
    </row>
    <row r="204" spans="1:28" s="35" customFormat="1">
      <c r="A204" s="254">
        <v>42278</v>
      </c>
      <c r="B204" s="249">
        <f>'[11]CoS 2017 Load History'!L242</f>
        <v>20726132.169999994</v>
      </c>
      <c r="C204" s="269">
        <f>'Weather Data'!B300</f>
        <v>345.9</v>
      </c>
      <c r="D204" s="269">
        <f>'Weather Data'!C300</f>
        <v>0</v>
      </c>
      <c r="E204" s="256">
        <v>31</v>
      </c>
      <c r="F204" s="256">
        <v>1</v>
      </c>
      <c r="G204" s="256">
        <f>'CDM Activity'!U136</f>
        <v>863056.44868208969</v>
      </c>
      <c r="H204" s="256">
        <v>336</v>
      </c>
      <c r="I204" s="259">
        <v>153.81020320590829</v>
      </c>
      <c r="J204" s="272">
        <f>'[11]CoS 2017 Load History'!O242</f>
        <v>459.46716928482056</v>
      </c>
      <c r="K204" s="273">
        <f t="shared" si="3"/>
        <v>20897006.86613971</v>
      </c>
      <c r="L204" s="232">
        <f t="shared" si="4"/>
        <v>170874.69613971561</v>
      </c>
      <c r="M204" s="233">
        <f t="shared" si="5"/>
        <v>8.244408302435122E-3</v>
      </c>
      <c r="N204"/>
      <c r="O204"/>
      <c r="P204"/>
      <c r="Q204"/>
      <c r="R204"/>
      <c r="S204"/>
      <c r="T204"/>
      <c r="U204"/>
      <c r="V204"/>
      <c r="W204"/>
      <c r="X204"/>
      <c r="Y204"/>
      <c r="Z204"/>
      <c r="AA204"/>
      <c r="AB204"/>
    </row>
    <row r="205" spans="1:28" s="35" customFormat="1">
      <c r="A205" s="254">
        <v>42309</v>
      </c>
      <c r="B205" s="249">
        <f>'[11]CoS 2017 Load History'!L243</f>
        <v>21470151.140000004</v>
      </c>
      <c r="C205" s="269">
        <f>'Weather Data'!B301</f>
        <v>469.10000000000008</v>
      </c>
      <c r="D205" s="269">
        <f>'Weather Data'!C301</f>
        <v>0</v>
      </c>
      <c r="E205" s="256">
        <v>30</v>
      </c>
      <c r="F205" s="256">
        <v>1</v>
      </c>
      <c r="G205" s="256">
        <f>'CDM Activity'!U137</f>
        <v>878588.35006155062</v>
      </c>
      <c r="H205" s="256">
        <v>320</v>
      </c>
      <c r="I205" s="259">
        <v>154.12702704114372</v>
      </c>
      <c r="J205" s="272">
        <f>'[11]CoS 2017 Load History'!O243</f>
        <v>459.73358464241028</v>
      </c>
      <c r="K205" s="273">
        <f t="shared" si="3"/>
        <v>21307177.85779475</v>
      </c>
      <c r="L205" s="232">
        <f t="shared" si="4"/>
        <v>-162973.28220525384</v>
      </c>
      <c r="M205" s="233">
        <f t="shared" si="5"/>
        <v>7.5906909617243527E-3</v>
      </c>
      <c r="N205"/>
      <c r="O205"/>
      <c r="P205"/>
      <c r="Q205"/>
      <c r="R205"/>
      <c r="S205"/>
      <c r="T205"/>
      <c r="U205"/>
      <c r="V205"/>
      <c r="W205"/>
      <c r="X205"/>
      <c r="Y205"/>
      <c r="Z205"/>
      <c r="AA205"/>
      <c r="AB205"/>
    </row>
    <row r="206" spans="1:28" s="35" customFormat="1">
      <c r="A206" s="254">
        <v>42339</v>
      </c>
      <c r="B206" s="249">
        <f>'[11]CoS 2017 Load History'!L244</f>
        <v>23595138.619999997</v>
      </c>
      <c r="C206" s="269">
        <f>'Weather Data'!B302</f>
        <v>564.90000000000009</v>
      </c>
      <c r="D206" s="269">
        <f>'Weather Data'!C302</f>
        <v>0</v>
      </c>
      <c r="E206" s="256">
        <v>31</v>
      </c>
      <c r="F206" s="256">
        <v>0</v>
      </c>
      <c r="G206" s="256">
        <f>'CDM Activity'!U138</f>
        <v>894120.25144101155</v>
      </c>
      <c r="H206" s="256">
        <v>352</v>
      </c>
      <c r="I206" s="259">
        <v>154.44450348160629</v>
      </c>
      <c r="J206" s="272">
        <f>'[11]CoS 2017 Load History'!O244</f>
        <v>459.86679232120514</v>
      </c>
      <c r="K206" s="273">
        <f t="shared" si="3"/>
        <v>23528766.899219207</v>
      </c>
      <c r="L206" s="232">
        <f t="shared" si="4"/>
        <v>-66371.720780789852</v>
      </c>
      <c r="M206" s="233">
        <f t="shared" si="5"/>
        <v>2.8129404895519895E-3</v>
      </c>
      <c r="N206"/>
      <c r="O206"/>
      <c r="P206"/>
      <c r="Q206"/>
      <c r="R206"/>
      <c r="S206"/>
      <c r="T206"/>
      <c r="U206"/>
      <c r="V206"/>
      <c r="W206"/>
      <c r="X206"/>
      <c r="Y206"/>
      <c r="Z206"/>
      <c r="AA206"/>
      <c r="AB206"/>
    </row>
    <row r="207" spans="1:28" s="35" customFormat="1">
      <c r="A207" s="254">
        <v>42370</v>
      </c>
      <c r="B207" s="249"/>
      <c r="C207" s="269">
        <f>'Weather Analysis - Thunder Bay'!Z8</f>
        <v>960.98000000000013</v>
      </c>
      <c r="D207" s="263">
        <f>'Weather Analysis - Thunder Bay'!Z28</f>
        <v>0</v>
      </c>
      <c r="E207" s="256">
        <v>31</v>
      </c>
      <c r="F207" s="256">
        <v>0</v>
      </c>
      <c r="G207" s="256">
        <f>'CDM Activity'!U139</f>
        <v>896297.09873074619</v>
      </c>
      <c r="H207" s="256">
        <v>320</v>
      </c>
      <c r="I207" s="259">
        <v>154.72483615659849</v>
      </c>
      <c r="J207" s="256"/>
      <c r="K207" s="273">
        <f t="shared" si="3"/>
        <v>26687132.834393229</v>
      </c>
      <c r="L207" s="9"/>
      <c r="M207" s="4">
        <f>AVERAGE(M87:M206)</f>
        <v>1.6020175840889338E-2</v>
      </c>
      <c r="N207"/>
      <c r="O207"/>
      <c r="P207"/>
      <c r="Q207"/>
      <c r="R207"/>
      <c r="S207"/>
      <c r="T207"/>
      <c r="U207"/>
      <c r="V207"/>
      <c r="W207"/>
      <c r="X207"/>
      <c r="Y207"/>
      <c r="Z207"/>
      <c r="AA207"/>
      <c r="AB207"/>
    </row>
    <row r="208" spans="1:28" s="35" customFormat="1">
      <c r="A208" s="254">
        <v>42401</v>
      </c>
      <c r="B208" s="249"/>
      <c r="C208" s="269">
        <f>'Weather Analysis - Thunder Bay'!Z9</f>
        <v>875.5899999999998</v>
      </c>
      <c r="D208" s="263">
        <f>'Weather Analysis - Thunder Bay'!Z29</f>
        <v>0</v>
      </c>
      <c r="E208" s="256">
        <v>29</v>
      </c>
      <c r="F208" s="256">
        <v>0</v>
      </c>
      <c r="G208" s="256">
        <f>'CDM Activity'!U140</f>
        <v>898473.94602048083</v>
      </c>
      <c r="H208" s="256">
        <v>320</v>
      </c>
      <c r="I208" s="259">
        <v>155.00567766425806</v>
      </c>
      <c r="J208" s="256"/>
      <c r="K208" s="273">
        <f t="shared" si="3"/>
        <v>24983180.656825524</v>
      </c>
      <c r="L208" s="98"/>
      <c r="M208" s="24"/>
      <c r="N208"/>
      <c r="O208"/>
      <c r="P208"/>
      <c r="Q208"/>
      <c r="R208"/>
      <c r="S208"/>
      <c r="T208"/>
      <c r="U208"/>
      <c r="V208"/>
      <c r="W208"/>
      <c r="X208"/>
      <c r="Y208"/>
      <c r="Z208"/>
      <c r="AA208"/>
      <c r="AB208"/>
    </row>
    <row r="209" spans="1:28" s="35" customFormat="1">
      <c r="A209" s="254">
        <v>42430</v>
      </c>
      <c r="B209" s="249"/>
      <c r="C209" s="269">
        <f>'Weather Analysis - Thunder Bay'!Z10</f>
        <v>702.91</v>
      </c>
      <c r="D209" s="263">
        <f>'Weather Analysis - Thunder Bay'!Z30</f>
        <v>0</v>
      </c>
      <c r="E209" s="256">
        <v>31</v>
      </c>
      <c r="F209" s="256">
        <v>1</v>
      </c>
      <c r="G209" s="256">
        <f>'CDM Activity'!U141</f>
        <v>900650.79331021546</v>
      </c>
      <c r="H209" s="256">
        <v>352</v>
      </c>
      <c r="I209" s="259">
        <v>155.2870289281687</v>
      </c>
      <c r="J209" s="256"/>
      <c r="K209" s="273">
        <f t="shared" si="3"/>
        <v>24010413.888279848</v>
      </c>
      <c r="L209" s="98"/>
      <c r="M209" s="24"/>
      <c r="N209"/>
      <c r="O209"/>
      <c r="P209"/>
      <c r="Q209"/>
      <c r="R209"/>
      <c r="S209"/>
      <c r="T209"/>
      <c r="U209"/>
      <c r="V209"/>
      <c r="W209"/>
      <c r="X209"/>
      <c r="Y209"/>
      <c r="Z209"/>
      <c r="AA209"/>
      <c r="AB209"/>
    </row>
    <row r="210" spans="1:28" s="35" customFormat="1">
      <c r="A210" s="254">
        <v>42461</v>
      </c>
      <c r="B210" s="249"/>
      <c r="C210" s="269">
        <f>'Weather Analysis - Thunder Bay'!Z11</f>
        <v>450.5200000000001</v>
      </c>
      <c r="D210" s="263">
        <f>'Weather Analysis - Thunder Bay'!Z31</f>
        <v>0</v>
      </c>
      <c r="E210" s="256">
        <v>30</v>
      </c>
      <c r="F210" s="256">
        <v>1</v>
      </c>
      <c r="G210" s="256">
        <f>'CDM Activity'!U142</f>
        <v>902827.6405999501</v>
      </c>
      <c r="H210" s="256">
        <v>336</v>
      </c>
      <c r="I210" s="259">
        <v>155.56889087359048</v>
      </c>
      <c r="J210" s="256"/>
      <c r="K210" s="273">
        <f t="shared" si="3"/>
        <v>21207997.09561868</v>
      </c>
      <c r="L210" s="98"/>
      <c r="M210" s="24"/>
      <c r="N210"/>
      <c r="O210"/>
      <c r="P210"/>
      <c r="Q210"/>
      <c r="R210"/>
      <c r="S210"/>
      <c r="T210"/>
      <c r="U210"/>
      <c r="V210"/>
      <c r="W210"/>
      <c r="X210"/>
      <c r="Y210"/>
      <c r="Z210"/>
      <c r="AA210"/>
      <c r="AB210"/>
    </row>
    <row r="211" spans="1:28" s="35" customFormat="1">
      <c r="A211" s="254">
        <v>42491</v>
      </c>
      <c r="B211" s="249"/>
      <c r="C211" s="269">
        <f>'Weather Analysis - Thunder Bay'!Z12</f>
        <v>271.46000000000004</v>
      </c>
      <c r="D211" s="263">
        <f>'Weather Analysis - Thunder Bay'!Z32</f>
        <v>0.47000000000000003</v>
      </c>
      <c r="E211" s="256">
        <v>31</v>
      </c>
      <c r="F211" s="256">
        <v>1</v>
      </c>
      <c r="G211" s="256">
        <f>'CDM Activity'!U143</f>
        <v>905004.48788968474</v>
      </c>
      <c r="H211" s="256">
        <v>336</v>
      </c>
      <c r="I211" s="259">
        <v>155.85126442746289</v>
      </c>
      <c r="J211" s="256"/>
      <c r="K211" s="273">
        <f t="shared" si="3"/>
        <v>20151410.814771019</v>
      </c>
      <c r="L211" s="98"/>
      <c r="M211" s="24"/>
      <c r="N211"/>
      <c r="O211"/>
      <c r="P211"/>
      <c r="Q211"/>
      <c r="R211"/>
      <c r="S211"/>
      <c r="T211"/>
      <c r="U211"/>
      <c r="V211"/>
      <c r="W211"/>
      <c r="X211"/>
      <c r="Y211"/>
      <c r="Z211"/>
      <c r="AA211"/>
      <c r="AB211"/>
    </row>
    <row r="212" spans="1:28" s="35" customFormat="1">
      <c r="A212" s="254">
        <v>42522</v>
      </c>
      <c r="B212" s="249"/>
      <c r="C212" s="269">
        <f>'Weather Analysis - Thunder Bay'!Z13</f>
        <v>109.59</v>
      </c>
      <c r="D212" s="263">
        <f>'Weather Analysis - Thunder Bay'!Z33</f>
        <v>6.7</v>
      </c>
      <c r="E212" s="256">
        <v>30</v>
      </c>
      <c r="F212" s="256">
        <v>0</v>
      </c>
      <c r="G212" s="256">
        <f>'CDM Activity'!U144</f>
        <v>907181.33517941937</v>
      </c>
      <c r="H212" s="256">
        <v>352</v>
      </c>
      <c r="I212" s="259">
        <v>156.13415051840798</v>
      </c>
      <c r="J212" s="256"/>
      <c r="K212" s="273">
        <f t="shared" si="3"/>
        <v>19363457.377553925</v>
      </c>
      <c r="L212" s="98"/>
      <c r="M212" s="24"/>
      <c r="N212"/>
      <c r="O212"/>
      <c r="P212"/>
      <c r="Q212"/>
      <c r="R212"/>
      <c r="S212"/>
      <c r="T212"/>
      <c r="U212"/>
      <c r="V212"/>
      <c r="W212"/>
      <c r="X212"/>
      <c r="Y212"/>
      <c r="Z212"/>
      <c r="AA212"/>
      <c r="AB212"/>
    </row>
    <row r="213" spans="1:28" s="35" customFormat="1">
      <c r="A213" s="254">
        <v>42552</v>
      </c>
      <c r="B213" s="249"/>
      <c r="C213" s="269">
        <f>'Weather Analysis - Thunder Bay'!Z14</f>
        <v>36.33</v>
      </c>
      <c r="D213" s="263">
        <f>'Weather Analysis - Thunder Bay'!Z34</f>
        <v>40.369999999999997</v>
      </c>
      <c r="E213" s="256">
        <v>31</v>
      </c>
      <c r="F213" s="256">
        <v>0</v>
      </c>
      <c r="G213" s="256">
        <f>'CDM Activity'!U145</f>
        <v>909358.18246915401</v>
      </c>
      <c r="H213" s="256">
        <v>320</v>
      </c>
      <c r="I213" s="259">
        <v>156.41755007673331</v>
      </c>
      <c r="J213" s="256"/>
      <c r="K213" s="273">
        <f t="shared" si="3"/>
        <v>20412015.154564101</v>
      </c>
      <c r="L213" s="98"/>
      <c r="M213" s="24"/>
      <c r="N213"/>
      <c r="O213"/>
      <c r="P213"/>
      <c r="Q213"/>
      <c r="R213"/>
      <c r="S213"/>
      <c r="T213"/>
      <c r="U213"/>
      <c r="V213"/>
      <c r="W213"/>
      <c r="X213"/>
      <c r="Y213"/>
      <c r="Z213"/>
      <c r="AA213"/>
      <c r="AB213"/>
    </row>
    <row r="214" spans="1:28" s="35" customFormat="1">
      <c r="A214" s="254">
        <v>42583</v>
      </c>
      <c r="B214" s="249"/>
      <c r="C214" s="269">
        <f>'Weather Analysis - Thunder Bay'!Z15</f>
        <v>51.55</v>
      </c>
      <c r="D214" s="263">
        <f>'Weather Analysis - Thunder Bay'!Z35</f>
        <v>29.669999999999998</v>
      </c>
      <c r="E214" s="256">
        <v>31</v>
      </c>
      <c r="F214" s="256">
        <v>0</v>
      </c>
      <c r="G214" s="256">
        <f>'CDM Activity'!U146</f>
        <v>911535.02975888865</v>
      </c>
      <c r="H214" s="256">
        <v>352</v>
      </c>
      <c r="I214" s="259">
        <v>156.70146403443502</v>
      </c>
      <c r="J214" s="256"/>
      <c r="K214" s="273">
        <f t="shared" si="3"/>
        <v>20333108.277727906</v>
      </c>
      <c r="L214" s="98"/>
      <c r="M214" s="24"/>
      <c r="N214"/>
      <c r="O214"/>
      <c r="P214"/>
      <c r="Q214"/>
      <c r="R214"/>
      <c r="S214"/>
      <c r="T214"/>
      <c r="U214"/>
      <c r="V214"/>
      <c r="W214"/>
      <c r="X214"/>
      <c r="Y214"/>
      <c r="Z214"/>
      <c r="AA214"/>
      <c r="AB214"/>
    </row>
    <row r="215" spans="1:28" s="35" customFormat="1">
      <c r="A215" s="254">
        <v>42614</v>
      </c>
      <c r="B215" s="249"/>
      <c r="C215" s="269">
        <f>'Weather Analysis - Thunder Bay'!Z16</f>
        <v>176.97</v>
      </c>
      <c r="D215" s="263">
        <f>'Weather Analysis - Thunder Bay'!Z36</f>
        <v>5.05</v>
      </c>
      <c r="E215" s="256">
        <v>30</v>
      </c>
      <c r="F215" s="256">
        <v>1</v>
      </c>
      <c r="G215" s="256">
        <f>'CDM Activity'!U147</f>
        <v>913711.87704862328</v>
      </c>
      <c r="H215" s="256">
        <v>336</v>
      </c>
      <c r="I215" s="259">
        <v>156.98589332520095</v>
      </c>
      <c r="J215" s="256"/>
      <c r="K215" s="273">
        <f t="shared" si="3"/>
        <v>19029433.751534767</v>
      </c>
      <c r="L215" s="98"/>
      <c r="M215" s="24"/>
      <c r="N215"/>
      <c r="O215"/>
      <c r="P215"/>
      <c r="Q215"/>
      <c r="R215"/>
      <c r="S215"/>
      <c r="T215"/>
      <c r="U215"/>
      <c r="V215"/>
      <c r="W215"/>
      <c r="X215"/>
      <c r="Y215"/>
      <c r="Z215"/>
      <c r="AA215"/>
      <c r="AB215"/>
    </row>
    <row r="216" spans="1:28" s="35" customFormat="1">
      <c r="A216" s="254">
        <v>42644</v>
      </c>
      <c r="B216" s="249"/>
      <c r="C216" s="269">
        <f>'Weather Analysis - Thunder Bay'!Z17</f>
        <v>372.15</v>
      </c>
      <c r="D216" s="263">
        <f>'Weather Analysis - Thunder Bay'!Z37</f>
        <v>0.54</v>
      </c>
      <c r="E216" s="256">
        <v>31</v>
      </c>
      <c r="F216" s="256">
        <v>1</v>
      </c>
      <c r="G216" s="256">
        <f>'CDM Activity'!U148</f>
        <v>915888.72433835792</v>
      </c>
      <c r="H216" s="256">
        <v>320</v>
      </c>
      <c r="I216" s="259">
        <v>157.27083888441365</v>
      </c>
      <c r="J216" s="256"/>
      <c r="K216" s="273">
        <f t="shared" ref="K216:K230" si="6">$O$103+C216*$O$104+D216*$O$105+E216*$O$106+F216*$O$107+G216*$O$108+H216*$O$109</f>
        <v>20862496.422993131</v>
      </c>
      <c r="L216" s="98"/>
      <c r="M216" s="24"/>
      <c r="N216"/>
      <c r="O216"/>
      <c r="P216"/>
      <c r="Q216"/>
      <c r="R216"/>
      <c r="S216"/>
      <c r="T216"/>
      <c r="U216"/>
      <c r="V216"/>
      <c r="W216"/>
      <c r="X216"/>
      <c r="Y216"/>
      <c r="Z216"/>
      <c r="AA216"/>
      <c r="AB216"/>
    </row>
    <row r="217" spans="1:28" s="35" customFormat="1">
      <c r="A217" s="254">
        <v>42675</v>
      </c>
      <c r="B217" s="249"/>
      <c r="C217" s="269">
        <f>'Weather Analysis - Thunder Bay'!Z18</f>
        <v>567.61000000000013</v>
      </c>
      <c r="D217" s="263">
        <f>'Weather Analysis - Thunder Bay'!Z38</f>
        <v>0</v>
      </c>
      <c r="E217" s="256">
        <v>30</v>
      </c>
      <c r="F217" s="256">
        <v>1</v>
      </c>
      <c r="G217" s="256">
        <f>'CDM Activity'!U149</f>
        <v>918065.57162809256</v>
      </c>
      <c r="H217" s="256">
        <v>336</v>
      </c>
      <c r="I217" s="259">
        <v>157.55630164915351</v>
      </c>
      <c r="J217" s="256"/>
      <c r="K217" s="273">
        <f t="shared" si="6"/>
        <v>22177372.331089228</v>
      </c>
      <c r="L217" s="98"/>
      <c r="M217" s="24"/>
      <c r="N217"/>
      <c r="O217"/>
      <c r="P217"/>
      <c r="Q217"/>
      <c r="R217"/>
      <c r="S217"/>
      <c r="T217"/>
      <c r="U217"/>
      <c r="V217"/>
      <c r="W217"/>
      <c r="X217"/>
      <c r="Y217"/>
      <c r="Z217"/>
      <c r="AA217"/>
      <c r="AB217"/>
    </row>
    <row r="218" spans="1:28" s="35" customFormat="1">
      <c r="A218" s="254">
        <v>42705</v>
      </c>
      <c r="B218" s="249"/>
      <c r="C218" s="269">
        <f>'Weather Analysis - Thunder Bay'!Z19</f>
        <v>852.28999999999974</v>
      </c>
      <c r="D218" s="263">
        <f>'Weather Analysis - Thunder Bay'!Z39</f>
        <v>0</v>
      </c>
      <c r="E218" s="256">
        <v>31</v>
      </c>
      <c r="F218" s="256">
        <v>0</v>
      </c>
      <c r="G218" s="256">
        <f>'CDM Activity'!U150</f>
        <v>920242.41891782719</v>
      </c>
      <c r="H218" s="256">
        <v>336</v>
      </c>
      <c r="I218" s="259">
        <v>157.84228255820162</v>
      </c>
      <c r="J218" s="256"/>
      <c r="K218" s="273">
        <f t="shared" si="6"/>
        <v>25808753.69725626</v>
      </c>
      <c r="L218" s="98"/>
      <c r="M218" s="24"/>
      <c r="N218"/>
      <c r="O218"/>
      <c r="P218"/>
      <c r="Q218"/>
      <c r="R218"/>
      <c r="S218"/>
      <c r="T218"/>
      <c r="U218"/>
      <c r="V218"/>
      <c r="W218"/>
      <c r="X218"/>
      <c r="Y218"/>
      <c r="Z218"/>
      <c r="AA218"/>
      <c r="AB218"/>
    </row>
    <row r="219" spans="1:28" s="35" customFormat="1">
      <c r="A219" s="254">
        <v>42736</v>
      </c>
      <c r="B219" s="249"/>
      <c r="C219" s="263">
        <f>C207</f>
        <v>960.98000000000013</v>
      </c>
      <c r="D219" s="263">
        <f>D207</f>
        <v>0</v>
      </c>
      <c r="E219" s="256">
        <v>31</v>
      </c>
      <c r="F219" s="256">
        <v>0</v>
      </c>
      <c r="G219" s="256">
        <f>'CDM Activity'!U151</f>
        <v>913677.17952835921</v>
      </c>
      <c r="H219" s="256">
        <v>336</v>
      </c>
      <c r="I219" s="259">
        <v>158.15454692394951</v>
      </c>
      <c r="J219" s="256"/>
      <c r="K219" s="273">
        <f t="shared" si="6"/>
        <v>26768703.988142148</v>
      </c>
      <c r="L219" s="18"/>
      <c r="M219" s="24"/>
      <c r="N219"/>
      <c r="O219"/>
      <c r="P219"/>
      <c r="Q219"/>
      <c r="R219"/>
      <c r="S219"/>
      <c r="T219"/>
      <c r="U219"/>
      <c r="V219"/>
      <c r="W219"/>
      <c r="X219"/>
      <c r="Y219"/>
      <c r="Z219"/>
      <c r="AA219"/>
      <c r="AB219"/>
    </row>
    <row r="220" spans="1:28" s="35" customFormat="1">
      <c r="A220" s="254">
        <v>42767</v>
      </c>
      <c r="B220" s="249"/>
      <c r="C220" s="263">
        <f t="shared" ref="C220:D230" si="7">C208</f>
        <v>875.5899999999998</v>
      </c>
      <c r="D220" s="263">
        <f t="shared" si="7"/>
        <v>0</v>
      </c>
      <c r="E220" s="256">
        <v>28</v>
      </c>
      <c r="F220" s="256">
        <v>0</v>
      </c>
      <c r="G220" s="256">
        <f>'CDM Activity'!U152</f>
        <v>907111.94013889122</v>
      </c>
      <c r="H220" s="256">
        <v>304</v>
      </c>
      <c r="I220" s="259">
        <v>158.46742905214063</v>
      </c>
      <c r="J220" s="256"/>
      <c r="K220" s="273">
        <f t="shared" si="6"/>
        <v>24346862.889480926</v>
      </c>
      <c r="L220" s="18"/>
      <c r="M220" s="24"/>
      <c r="N220"/>
      <c r="O220"/>
      <c r="P220"/>
      <c r="Q220"/>
      <c r="R220"/>
      <c r="S220"/>
      <c r="T220"/>
      <c r="U220"/>
      <c r="V220"/>
      <c r="W220"/>
      <c r="X220"/>
      <c r="Y220"/>
      <c r="Z220"/>
      <c r="AA220"/>
      <c r="AB220"/>
    </row>
    <row r="221" spans="1:28" s="35" customFormat="1">
      <c r="A221" s="254">
        <v>42795</v>
      </c>
      <c r="B221" s="249"/>
      <c r="C221" s="263">
        <f t="shared" si="7"/>
        <v>702.91</v>
      </c>
      <c r="D221" s="263">
        <f t="shared" si="7"/>
        <v>0</v>
      </c>
      <c r="E221" s="256">
        <v>31</v>
      </c>
      <c r="F221" s="256">
        <v>1</v>
      </c>
      <c r="G221" s="256">
        <f>'CDM Activity'!U153</f>
        <v>900546.70074942324</v>
      </c>
      <c r="H221" s="256">
        <v>368</v>
      </c>
      <c r="I221" s="259">
        <v>158.78093016491388</v>
      </c>
      <c r="J221" s="256"/>
      <c r="K221" s="273">
        <f t="shared" si="6"/>
        <v>24142738.713672962</v>
      </c>
      <c r="L221" s="18"/>
      <c r="M221" s="24"/>
      <c r="N221"/>
      <c r="O221"/>
      <c r="P221"/>
      <c r="Q221"/>
      <c r="R221"/>
      <c r="S221"/>
      <c r="T221"/>
      <c r="U221"/>
      <c r="V221"/>
      <c r="W221"/>
      <c r="X221"/>
      <c r="Y221"/>
      <c r="Z221"/>
      <c r="AA221"/>
      <c r="AB221"/>
    </row>
    <row r="222" spans="1:28" s="35" customFormat="1">
      <c r="A222" s="254">
        <v>42826</v>
      </c>
      <c r="B222" s="249"/>
      <c r="C222" s="263">
        <f t="shared" si="7"/>
        <v>450.5200000000001</v>
      </c>
      <c r="D222" s="263">
        <f t="shared" si="7"/>
        <v>0</v>
      </c>
      <c r="E222" s="256">
        <v>30</v>
      </c>
      <c r="F222" s="256">
        <v>1</v>
      </c>
      <c r="G222" s="256">
        <f>'CDM Activity'!U154</f>
        <v>893981.46135995525</v>
      </c>
      <c r="H222" s="256">
        <v>304</v>
      </c>
      <c r="I222" s="259">
        <v>159.09505148682601</v>
      </c>
      <c r="J222" s="256"/>
      <c r="K222" s="273">
        <f t="shared" si="6"/>
        <v>20969630.771263421</v>
      </c>
      <c r="L222" s="18"/>
      <c r="M222" s="24"/>
      <c r="N222"/>
      <c r="O222"/>
      <c r="P222"/>
      <c r="Q222"/>
      <c r="R222"/>
      <c r="S222"/>
      <c r="T222"/>
      <c r="U222"/>
      <c r="V222"/>
      <c r="W222"/>
      <c r="X222"/>
      <c r="Y222"/>
      <c r="Z222"/>
      <c r="AA222"/>
      <c r="AB222"/>
    </row>
    <row r="223" spans="1:28" s="35" customFormat="1">
      <c r="A223" s="254">
        <v>42856</v>
      </c>
      <c r="B223" s="249"/>
      <c r="C223" s="263">
        <f t="shared" si="7"/>
        <v>271.46000000000004</v>
      </c>
      <c r="D223" s="263">
        <f t="shared" si="7"/>
        <v>0.47000000000000003</v>
      </c>
      <c r="E223" s="256">
        <v>31</v>
      </c>
      <c r="F223" s="256">
        <v>1</v>
      </c>
      <c r="G223" s="256">
        <f>'CDM Activity'!U155</f>
        <v>887416.22197048727</v>
      </c>
      <c r="H223" s="256">
        <v>352</v>
      </c>
      <c r="I223" s="259">
        <v>159.4097942448563</v>
      </c>
      <c r="J223" s="256"/>
      <c r="K223" s="273">
        <f t="shared" si="6"/>
        <v>20334489.311808333</v>
      </c>
      <c r="L223" s="18"/>
      <c r="M223" s="24"/>
      <c r="N223"/>
      <c r="O223"/>
      <c r="P223"/>
      <c r="Q223"/>
      <c r="R223"/>
      <c r="S223"/>
      <c r="T223"/>
      <c r="U223"/>
      <c r="V223"/>
      <c r="W223"/>
      <c r="X223"/>
      <c r="Y223"/>
      <c r="Z223"/>
      <c r="AA223"/>
      <c r="AB223"/>
    </row>
    <row r="224" spans="1:28">
      <c r="A224" s="254">
        <v>42887</v>
      </c>
      <c r="B224" s="229"/>
      <c r="C224" s="263">
        <f t="shared" si="7"/>
        <v>109.59</v>
      </c>
      <c r="D224" s="263">
        <f t="shared" si="7"/>
        <v>6.7</v>
      </c>
      <c r="E224" s="256">
        <v>30</v>
      </c>
      <c r="F224" s="256">
        <v>0</v>
      </c>
      <c r="G224" s="256">
        <f>'CDM Activity'!U156</f>
        <v>880850.98258101929</v>
      </c>
      <c r="H224" s="256">
        <v>352</v>
      </c>
      <c r="I224" s="274">
        <v>159.72515966841141</v>
      </c>
      <c r="J224" s="58"/>
      <c r="K224" s="273">
        <f t="shared" si="6"/>
        <v>19439890.04855651</v>
      </c>
      <c r="L224" s="18"/>
    </row>
    <row r="225" spans="1:16">
      <c r="A225" s="254">
        <v>42917</v>
      </c>
      <c r="B225" s="229"/>
      <c r="C225" s="263">
        <f t="shared" si="7"/>
        <v>36.33</v>
      </c>
      <c r="D225" s="263">
        <f t="shared" si="7"/>
        <v>40.369999999999997</v>
      </c>
      <c r="E225" s="256">
        <v>31</v>
      </c>
      <c r="F225" s="256">
        <v>0</v>
      </c>
      <c r="G225" s="256">
        <f>'CDM Activity'!U157</f>
        <v>874285.7431915513</v>
      </c>
      <c r="H225" s="256">
        <v>320</v>
      </c>
      <c r="I225" s="274">
        <v>160.0411489893302</v>
      </c>
      <c r="J225" s="58"/>
      <c r="K225" s="273">
        <f t="shared" si="6"/>
        <v>20513824.661388785</v>
      </c>
      <c r="L225" s="18"/>
    </row>
    <row r="226" spans="1:16">
      <c r="A226" s="254">
        <v>42948</v>
      </c>
      <c r="B226" s="229"/>
      <c r="C226" s="263">
        <f t="shared" si="7"/>
        <v>51.55</v>
      </c>
      <c r="D226" s="263">
        <f t="shared" si="7"/>
        <v>29.669999999999998</v>
      </c>
      <c r="E226" s="256">
        <v>31</v>
      </c>
      <c r="F226" s="256">
        <v>0</v>
      </c>
      <c r="G226" s="256">
        <f>'CDM Activity'!U158</f>
        <v>867720.50380208332</v>
      </c>
      <c r="H226" s="256">
        <v>352</v>
      </c>
      <c r="I226" s="274">
        <v>160.35776344188849</v>
      </c>
      <c r="J226" s="58"/>
      <c r="K226" s="273">
        <f t="shared" si="6"/>
        <v>20460294.620374687</v>
      </c>
      <c r="L226" s="18"/>
    </row>
    <row r="227" spans="1:16">
      <c r="A227" s="254">
        <v>42979</v>
      </c>
      <c r="B227" s="231"/>
      <c r="C227" s="263">
        <f t="shared" si="7"/>
        <v>176.97</v>
      </c>
      <c r="D227" s="263">
        <f t="shared" si="7"/>
        <v>5.05</v>
      </c>
      <c r="E227" s="256">
        <v>30</v>
      </c>
      <c r="F227" s="256">
        <v>1</v>
      </c>
      <c r="G227" s="256">
        <f>'CDM Activity'!U159</f>
        <v>861155.26441261533</v>
      </c>
      <c r="H227" s="256">
        <v>320</v>
      </c>
      <c r="I227" s="274">
        <v>160.67500426280395</v>
      </c>
      <c r="J227" s="231"/>
      <c r="K227" s="273">
        <f t="shared" si="6"/>
        <v>19049974.26814682</v>
      </c>
      <c r="L227" s="18"/>
      <c r="M227"/>
    </row>
    <row r="228" spans="1:16">
      <c r="A228" s="254">
        <v>43009</v>
      </c>
      <c r="B228" s="231"/>
      <c r="C228" s="263">
        <f t="shared" si="7"/>
        <v>372.15</v>
      </c>
      <c r="D228" s="263">
        <f t="shared" si="7"/>
        <v>0.54</v>
      </c>
      <c r="E228" s="256">
        <v>31</v>
      </c>
      <c r="F228" s="256">
        <v>1</v>
      </c>
      <c r="G228" s="256">
        <f>'CDM Activity'!U160</f>
        <v>854590.02502314735</v>
      </c>
      <c r="H228" s="256">
        <v>336</v>
      </c>
      <c r="I228" s="274">
        <v>160.99287269124085</v>
      </c>
      <c r="J228" s="231"/>
      <c r="K228" s="273">
        <f t="shared" si="6"/>
        <v>21172459.099140935</v>
      </c>
      <c r="L228" s="18"/>
      <c r="M228"/>
    </row>
    <row r="229" spans="1:16">
      <c r="A229" s="254">
        <v>43040</v>
      </c>
      <c r="B229" s="231"/>
      <c r="C229" s="263">
        <f t="shared" si="7"/>
        <v>567.61000000000013</v>
      </c>
      <c r="D229" s="263">
        <f t="shared" si="7"/>
        <v>0</v>
      </c>
      <c r="E229" s="256">
        <v>30</v>
      </c>
      <c r="F229" s="256">
        <v>1</v>
      </c>
      <c r="G229" s="256">
        <f>'CDM Activity'!U161</f>
        <v>848024.78563367936</v>
      </c>
      <c r="H229" s="256">
        <v>352</v>
      </c>
      <c r="I229" s="274">
        <v>161.31136996881492</v>
      </c>
      <c r="J229" s="231"/>
      <c r="K229" s="273">
        <f t="shared" si="6"/>
        <v>22512711.84305913</v>
      </c>
      <c r="L229" s="18"/>
      <c r="M229"/>
    </row>
    <row r="230" spans="1:16">
      <c r="A230" s="254">
        <v>43070</v>
      </c>
      <c r="B230" s="231"/>
      <c r="C230" s="263">
        <f t="shared" si="7"/>
        <v>852.28999999999974</v>
      </c>
      <c r="D230" s="263">
        <f t="shared" si="7"/>
        <v>0</v>
      </c>
      <c r="E230" s="256">
        <v>31</v>
      </c>
      <c r="F230" s="256">
        <v>0</v>
      </c>
      <c r="G230" s="256">
        <f>'CDM Activity'!U162</f>
        <v>841459.54624421138</v>
      </c>
      <c r="H230" s="256">
        <v>304</v>
      </c>
      <c r="I230" s="274">
        <v>161.63049733959846</v>
      </c>
      <c r="J230" s="231"/>
      <c r="K230" s="273">
        <f t="shared" si="6"/>
        <v>25773402.059477784</v>
      </c>
      <c r="L230" s="18"/>
      <c r="M230"/>
    </row>
    <row r="231" spans="1:16">
      <c r="B231"/>
      <c r="C231"/>
      <c r="D231"/>
      <c r="E231"/>
      <c r="F231"/>
      <c r="G231" s="18"/>
      <c r="H231"/>
      <c r="I231"/>
      <c r="J231"/>
      <c r="K231"/>
      <c r="L231"/>
      <c r="M231"/>
    </row>
    <row r="232" spans="1:16">
      <c r="A232" s="2"/>
      <c r="C232" s="17"/>
      <c r="D232"/>
      <c r="E232" s="101"/>
      <c r="F232" s="101"/>
      <c r="G232" s="49">
        <f>SUM(G87:G230)</f>
        <v>51505933.119156964</v>
      </c>
      <c r="H232" s="38"/>
      <c r="I232" s="101"/>
      <c r="J232" s="101"/>
      <c r="K232" s="49">
        <f>SUM(K87:K230)</f>
        <v>3405765747.9171181</v>
      </c>
      <c r="L232" s="101"/>
      <c r="M232" s="101"/>
    </row>
    <row r="233" spans="1:16">
      <c r="A233" s="2"/>
      <c r="C233" s="219"/>
      <c r="D233" s="101"/>
      <c r="E233" s="101"/>
      <c r="F233" s="101"/>
      <c r="G233" s="101"/>
      <c r="H233" s="38"/>
      <c r="I233" s="101"/>
      <c r="J233" s="101"/>
      <c r="K233" s="101"/>
      <c r="L233" s="101"/>
      <c r="M233" s="101"/>
      <c r="N233" s="228" t="s">
        <v>338</v>
      </c>
      <c r="O233" s="606" t="s">
        <v>339</v>
      </c>
      <c r="P233" s="606"/>
    </row>
    <row r="234" spans="1:16">
      <c r="A234">
        <v>2006</v>
      </c>
      <c r="B234" s="5">
        <f>SUM(B87:B98)</f>
        <v>299216792.75999993</v>
      </c>
      <c r="C234" s="101"/>
      <c r="D234" s="101"/>
      <c r="E234" s="101"/>
      <c r="F234" s="101"/>
      <c r="G234" s="101"/>
      <c r="H234" s="101"/>
      <c r="J234" s="101"/>
      <c r="K234" s="5">
        <f>SUM(K87:K98)</f>
        <v>294215007.36611021</v>
      </c>
      <c r="L234" s="41">
        <f>K234-B234</f>
        <v>-5001785.3938897252</v>
      </c>
      <c r="M234" s="4">
        <f>L234/B234</f>
        <v>-1.6716258963117851E-2</v>
      </c>
      <c r="N234" s="5">
        <f>'GS &gt; 50 kW WN'!K234</f>
        <v>296189936.24199629</v>
      </c>
      <c r="O234" s="25">
        <f>N234/K234</f>
        <v>1.0067125361604297</v>
      </c>
    </row>
    <row r="235" spans="1:16">
      <c r="A235" s="17">
        <v>2007</v>
      </c>
      <c r="B235" s="5">
        <f>SUM(B99:B110)</f>
        <v>298981716.29999995</v>
      </c>
      <c r="C235" s="101"/>
      <c r="D235" s="101"/>
      <c r="E235" s="101"/>
      <c r="F235" s="101"/>
      <c r="G235" s="101"/>
      <c r="H235" s="101"/>
      <c r="J235" s="101"/>
      <c r="K235" s="5">
        <f>SUM(K99:K110)</f>
        <v>296843335.17087728</v>
      </c>
      <c r="L235" s="41">
        <f t="shared" ref="L235:L243" si="8">K235-B235</f>
        <v>-2138381.1291226745</v>
      </c>
      <c r="M235" s="4">
        <f t="shared" ref="M235:M243" si="9">L235/B235</f>
        <v>-7.1522137058608985E-3</v>
      </c>
      <c r="N235" s="5">
        <f>'GS &gt; 50 kW WN'!K235</f>
        <v>296317074.06536442</v>
      </c>
      <c r="O235" s="25">
        <f t="shared" ref="O235:O243" si="10">N235/K235</f>
        <v>0.99822714191912065</v>
      </c>
    </row>
    <row r="236" spans="1:16">
      <c r="A236">
        <v>2008</v>
      </c>
      <c r="B236" s="5">
        <f>SUM(B111:B122)</f>
        <v>297548976.91999996</v>
      </c>
      <c r="C236" s="101"/>
      <c r="D236" s="101"/>
      <c r="E236" s="101"/>
      <c r="F236" s="101"/>
      <c r="G236" s="101"/>
      <c r="H236" s="101"/>
      <c r="J236" s="101"/>
      <c r="K236" s="5">
        <f>SUM(K111:K122)</f>
        <v>298363445.92036986</v>
      </c>
      <c r="L236" s="41">
        <f t="shared" si="8"/>
        <v>814469.00036990643</v>
      </c>
      <c r="M236" s="4">
        <f t="shared" si="9"/>
        <v>2.7372602950971911E-3</v>
      </c>
      <c r="N236" s="5">
        <f>'GS &gt; 50 kW WN'!K236</f>
        <v>296156659.36501795</v>
      </c>
      <c r="O236" s="25">
        <f t="shared" si="10"/>
        <v>0.99260369664740744</v>
      </c>
    </row>
    <row r="237" spans="1:16">
      <c r="A237" s="17">
        <v>2009</v>
      </c>
      <c r="B237" s="5">
        <f>SUM(B123:B134)</f>
        <v>290804126.80000007</v>
      </c>
      <c r="C237" s="101"/>
      <c r="D237" s="101"/>
      <c r="E237" s="101"/>
      <c r="F237" s="101"/>
      <c r="G237" s="101"/>
      <c r="H237" s="101"/>
      <c r="J237" s="101"/>
      <c r="K237" s="5">
        <f>SUM(K123:K134)</f>
        <v>292840302.74648833</v>
      </c>
      <c r="L237" s="41">
        <f t="shared" si="8"/>
        <v>2036175.9464882612</v>
      </c>
      <c r="M237" s="4">
        <f t="shared" si="9"/>
        <v>7.0018811936896517E-3</v>
      </c>
      <c r="N237" s="5">
        <f>'GS &gt; 50 kW WN'!K237</f>
        <v>292555094.00684202</v>
      </c>
      <c r="O237" s="25">
        <f t="shared" si="10"/>
        <v>0.9990260604945036</v>
      </c>
    </row>
    <row r="238" spans="1:16">
      <c r="A238">
        <v>2010</v>
      </c>
      <c r="B238" s="5">
        <f>SUM(B135:B146)</f>
        <v>285047816.86000013</v>
      </c>
      <c r="C238" s="101"/>
      <c r="D238" s="101"/>
      <c r="E238" s="101"/>
      <c r="F238" s="101"/>
      <c r="G238" s="101"/>
      <c r="H238" s="101"/>
      <c r="J238" s="101"/>
      <c r="K238" s="5">
        <f>SUM(K135:K146)</f>
        <v>286681342.98759598</v>
      </c>
      <c r="L238" s="41">
        <f t="shared" si="8"/>
        <v>1633526.1275958419</v>
      </c>
      <c r="M238" s="4">
        <f t="shared" si="9"/>
        <v>5.7307091336122754E-3</v>
      </c>
      <c r="N238" s="5">
        <f>'GS &gt; 50 kW WN'!K238</f>
        <v>289677647.59650236</v>
      </c>
      <c r="O238" s="25">
        <f t="shared" si="10"/>
        <v>1.0104516902902747</v>
      </c>
    </row>
    <row r="239" spans="1:16">
      <c r="A239">
        <v>2011</v>
      </c>
      <c r="B239" s="5">
        <f>SUM(B147:B158)</f>
        <v>288525140.48999989</v>
      </c>
      <c r="C239" s="101"/>
      <c r="D239" s="101"/>
      <c r="E239" s="101"/>
      <c r="F239" s="101"/>
      <c r="G239" s="101"/>
      <c r="H239" s="101"/>
      <c r="J239" s="101"/>
      <c r="K239" s="5">
        <f>SUM(K147:K158)</f>
        <v>291218133.94183731</v>
      </c>
      <c r="L239" s="41">
        <f t="shared" si="8"/>
        <v>2692993.4518374205</v>
      </c>
      <c r="M239" s="4">
        <f t="shared" si="9"/>
        <v>9.3336526836584558E-3</v>
      </c>
      <c r="N239" s="5">
        <f>'GS &gt; 50 kW WN'!K239</f>
        <v>290011119.85166466</v>
      </c>
      <c r="O239" s="25">
        <f t="shared" si="10"/>
        <v>0.995855292135023</v>
      </c>
    </row>
    <row r="240" spans="1:16">
      <c r="A240">
        <v>2012</v>
      </c>
      <c r="B240" s="5">
        <f>SUM(B159:B170)</f>
        <v>283475240.67000002</v>
      </c>
      <c r="C240" s="101"/>
      <c r="D240" s="101"/>
      <c r="E240" s="101"/>
      <c r="F240" s="101"/>
      <c r="G240" s="101"/>
      <c r="H240" s="101"/>
      <c r="J240" s="101"/>
      <c r="K240" s="5">
        <f>SUM(K159:K170)</f>
        <v>284663970.93480033</v>
      </c>
      <c r="L240" s="41">
        <f t="shared" si="8"/>
        <v>1188730.2648003101</v>
      </c>
      <c r="M240" s="4">
        <f t="shared" si="9"/>
        <v>4.1934183105047191E-3</v>
      </c>
      <c r="N240" s="5">
        <f>'GS &gt; 50 kW WN'!K240</f>
        <v>288093151.18226045</v>
      </c>
      <c r="O240" s="25">
        <f t="shared" si="10"/>
        <v>1.012046414712052</v>
      </c>
    </row>
    <row r="241" spans="1:15">
      <c r="A241">
        <v>2013</v>
      </c>
      <c r="B241" s="5">
        <f>SUM(B171:B182)</f>
        <v>285068374.38</v>
      </c>
      <c r="C241" s="101"/>
      <c r="D241" s="101"/>
      <c r="E241" s="101"/>
      <c r="F241" s="101"/>
      <c r="G241" s="101"/>
      <c r="H241" s="101"/>
      <c r="J241" s="101"/>
      <c r="K241" s="5">
        <f>SUM(K171:K182)</f>
        <v>286434540.11460662</v>
      </c>
      <c r="L241" s="41">
        <f t="shared" si="8"/>
        <v>1366165.7346066236</v>
      </c>
      <c r="M241" s="4">
        <f t="shared" si="9"/>
        <v>4.7924142324728951E-3</v>
      </c>
      <c r="N241" s="5">
        <f>'GS &gt; 50 kW WN'!K241</f>
        <v>282757844.9364683</v>
      </c>
      <c r="O241" s="25">
        <f t="shared" si="10"/>
        <v>0.98716392521423146</v>
      </c>
    </row>
    <row r="242" spans="1:15">
      <c r="A242">
        <v>2014</v>
      </c>
      <c r="B242" s="5">
        <f>SUM(B183:B194)</f>
        <v>280037460.24000001</v>
      </c>
      <c r="C242" s="101"/>
      <c r="D242" s="101"/>
      <c r="E242" s="101"/>
      <c r="F242" s="101"/>
      <c r="G242" s="101"/>
      <c r="H242" s="101"/>
      <c r="J242" s="101"/>
      <c r="K242" s="5">
        <f>SUM(K183:K194)</f>
        <v>278204145.03058308</v>
      </c>
      <c r="L242" s="41">
        <f t="shared" si="8"/>
        <v>-1833315.2094169259</v>
      </c>
      <c r="M242" s="4">
        <f t="shared" si="9"/>
        <v>-6.54667846168053E-3</v>
      </c>
      <c r="N242" s="5">
        <f>'GS &gt; 50 kW WN'!K242</f>
        <v>275479317.81617904</v>
      </c>
      <c r="O242" s="25">
        <f t="shared" si="10"/>
        <v>0.99020565558394358</v>
      </c>
    </row>
    <row r="243" spans="1:15">
      <c r="A243" s="17">
        <v>2015</v>
      </c>
      <c r="B243" s="5">
        <f>SUM(B195:B206)</f>
        <v>266548347.92000005</v>
      </c>
      <c r="C243" s="101"/>
      <c r="D243" s="101"/>
      <c r="E243" s="101"/>
      <c r="F243" s="101"/>
      <c r="G243" s="101"/>
      <c r="H243" s="101"/>
      <c r="J243" s="101"/>
      <c r="K243" s="5">
        <f>SUM(K195:K206)</f>
        <v>265789769.12673005</v>
      </c>
      <c r="L243" s="41">
        <f t="shared" si="8"/>
        <v>-758578.79326999187</v>
      </c>
      <c r="M243" s="4">
        <f t="shared" si="9"/>
        <v>-2.8459332019482872E-3</v>
      </c>
      <c r="N243" s="5">
        <f>'GS &gt; 50 kW WN'!K243</f>
        <v>268016148.27770382</v>
      </c>
      <c r="O243" s="25">
        <f t="shared" si="10"/>
        <v>1.0083764667025699</v>
      </c>
    </row>
    <row r="244" spans="1:15">
      <c r="A244">
        <v>2016</v>
      </c>
      <c r="C244" s="101"/>
      <c r="D244" s="101"/>
      <c r="E244" s="101"/>
      <c r="F244" s="101"/>
      <c r="G244" s="101"/>
      <c r="H244" s="101"/>
      <c r="J244" s="101"/>
      <c r="K244" s="5">
        <f>SUM(K207:K218)</f>
        <v>265026772.3026076</v>
      </c>
      <c r="L244" s="101"/>
      <c r="M244" s="101"/>
      <c r="N244" s="5">
        <f>'GS &gt; 50 kW WN'!K244</f>
        <v>265026772.3026076</v>
      </c>
      <c r="O244" s="25"/>
    </row>
    <row r="245" spans="1:15">
      <c r="A245" s="17">
        <v>2017</v>
      </c>
      <c r="C245" s="101"/>
      <c r="D245" s="101"/>
      <c r="E245" s="101"/>
      <c r="F245" s="101"/>
      <c r="G245" s="101"/>
      <c r="H245" s="101"/>
      <c r="J245" s="101"/>
      <c r="K245" s="5">
        <f>SUM(K219:K230)</f>
        <v>265484982.27451241</v>
      </c>
      <c r="L245" s="101"/>
      <c r="M245" s="101"/>
      <c r="N245" s="5">
        <f>'GS &gt; 50 kW WN'!K245</f>
        <v>265484982.27451241</v>
      </c>
      <c r="O245" s="25"/>
    </row>
    <row r="246" spans="1:15">
      <c r="C246" s="101"/>
      <c r="D246" s="101"/>
      <c r="E246" s="101"/>
      <c r="F246" s="101"/>
      <c r="G246" s="101"/>
      <c r="H246" s="101"/>
      <c r="J246" s="101"/>
      <c r="K246" s="5"/>
      <c r="L246" s="101"/>
      <c r="M246" s="101"/>
    </row>
    <row r="247" spans="1:15">
      <c r="A247" s="72" t="s">
        <v>261</v>
      </c>
      <c r="B247" s="5">
        <f>SUM(B234:B243)</f>
        <v>2875253993.3400002</v>
      </c>
      <c r="C247" s="101"/>
      <c r="D247" s="101"/>
      <c r="E247" s="101"/>
      <c r="F247" s="101"/>
      <c r="G247" s="101"/>
      <c r="H247" s="101"/>
      <c r="J247" s="101"/>
      <c r="K247" s="5">
        <f>SUM(K234:K243)</f>
        <v>2875253993.3399987</v>
      </c>
      <c r="L247" s="5">
        <f>K247-B247</f>
        <v>0</v>
      </c>
      <c r="M247" s="101"/>
    </row>
    <row r="248" spans="1:15">
      <c r="C248" s="101"/>
      <c r="D248" s="101"/>
      <c r="E248" s="101"/>
      <c r="F248" s="101"/>
      <c r="G248" s="101"/>
      <c r="H248" s="101"/>
      <c r="J248" s="101"/>
      <c r="K248" s="101"/>
      <c r="L248" s="101"/>
      <c r="M248" s="101"/>
    </row>
    <row r="249" spans="1:15">
      <c r="C249" s="101"/>
      <c r="D249" s="101"/>
      <c r="E249" s="101"/>
      <c r="F249" s="101"/>
      <c r="G249" s="101"/>
      <c r="H249" s="101"/>
      <c r="J249" s="101"/>
      <c r="K249" s="5">
        <f>SUM(K234:K245)</f>
        <v>3405765747.9171185</v>
      </c>
      <c r="L249" s="49">
        <f>K232-K249</f>
        <v>0</v>
      </c>
      <c r="M249" s="101"/>
    </row>
    <row r="250" spans="1:15">
      <c r="C250" s="101"/>
      <c r="D250" s="101"/>
      <c r="E250" s="101"/>
      <c r="F250" s="101"/>
      <c r="G250" s="101"/>
      <c r="H250" s="101"/>
      <c r="J250" s="101"/>
      <c r="K250" s="19"/>
      <c r="L250" s="19" t="s">
        <v>47</v>
      </c>
      <c r="M250" s="19"/>
    </row>
    <row r="251" spans="1:15">
      <c r="B251"/>
      <c r="C251"/>
      <c r="D251"/>
      <c r="E251"/>
      <c r="F251"/>
      <c r="G251"/>
      <c r="H251"/>
      <c r="I251"/>
      <c r="J251"/>
      <c r="K251"/>
      <c r="L251"/>
      <c r="M251"/>
    </row>
    <row r="252" spans="1:15">
      <c r="B252"/>
      <c r="C252"/>
      <c r="D252"/>
      <c r="E252"/>
      <c r="F252"/>
      <c r="G252"/>
      <c r="H252"/>
      <c r="I252"/>
      <c r="J252"/>
      <c r="K252"/>
      <c r="L252"/>
      <c r="M252"/>
    </row>
    <row r="253" spans="1:15">
      <c r="B253"/>
      <c r="C253"/>
      <c r="D253"/>
      <c r="E253"/>
      <c r="F253"/>
      <c r="G253"/>
      <c r="H253"/>
      <c r="I253"/>
      <c r="J253"/>
      <c r="K253"/>
      <c r="L253"/>
      <c r="M253"/>
    </row>
    <row r="254" spans="1:15">
      <c r="B254" s="90" t="s">
        <v>143</v>
      </c>
      <c r="C254" s="101"/>
      <c r="D254" s="101"/>
      <c r="E254" s="101"/>
      <c r="F254" s="101"/>
      <c r="G254" s="101"/>
      <c r="H254" s="101"/>
      <c r="J254" s="101"/>
      <c r="K254" s="101"/>
      <c r="L254" s="101"/>
      <c r="M254"/>
    </row>
    <row r="255" spans="1:15">
      <c r="A255" s="2">
        <v>42736</v>
      </c>
      <c r="C255" s="62">
        <f>'Weather Analysis - Thunder Bay'!AA8</f>
        <v>981.22443609022571</v>
      </c>
      <c r="D255" s="62">
        <f>'Weather Analysis - Thunder Bay'!AA28</f>
        <v>0</v>
      </c>
      <c r="E255" s="62">
        <f>E219</f>
        <v>31</v>
      </c>
      <c r="F255" s="18">
        <f t="shared" ref="F255:G255" si="11">F219</f>
        <v>0</v>
      </c>
      <c r="G255" s="18">
        <f t="shared" si="11"/>
        <v>913677.17952835921</v>
      </c>
      <c r="H255" s="18">
        <f>H219</f>
        <v>336</v>
      </c>
      <c r="I255" s="18">
        <v>143.1291789570798</v>
      </c>
      <c r="J255" s="9">
        <v>352</v>
      </c>
      <c r="K255" s="9">
        <f t="shared" ref="K255:K266" si="12">$O$103+C255*$O$104+D255*$O$105+E255*$O$106+F255*$O$107+G255*$O$108+H255*$O$109</f>
        <v>26943953.208443344</v>
      </c>
      <c r="L255" s="101"/>
      <c r="M255"/>
    </row>
    <row r="256" spans="1:15">
      <c r="A256" s="2">
        <v>42767</v>
      </c>
      <c r="C256" s="62">
        <f>'Weather Analysis - Thunder Bay'!AA9</f>
        <v>920.49842105263269</v>
      </c>
      <c r="D256" s="62">
        <f>'Weather Analysis - Thunder Bay'!AA29</f>
        <v>0</v>
      </c>
      <c r="E256" s="62">
        <f t="shared" ref="E256:H266" si="13">E220</f>
        <v>28</v>
      </c>
      <c r="F256" s="18">
        <f t="shared" si="13"/>
        <v>0</v>
      </c>
      <c r="G256" s="18">
        <f t="shared" si="13"/>
        <v>907111.94013889122</v>
      </c>
      <c r="H256" s="18">
        <f t="shared" si="13"/>
        <v>304</v>
      </c>
      <c r="I256" s="18">
        <v>143.42400163116841</v>
      </c>
      <c r="J256" s="9">
        <v>304</v>
      </c>
      <c r="K256" s="9">
        <f t="shared" si="12"/>
        <v>24735619.866427865</v>
      </c>
      <c r="L256" s="101"/>
      <c r="M256"/>
    </row>
    <row r="257" spans="1:13">
      <c r="A257" s="2">
        <v>42795</v>
      </c>
      <c r="C257" s="62">
        <f>'Weather Analysis - Thunder Bay'!AA10</f>
        <v>728.65676691729323</v>
      </c>
      <c r="D257" s="62">
        <f>'Weather Analysis - Thunder Bay'!AA30</f>
        <v>0</v>
      </c>
      <c r="E257" s="62">
        <f t="shared" si="13"/>
        <v>31</v>
      </c>
      <c r="F257" s="18">
        <f t="shared" si="13"/>
        <v>1</v>
      </c>
      <c r="G257" s="18">
        <f t="shared" si="13"/>
        <v>900546.70074942324</v>
      </c>
      <c r="H257" s="18">
        <f t="shared" si="13"/>
        <v>368</v>
      </c>
      <c r="I257" s="18">
        <v>143.71943159169427</v>
      </c>
      <c r="J257" s="9">
        <v>320</v>
      </c>
      <c r="K257" s="9">
        <f t="shared" si="12"/>
        <v>24365619.746635433</v>
      </c>
      <c r="L257" s="101"/>
      <c r="M257"/>
    </row>
    <row r="258" spans="1:13">
      <c r="A258" s="2">
        <v>42826</v>
      </c>
      <c r="C258" s="62">
        <f>'Weather Analysis - Thunder Bay'!AA11</f>
        <v>457.84511278195487</v>
      </c>
      <c r="D258" s="62">
        <f>'Weather Analysis - Thunder Bay'!AA31</f>
        <v>0</v>
      </c>
      <c r="E258" s="62">
        <f t="shared" si="13"/>
        <v>30</v>
      </c>
      <c r="F258" s="18">
        <f t="shared" si="13"/>
        <v>1</v>
      </c>
      <c r="G258" s="18">
        <f t="shared" si="13"/>
        <v>893981.46135995525</v>
      </c>
      <c r="H258" s="18">
        <f t="shared" si="13"/>
        <v>304</v>
      </c>
      <c r="I258" s="18">
        <v>144.01547008956803</v>
      </c>
      <c r="J258" s="9">
        <v>352</v>
      </c>
      <c r="K258" s="9">
        <f t="shared" si="12"/>
        <v>21033041.789378941</v>
      </c>
      <c r="L258" s="101"/>
      <c r="M258"/>
    </row>
    <row r="259" spans="1:13">
      <c r="A259" s="2">
        <v>42856</v>
      </c>
      <c r="C259" s="62">
        <f>'Weather Analysis - Thunder Bay'!AA12</f>
        <v>271.64563909774438</v>
      </c>
      <c r="D259" s="62">
        <f>'Weather Analysis - Thunder Bay'!AA32</f>
        <v>0.20857142857142463</v>
      </c>
      <c r="E259" s="62">
        <f t="shared" si="13"/>
        <v>31</v>
      </c>
      <c r="F259" s="18">
        <f t="shared" si="13"/>
        <v>1</v>
      </c>
      <c r="G259" s="18">
        <f t="shared" si="13"/>
        <v>887416.22197048727</v>
      </c>
      <c r="H259" s="18">
        <f t="shared" si="13"/>
        <v>352</v>
      </c>
      <c r="I259" s="18">
        <v>144.31211837827698</v>
      </c>
      <c r="J259" s="9">
        <v>352</v>
      </c>
      <c r="K259" s="9">
        <f t="shared" si="12"/>
        <v>20324652.411717031</v>
      </c>
      <c r="L259" s="101"/>
      <c r="M259"/>
    </row>
    <row r="260" spans="1:13">
      <c r="A260" s="2">
        <v>42887</v>
      </c>
      <c r="C260" s="62">
        <f>'Weather Analysis - Thunder Bay'!AA13</f>
        <v>115.80518796992476</v>
      </c>
      <c r="D260" s="62">
        <f>'Weather Analysis - Thunder Bay'!AA33</f>
        <v>4.1052631578947967</v>
      </c>
      <c r="E260" s="62">
        <f t="shared" si="13"/>
        <v>30</v>
      </c>
      <c r="F260" s="18">
        <f t="shared" si="13"/>
        <v>0</v>
      </c>
      <c r="G260" s="18">
        <f t="shared" si="13"/>
        <v>880850.98258101929</v>
      </c>
      <c r="H260" s="18">
        <f t="shared" si="13"/>
        <v>352</v>
      </c>
      <c r="I260" s="18">
        <v>144.60937771389038</v>
      </c>
      <c r="J260" s="9">
        <v>320</v>
      </c>
      <c r="K260" s="9">
        <f t="shared" si="12"/>
        <v>19380109.418400768</v>
      </c>
      <c r="L260" s="101"/>
      <c r="M260"/>
    </row>
    <row r="261" spans="1:13">
      <c r="A261" s="2">
        <v>42917</v>
      </c>
      <c r="C261" s="62">
        <f>'Weather Analysis - Thunder Bay'!AA14</f>
        <v>34.996616541353319</v>
      </c>
      <c r="D261" s="62">
        <f>'Weather Analysis - Thunder Bay'!AA34</f>
        <v>41.516616541353415</v>
      </c>
      <c r="E261" s="62">
        <f t="shared" si="13"/>
        <v>31</v>
      </c>
      <c r="F261" s="18">
        <f t="shared" si="13"/>
        <v>0</v>
      </c>
      <c r="G261" s="18">
        <f t="shared" si="13"/>
        <v>874285.7431915513</v>
      </c>
      <c r="H261" s="18">
        <f t="shared" si="13"/>
        <v>320</v>
      </c>
      <c r="I261" s="18">
        <v>144.90724935506483</v>
      </c>
      <c r="J261" s="9">
        <v>352</v>
      </c>
      <c r="K261" s="9">
        <f t="shared" si="12"/>
        <v>20552474.621704351</v>
      </c>
      <c r="L261" s="101"/>
    </row>
    <row r="262" spans="1:13">
      <c r="A262" s="2">
        <v>42948</v>
      </c>
      <c r="C262" s="62">
        <f>'Weather Analysis - Thunder Bay'!AA15</f>
        <v>48.162481203007474</v>
      </c>
      <c r="D262" s="62">
        <f>'Weather Analysis - Thunder Bay'!AA35</f>
        <v>33.181729323308446</v>
      </c>
      <c r="E262" s="62">
        <f t="shared" si="13"/>
        <v>31</v>
      </c>
      <c r="F262" s="18">
        <f t="shared" si="13"/>
        <v>0</v>
      </c>
      <c r="G262" s="18">
        <f t="shared" si="13"/>
        <v>867720.50380208332</v>
      </c>
      <c r="H262" s="18">
        <f t="shared" si="13"/>
        <v>352</v>
      </c>
      <c r="I262" s="18">
        <v>145.20573456304953</v>
      </c>
      <c r="J262" s="9">
        <v>336</v>
      </c>
      <c r="K262" s="9">
        <f t="shared" si="12"/>
        <v>20584694.34581317</v>
      </c>
      <c r="L262" s="101"/>
    </row>
    <row r="263" spans="1:13">
      <c r="A263" s="2">
        <v>42979</v>
      </c>
      <c r="C263" s="62">
        <f>'Weather Analysis - Thunder Bay'!AA16</f>
        <v>175.57706766917295</v>
      </c>
      <c r="D263" s="62">
        <f>'Weather Analysis - Thunder Bay'!AA36</f>
        <v>5.6842857142857071</v>
      </c>
      <c r="E263" s="62">
        <f t="shared" si="13"/>
        <v>30</v>
      </c>
      <c r="F263" s="18">
        <f t="shared" si="13"/>
        <v>1</v>
      </c>
      <c r="G263" s="18">
        <f t="shared" si="13"/>
        <v>861155.26441261533</v>
      </c>
      <c r="H263" s="18">
        <f t="shared" si="13"/>
        <v>320</v>
      </c>
      <c r="I263" s="18">
        <v>145.50483460169167</v>
      </c>
      <c r="J263" s="9">
        <v>320</v>
      </c>
      <c r="K263" s="9">
        <f t="shared" si="12"/>
        <v>19065681.689013056</v>
      </c>
      <c r="L263" s="101"/>
    </row>
    <row r="264" spans="1:13">
      <c r="A264" s="2">
        <v>43009</v>
      </c>
      <c r="C264" s="62">
        <f>'Weather Analysis - Thunder Bay'!AA17</f>
        <v>357.9927819548875</v>
      </c>
      <c r="D264" s="62">
        <f>'Weather Analysis - Thunder Bay'!AA37</f>
        <v>0.78360902255639076</v>
      </c>
      <c r="E264" s="62">
        <f t="shared" si="13"/>
        <v>31</v>
      </c>
      <c r="F264" s="18">
        <f t="shared" si="13"/>
        <v>1</v>
      </c>
      <c r="G264" s="18">
        <f t="shared" si="13"/>
        <v>854590.02502314735</v>
      </c>
      <c r="H264" s="18">
        <f t="shared" si="13"/>
        <v>336</v>
      </c>
      <c r="I264" s="18">
        <v>145.8045507374417</v>
      </c>
      <c r="J264" s="9">
        <v>352</v>
      </c>
      <c r="K264" s="9">
        <f t="shared" si="12"/>
        <v>21060568.734185085</v>
      </c>
      <c r="L264" s="101"/>
    </row>
    <row r="265" spans="1:13">
      <c r="A265" s="2">
        <v>43040</v>
      </c>
      <c r="C265" s="62">
        <f>'Weather Analysis - Thunder Bay'!AA18</f>
        <v>558.62721804511284</v>
      </c>
      <c r="D265" s="62">
        <f>'Weather Analysis - Thunder Bay'!AA38</f>
        <v>0</v>
      </c>
      <c r="E265" s="62">
        <f t="shared" si="13"/>
        <v>30</v>
      </c>
      <c r="F265" s="18">
        <f t="shared" si="13"/>
        <v>1</v>
      </c>
      <c r="G265" s="18">
        <f t="shared" si="13"/>
        <v>848024.78563367936</v>
      </c>
      <c r="H265" s="18">
        <f t="shared" si="13"/>
        <v>352</v>
      </c>
      <c r="I265" s="18">
        <v>146.1048842393588</v>
      </c>
      <c r="J265" s="9">
        <v>336</v>
      </c>
      <c r="K265" s="9">
        <f t="shared" si="12"/>
        <v>22434950.944868952</v>
      </c>
      <c r="L265" s="101"/>
    </row>
    <row r="266" spans="1:13">
      <c r="A266" s="2">
        <v>43070</v>
      </c>
      <c r="C266" s="62">
        <f>'Weather Analysis - Thunder Bay'!AA19</f>
        <v>843.2869924812029</v>
      </c>
      <c r="D266" s="62">
        <f>'Weather Analysis - Thunder Bay'!AA39</f>
        <v>0</v>
      </c>
      <c r="E266" s="62">
        <f t="shared" si="13"/>
        <v>31</v>
      </c>
      <c r="F266" s="18">
        <f t="shared" si="13"/>
        <v>0</v>
      </c>
      <c r="G266" s="18">
        <f t="shared" si="13"/>
        <v>841459.54624421138</v>
      </c>
      <c r="H266" s="18">
        <f t="shared" si="13"/>
        <v>304</v>
      </c>
      <c r="I266" s="18">
        <v>146.40583637911641</v>
      </c>
      <c r="J266" s="9">
        <v>320</v>
      </c>
      <c r="K266" s="9">
        <f t="shared" si="12"/>
        <v>25695466.075437374</v>
      </c>
      <c r="L266" s="49">
        <f>SUM(K255:K266)</f>
        <v>266176832.85202536</v>
      </c>
    </row>
    <row r="267" spans="1:13">
      <c r="B267"/>
      <c r="C267"/>
      <c r="D267"/>
      <c r="E267"/>
      <c r="F267"/>
      <c r="G267"/>
      <c r="H267"/>
      <c r="I267"/>
      <c r="J267"/>
      <c r="K267"/>
      <c r="L267"/>
    </row>
    <row r="268" spans="1:13">
      <c r="B268"/>
      <c r="C268"/>
      <c r="D268"/>
      <c r="E268"/>
      <c r="F268"/>
      <c r="G268"/>
      <c r="H268"/>
      <c r="I268"/>
      <c r="J268"/>
      <c r="K268"/>
      <c r="L268"/>
    </row>
    <row r="269" spans="1:13">
      <c r="B269"/>
      <c r="C269"/>
      <c r="D269"/>
      <c r="E269"/>
      <c r="F269"/>
      <c r="G269"/>
      <c r="H269"/>
      <c r="I269"/>
      <c r="J269"/>
      <c r="K269"/>
      <c r="L269"/>
    </row>
    <row r="270" spans="1:13">
      <c r="B270"/>
      <c r="C270"/>
      <c r="D270"/>
      <c r="E270"/>
      <c r="F270"/>
      <c r="G270"/>
      <c r="H270"/>
      <c r="I270"/>
      <c r="J270"/>
      <c r="K270"/>
      <c r="L270"/>
    </row>
    <row r="271" spans="1:13">
      <c r="B271"/>
      <c r="C271"/>
      <c r="D271"/>
      <c r="E271"/>
      <c r="F271"/>
      <c r="G271"/>
      <c r="H271"/>
      <c r="I271"/>
      <c r="J271"/>
      <c r="K271"/>
      <c r="L271"/>
    </row>
    <row r="272" spans="1:13">
      <c r="B272"/>
      <c r="C272"/>
      <c r="D272"/>
      <c r="E272"/>
      <c r="F272"/>
      <c r="G272"/>
      <c r="H272"/>
      <c r="I272"/>
      <c r="J272"/>
      <c r="K272"/>
      <c r="L272"/>
    </row>
    <row r="273" spans="2:12">
      <c r="B273"/>
      <c r="C273"/>
      <c r="D273"/>
      <c r="E273"/>
      <c r="F273"/>
      <c r="G273"/>
      <c r="H273"/>
      <c r="I273"/>
      <c r="J273"/>
      <c r="K273"/>
      <c r="L273"/>
    </row>
    <row r="274" spans="2:12">
      <c r="B274"/>
      <c r="C274"/>
      <c r="D274"/>
      <c r="E274"/>
      <c r="F274"/>
      <c r="G274"/>
      <c r="H274"/>
      <c r="I274"/>
      <c r="J274"/>
      <c r="K274"/>
      <c r="L274"/>
    </row>
  </sheetData>
  <mergeCells count="1">
    <mergeCell ref="O233:P233"/>
  </mergeCells>
  <phoneticPr fontId="0" type="noConversion"/>
  <pageMargins left="0.38" right="0.75" top="0.73" bottom="0.74" header="0.5" footer="0.5"/>
  <pageSetup orientation="landscape"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74"/>
  <sheetViews>
    <sheetView topLeftCell="G226" workbookViewId="0">
      <selection activeCell="N87" sqref="N87:T109"/>
    </sheetView>
  </sheetViews>
  <sheetFormatPr defaultRowHeight="12.75"/>
  <cols>
    <col min="1" max="1" width="11.85546875" customWidth="1"/>
    <col min="2" max="2" width="18" style="5" customWidth="1"/>
    <col min="3" max="3" width="11.7109375" style="228" customWidth="1"/>
    <col min="4" max="4" width="13.42578125" style="228" customWidth="1"/>
    <col min="5" max="5" width="10.140625" style="228" customWidth="1"/>
    <col min="6" max="8" width="12.42578125" style="228" customWidth="1"/>
    <col min="9" max="9" width="14.42578125" style="38" hidden="1" customWidth="1"/>
    <col min="10" max="10" width="12.42578125" style="228" hidden="1" customWidth="1"/>
    <col min="11" max="11" width="15.42578125" style="228" bestFit="1" customWidth="1"/>
    <col min="12" max="12" width="17" style="228" customWidth="1"/>
    <col min="13" max="13" width="12.42578125" style="228" customWidth="1"/>
    <col min="14" max="14" width="25.85546875" bestFit="1" customWidth="1"/>
    <col min="15" max="17" width="18" customWidth="1"/>
    <col min="18" max="18" width="17.140625" customWidth="1"/>
    <col min="19" max="20" width="15.7109375" customWidth="1"/>
    <col min="21" max="21" width="14.140625" bestFit="1" customWidth="1"/>
    <col min="22" max="22" width="25.85546875" bestFit="1" customWidth="1"/>
    <col min="23" max="23" width="19.28515625" bestFit="1" customWidth="1"/>
    <col min="24" max="24" width="19.140625" bestFit="1" customWidth="1"/>
    <col min="25" max="25" width="26.140625" bestFit="1" customWidth="1"/>
    <col min="26" max="26" width="23" bestFit="1" customWidth="1"/>
    <col min="27" max="27" width="14.7109375" bestFit="1" customWidth="1"/>
    <col min="28" max="28" width="20.140625" bestFit="1" customWidth="1"/>
    <col min="29" max="29" width="12.140625" bestFit="1" customWidth="1"/>
    <col min="30" max="30" width="21" bestFit="1" customWidth="1"/>
    <col min="31" max="31" width="13.140625" bestFit="1" customWidth="1"/>
  </cols>
  <sheetData>
    <row r="1" spans="1:28">
      <c r="G1"/>
      <c r="H1" s="64"/>
      <c r="I1" s="64"/>
      <c r="J1" s="64"/>
    </row>
    <row r="2" spans="1:28" ht="42" customHeight="1">
      <c r="B2" s="6" t="s">
        <v>77</v>
      </c>
      <c r="C2" s="11" t="s">
        <v>1</v>
      </c>
      <c r="D2" s="11" t="s">
        <v>2</v>
      </c>
      <c r="E2" s="11" t="s">
        <v>3</v>
      </c>
      <c r="F2" s="11" t="s">
        <v>14</v>
      </c>
      <c r="G2" s="11" t="s">
        <v>56</v>
      </c>
      <c r="H2" s="11" t="s">
        <v>58</v>
      </c>
      <c r="I2" s="36" t="s">
        <v>4</v>
      </c>
      <c r="J2" s="11" t="s">
        <v>49</v>
      </c>
      <c r="K2" s="11" t="s">
        <v>78</v>
      </c>
      <c r="L2" s="11" t="s">
        <v>7</v>
      </c>
      <c r="M2" s="11" t="s">
        <v>8</v>
      </c>
    </row>
    <row r="3" spans="1:28" hidden="1">
      <c r="A3" s="34">
        <v>36161</v>
      </c>
      <c r="B3" s="90">
        <f>'[11]CoS 2017 Load History'!L41</f>
        <v>16478656.440000014</v>
      </c>
      <c r="C3" s="221">
        <f>'Weather Data'!B99</f>
        <v>994.7</v>
      </c>
      <c r="D3" s="221">
        <f>'Weather Data'!C99</f>
        <v>0</v>
      </c>
      <c r="E3" s="216">
        <v>31</v>
      </c>
      <c r="F3" s="216">
        <v>0</v>
      </c>
      <c r="G3" s="216">
        <v>0</v>
      </c>
      <c r="H3" s="18">
        <v>319.87200000000001</v>
      </c>
      <c r="I3" s="217">
        <v>105.44819844915847</v>
      </c>
      <c r="J3" s="218">
        <f>'[11]CoS 2017 Load History'!O41</f>
        <v>535</v>
      </c>
      <c r="K3" s="216"/>
      <c r="L3" s="11"/>
      <c r="M3" s="11"/>
    </row>
    <row r="4" spans="1:28" s="35" customFormat="1" hidden="1">
      <c r="A4" s="34">
        <v>36192</v>
      </c>
      <c r="B4" s="90">
        <f>'[11]CoS 2017 Load History'!L42</f>
        <v>27689060.52999993</v>
      </c>
      <c r="C4" s="221">
        <f>'Weather Data'!B100</f>
        <v>718.7</v>
      </c>
      <c r="D4" s="221">
        <f>'Weather Data'!C100</f>
        <v>0</v>
      </c>
      <c r="E4" s="18">
        <v>28</v>
      </c>
      <c r="F4" s="18">
        <v>0</v>
      </c>
      <c r="G4" s="18">
        <v>0</v>
      </c>
      <c r="H4" s="18">
        <v>319.87200000000001</v>
      </c>
      <c r="I4" s="39">
        <v>106.08666118100913</v>
      </c>
      <c r="J4" s="218">
        <f>'[11]CoS 2017 Load History'!O42</f>
        <v>578</v>
      </c>
      <c r="K4" s="18"/>
      <c r="L4" s="18"/>
      <c r="M4" s="33"/>
      <c r="N4"/>
      <c r="O4"/>
      <c r="P4"/>
      <c r="Q4"/>
      <c r="R4"/>
      <c r="S4"/>
      <c r="T4"/>
      <c r="U4"/>
      <c r="V4"/>
      <c r="W4"/>
      <c r="X4"/>
      <c r="Y4"/>
      <c r="Z4"/>
      <c r="AA4"/>
      <c r="AB4"/>
    </row>
    <row r="5" spans="1:28" s="35" customFormat="1" hidden="1">
      <c r="A5" s="34">
        <v>36220</v>
      </c>
      <c r="B5" s="90">
        <f>'[11]CoS 2017 Load History'!L43</f>
        <v>28367059.099999957</v>
      </c>
      <c r="C5" s="221">
        <f>'Weather Data'!B101</f>
        <v>710.1</v>
      </c>
      <c r="D5" s="221">
        <f>'Weather Data'!C101</f>
        <v>0</v>
      </c>
      <c r="E5" s="18">
        <v>31</v>
      </c>
      <c r="F5" s="18">
        <v>1</v>
      </c>
      <c r="G5" s="18">
        <v>0</v>
      </c>
      <c r="H5" s="18">
        <v>368.28</v>
      </c>
      <c r="I5" s="39">
        <v>106.72898964661303</v>
      </c>
      <c r="J5" s="218">
        <f>'[11]CoS 2017 Load History'!O43</f>
        <v>583</v>
      </c>
      <c r="K5" s="18"/>
      <c r="L5" s="18"/>
      <c r="M5" s="33"/>
      <c r="N5"/>
      <c r="O5"/>
      <c r="P5"/>
      <c r="Q5"/>
      <c r="R5"/>
      <c r="S5"/>
      <c r="T5"/>
      <c r="U5"/>
      <c r="V5"/>
      <c r="W5"/>
      <c r="X5"/>
      <c r="Y5"/>
      <c r="Z5"/>
      <c r="AA5"/>
      <c r="AB5"/>
    </row>
    <row r="6" spans="1:28" s="35" customFormat="1" hidden="1">
      <c r="A6" s="34">
        <v>36251</v>
      </c>
      <c r="B6" s="90">
        <f>'[11]CoS 2017 Load History'!L44</f>
        <v>24673273.639999956</v>
      </c>
      <c r="C6" s="221">
        <f>'Weather Data'!B102</f>
        <v>407.7</v>
      </c>
      <c r="D6" s="221">
        <f>'Weather Data'!C102</f>
        <v>0</v>
      </c>
      <c r="E6" s="18">
        <v>30</v>
      </c>
      <c r="F6" s="18">
        <v>1</v>
      </c>
      <c r="G6" s="18">
        <v>0</v>
      </c>
      <c r="H6" s="18">
        <v>336.24</v>
      </c>
      <c r="I6" s="39">
        <v>107.37520725203085</v>
      </c>
      <c r="J6" s="218">
        <f>'[11]CoS 2017 Load History'!O44</f>
        <v>596</v>
      </c>
      <c r="K6" s="18"/>
      <c r="L6" s="18"/>
      <c r="M6" s="33"/>
      <c r="N6"/>
      <c r="O6"/>
      <c r="P6"/>
      <c r="Q6"/>
      <c r="R6"/>
      <c r="S6"/>
      <c r="T6"/>
      <c r="U6"/>
      <c r="V6"/>
      <c r="W6"/>
      <c r="X6"/>
      <c r="Y6"/>
      <c r="Z6"/>
      <c r="AA6"/>
      <c r="AB6"/>
    </row>
    <row r="7" spans="1:28" s="35" customFormat="1" hidden="1">
      <c r="A7" s="34">
        <v>36281</v>
      </c>
      <c r="B7" s="90">
        <f>'[11]CoS 2017 Load History'!L45</f>
        <v>23679737.790000018</v>
      </c>
      <c r="C7" s="221">
        <f>'Weather Data'!B103</f>
        <v>224.7</v>
      </c>
      <c r="D7" s="221">
        <f>'Weather Data'!C103</f>
        <v>2.6</v>
      </c>
      <c r="E7" s="18">
        <v>31</v>
      </c>
      <c r="F7" s="18">
        <v>1</v>
      </c>
      <c r="G7" s="18">
        <v>0</v>
      </c>
      <c r="H7" s="18">
        <v>319.92</v>
      </c>
      <c r="I7" s="39">
        <v>108.02533754504118</v>
      </c>
      <c r="J7" s="218">
        <f>'[11]CoS 2017 Load History'!O45</f>
        <v>611</v>
      </c>
      <c r="K7" s="18"/>
      <c r="L7" s="18"/>
      <c r="M7" s="33"/>
      <c r="N7"/>
      <c r="O7"/>
      <c r="P7"/>
      <c r="Q7"/>
      <c r="R7"/>
      <c r="S7"/>
      <c r="T7"/>
      <c r="U7"/>
      <c r="V7"/>
      <c r="W7"/>
      <c r="X7"/>
      <c r="Y7"/>
      <c r="Z7"/>
      <c r="AA7"/>
      <c r="AB7"/>
    </row>
    <row r="8" spans="1:28" s="35" customFormat="1" hidden="1">
      <c r="A8" s="34">
        <v>36312</v>
      </c>
      <c r="B8" s="90">
        <f>'[11]CoS 2017 Load History'!L46</f>
        <v>20438074.969999976</v>
      </c>
      <c r="C8" s="221">
        <f>'Weather Data'!B104</f>
        <v>91.9</v>
      </c>
      <c r="D8" s="221">
        <f>'Weather Data'!C104</f>
        <v>11.4</v>
      </c>
      <c r="E8" s="18">
        <v>30</v>
      </c>
      <c r="F8" s="18">
        <v>0</v>
      </c>
      <c r="G8" s="18">
        <v>0</v>
      </c>
      <c r="H8" s="18">
        <v>352.08</v>
      </c>
      <c r="I8" s="39">
        <v>108.6794042159986</v>
      </c>
      <c r="J8" s="218">
        <f>'[11]CoS 2017 Load History'!O46</f>
        <v>616</v>
      </c>
      <c r="K8" s="18"/>
      <c r="L8" s="18"/>
      <c r="M8" s="33"/>
      <c r="N8"/>
      <c r="O8"/>
      <c r="P8"/>
      <c r="Q8"/>
      <c r="R8"/>
      <c r="S8"/>
      <c r="T8"/>
      <c r="U8"/>
      <c r="V8"/>
      <c r="W8"/>
      <c r="X8"/>
      <c r="Y8"/>
      <c r="Z8"/>
      <c r="AA8"/>
      <c r="AB8"/>
    </row>
    <row r="9" spans="1:28" s="35" customFormat="1" hidden="1">
      <c r="A9" s="34">
        <v>36342</v>
      </c>
      <c r="B9" s="90">
        <f>'[11]CoS 2017 Load History'!L47</f>
        <v>21927427.629999969</v>
      </c>
      <c r="C9" s="221">
        <f>'Weather Data'!B105</f>
        <v>24.2</v>
      </c>
      <c r="D9" s="221">
        <f>'Weather Data'!C105</f>
        <v>59.3</v>
      </c>
      <c r="E9" s="18">
        <v>31</v>
      </c>
      <c r="F9" s="18">
        <v>0</v>
      </c>
      <c r="G9" s="18">
        <v>0</v>
      </c>
      <c r="H9" s="18">
        <v>336.28800000000001</v>
      </c>
      <c r="I9" s="39">
        <v>109.33743109869688</v>
      </c>
      <c r="J9" s="218">
        <f>'[11]CoS 2017 Load History'!O47</f>
        <v>619</v>
      </c>
      <c r="K9" s="18"/>
      <c r="L9" s="18"/>
      <c r="M9" s="33"/>
      <c r="N9"/>
      <c r="O9"/>
      <c r="P9"/>
      <c r="Q9"/>
      <c r="R9"/>
      <c r="S9"/>
      <c r="T9"/>
      <c r="U9"/>
      <c r="V9"/>
      <c r="W9"/>
      <c r="X9"/>
      <c r="Y9"/>
      <c r="Z9"/>
      <c r="AA9"/>
      <c r="AB9"/>
    </row>
    <row r="10" spans="1:28" s="35" customFormat="1" hidden="1">
      <c r="A10" s="34">
        <v>36373</v>
      </c>
      <c r="B10" s="90">
        <f>'[11]CoS 2017 Load History'!L48</f>
        <v>22070964.019999966</v>
      </c>
      <c r="C10" s="221">
        <f>'Weather Data'!B106</f>
        <v>74</v>
      </c>
      <c r="D10" s="221">
        <f>'Weather Data'!C106</f>
        <v>12.2</v>
      </c>
      <c r="E10" s="18">
        <v>31</v>
      </c>
      <c r="F10" s="18">
        <v>0</v>
      </c>
      <c r="G10" s="18">
        <v>0</v>
      </c>
      <c r="H10" s="18">
        <v>336.28800000000001</v>
      </c>
      <c r="I10" s="39">
        <v>109.99944217123755</v>
      </c>
      <c r="J10" s="218">
        <f>'[11]CoS 2017 Load History'!O48</f>
        <v>626</v>
      </c>
      <c r="K10" s="18"/>
      <c r="L10" s="18"/>
      <c r="M10" s="33"/>
      <c r="N10"/>
      <c r="O10"/>
      <c r="P10"/>
      <c r="Q10"/>
      <c r="R10"/>
      <c r="S10"/>
      <c r="T10"/>
      <c r="U10"/>
      <c r="V10"/>
      <c r="W10"/>
      <c r="X10"/>
      <c r="Y10"/>
      <c r="Z10"/>
      <c r="AA10"/>
      <c r="AB10"/>
    </row>
    <row r="11" spans="1:28" s="35" customFormat="1" hidden="1">
      <c r="A11" s="34">
        <v>36404</v>
      </c>
      <c r="B11" s="90">
        <f>'[11]CoS 2017 Load History'!L49</f>
        <v>21905565.900000006</v>
      </c>
      <c r="C11" s="221">
        <f>'Weather Data'!B107</f>
        <v>194</v>
      </c>
      <c r="D11" s="221">
        <f>'Weather Data'!C107</f>
        <v>5.7</v>
      </c>
      <c r="E11" s="18">
        <v>30</v>
      </c>
      <c r="F11" s="18">
        <v>1</v>
      </c>
      <c r="G11" s="18">
        <v>0</v>
      </c>
      <c r="H11" s="18">
        <v>336.24</v>
      </c>
      <c r="I11" s="39">
        <v>110.66546155690358</v>
      </c>
      <c r="J11" s="218">
        <f>'[11]CoS 2017 Load History'!O49</f>
        <v>640</v>
      </c>
      <c r="K11" s="18"/>
      <c r="L11" s="18"/>
      <c r="M11" s="33"/>
      <c r="N11"/>
      <c r="O11"/>
      <c r="P11"/>
      <c r="Q11"/>
      <c r="R11"/>
      <c r="S11"/>
      <c r="T11"/>
      <c r="U11"/>
      <c r="V11"/>
      <c r="W11"/>
      <c r="X11"/>
      <c r="Y11"/>
      <c r="Z11"/>
      <c r="AA11"/>
      <c r="AB11"/>
    </row>
    <row r="12" spans="1:28" s="35" customFormat="1" hidden="1">
      <c r="A12" s="34">
        <v>36434</v>
      </c>
      <c r="B12" s="90">
        <f>'[11]CoS 2017 Load History'!L50</f>
        <v>23608817.460000038</v>
      </c>
      <c r="C12" s="221">
        <f>'Weather Data'!B108</f>
        <v>423.1</v>
      </c>
      <c r="D12" s="221">
        <f>'Weather Data'!C108</f>
        <v>0</v>
      </c>
      <c r="E12" s="18">
        <v>31</v>
      </c>
      <c r="F12" s="18">
        <v>1</v>
      </c>
      <c r="G12" s="18">
        <v>0</v>
      </c>
      <c r="H12" s="18">
        <v>319.92</v>
      </c>
      <c r="I12" s="39">
        <v>111.33551352503846</v>
      </c>
      <c r="J12" s="218">
        <f>'[11]CoS 2017 Load History'!O50</f>
        <v>647</v>
      </c>
      <c r="K12" s="18"/>
      <c r="L12" s="18"/>
      <c r="M12" s="33"/>
      <c r="N12"/>
      <c r="O12"/>
      <c r="P12"/>
      <c r="Q12"/>
      <c r="R12"/>
      <c r="S12"/>
      <c r="T12"/>
      <c r="U12"/>
      <c r="V12"/>
      <c r="W12"/>
      <c r="X12"/>
      <c r="Y12"/>
      <c r="Z12"/>
      <c r="AA12"/>
      <c r="AB12"/>
    </row>
    <row r="13" spans="1:28" s="35" customFormat="1" hidden="1">
      <c r="A13" s="34">
        <v>36465</v>
      </c>
      <c r="B13" s="90">
        <f>'[11]CoS 2017 Load History'!L51</f>
        <v>24880228.719999958</v>
      </c>
      <c r="C13" s="221">
        <f>'Weather Data'!B109</f>
        <v>500.7</v>
      </c>
      <c r="D13" s="221">
        <f>'Weather Data'!C109</f>
        <v>0</v>
      </c>
      <c r="E13" s="18">
        <v>30</v>
      </c>
      <c r="F13" s="18">
        <v>1</v>
      </c>
      <c r="G13" s="18">
        <v>0</v>
      </c>
      <c r="H13" s="18">
        <v>352.08</v>
      </c>
      <c r="I13" s="39">
        <v>112.00962249193054</v>
      </c>
      <c r="J13" s="218">
        <f>'[11]CoS 2017 Load History'!O51</f>
        <v>647</v>
      </c>
      <c r="K13" s="18"/>
      <c r="L13" s="18"/>
      <c r="M13" s="33"/>
      <c r="N13"/>
      <c r="O13"/>
      <c r="P13"/>
      <c r="Q13"/>
      <c r="R13"/>
      <c r="S13"/>
      <c r="T13"/>
      <c r="U13"/>
      <c r="V13"/>
      <c r="W13"/>
      <c r="X13"/>
      <c r="Y13"/>
      <c r="Z13"/>
      <c r="AA13"/>
      <c r="AB13"/>
    </row>
    <row r="14" spans="1:28" s="35" customFormat="1" hidden="1">
      <c r="A14" s="34">
        <v>36495</v>
      </c>
      <c r="B14" s="90">
        <f>'[11]CoS 2017 Load History'!L52</f>
        <v>28520683.069999959</v>
      </c>
      <c r="C14" s="221">
        <f>'Weather Data'!B110</f>
        <v>817.1</v>
      </c>
      <c r="D14" s="221">
        <f>'Weather Data'!C110</f>
        <v>0</v>
      </c>
      <c r="E14" s="18">
        <v>31</v>
      </c>
      <c r="F14" s="18">
        <v>0</v>
      </c>
      <c r="G14" s="18">
        <v>0</v>
      </c>
      <c r="H14" s="18">
        <v>336.28800000000001</v>
      </c>
      <c r="I14" s="39">
        <v>112.68781302170287</v>
      </c>
      <c r="J14" s="218">
        <f>'[11]CoS 2017 Load History'!O52</f>
        <v>333</v>
      </c>
      <c r="K14" s="18"/>
      <c r="L14" s="18"/>
      <c r="M14" s="33"/>
      <c r="N14"/>
      <c r="O14"/>
      <c r="P14"/>
      <c r="Q14"/>
      <c r="R14"/>
      <c r="S14"/>
      <c r="T14"/>
      <c r="U14"/>
      <c r="V14"/>
      <c r="W14"/>
      <c r="X14"/>
      <c r="Y14"/>
      <c r="Z14"/>
      <c r="AA14"/>
      <c r="AB14"/>
    </row>
    <row r="15" spans="1:28" s="35" customFormat="1" hidden="1">
      <c r="A15" s="34">
        <v>36526</v>
      </c>
      <c r="B15" s="90">
        <f>'[11]CoS 2017 Load History'!L53</f>
        <v>30116382.980000038</v>
      </c>
      <c r="C15" s="221">
        <f>'Weather Data'!B111</f>
        <v>963.5</v>
      </c>
      <c r="D15" s="221">
        <f>'Weather Data'!C111</f>
        <v>0</v>
      </c>
      <c r="E15" s="18">
        <v>31</v>
      </c>
      <c r="F15" s="18">
        <v>0</v>
      </c>
      <c r="G15" s="18">
        <v>0</v>
      </c>
      <c r="H15" s="18">
        <v>319.92</v>
      </c>
      <c r="I15" s="39">
        <v>113.20550742744629</v>
      </c>
      <c r="J15" s="218">
        <f>'[11]CoS 2017 Load History'!O53</f>
        <v>647</v>
      </c>
      <c r="K15" s="18"/>
      <c r="L15" s="18"/>
      <c r="M15" s="33"/>
      <c r="N15"/>
      <c r="O15"/>
      <c r="P15"/>
      <c r="Q15"/>
      <c r="R15"/>
      <c r="S15"/>
      <c r="T15"/>
      <c r="U15"/>
      <c r="V15"/>
      <c r="W15"/>
      <c r="X15"/>
      <c r="Y15"/>
      <c r="Z15"/>
      <c r="AA15"/>
      <c r="AB15"/>
    </row>
    <row r="16" spans="1:28" s="35" customFormat="1" hidden="1">
      <c r="A16" s="34">
        <v>36557</v>
      </c>
      <c r="B16" s="90">
        <f>'[11]CoS 2017 Load History'!L54</f>
        <v>26672243.319999967</v>
      </c>
      <c r="C16" s="221">
        <f>'Weather Data'!B112</f>
        <v>711.5</v>
      </c>
      <c r="D16" s="221">
        <f>'Weather Data'!C112</f>
        <v>0</v>
      </c>
      <c r="E16" s="18">
        <v>29</v>
      </c>
      <c r="F16" s="18">
        <v>0</v>
      </c>
      <c r="G16" s="18">
        <v>0</v>
      </c>
      <c r="H16" s="18">
        <v>336.16799999999995</v>
      </c>
      <c r="I16" s="39">
        <v>113.72558015157706</v>
      </c>
      <c r="J16" s="218">
        <f>'[11]CoS 2017 Load History'!O54</f>
        <v>601</v>
      </c>
      <c r="K16" s="18"/>
      <c r="L16" s="18"/>
      <c r="M16" s="33"/>
      <c r="N16"/>
      <c r="O16"/>
      <c r="P16"/>
      <c r="Q16"/>
      <c r="R16"/>
      <c r="S16"/>
      <c r="T16"/>
      <c r="U16"/>
      <c r="V16"/>
      <c r="W16"/>
      <c r="X16"/>
      <c r="Y16"/>
      <c r="Z16"/>
      <c r="AA16"/>
      <c r="AB16"/>
    </row>
    <row r="17" spans="1:28" s="35" customFormat="1" hidden="1">
      <c r="A17" s="34">
        <v>36586</v>
      </c>
      <c r="B17" s="90">
        <f>'[11]CoS 2017 Load History'!L55</f>
        <v>25141921.97000001</v>
      </c>
      <c r="C17" s="221">
        <f>'Weather Data'!B113</f>
        <v>574.6</v>
      </c>
      <c r="D17" s="221">
        <f>'Weather Data'!C113</f>
        <v>0</v>
      </c>
      <c r="E17" s="18">
        <v>31</v>
      </c>
      <c r="F17" s="18">
        <v>1</v>
      </c>
      <c r="G17" s="18">
        <v>0</v>
      </c>
      <c r="H17" s="18">
        <v>368.28</v>
      </c>
      <c r="I17" s="39">
        <v>114.24804212022897</v>
      </c>
      <c r="J17" s="218">
        <f>'[11]CoS 2017 Load History'!O55</f>
        <v>562</v>
      </c>
      <c r="K17" s="18"/>
      <c r="L17" s="18"/>
      <c r="M17" s="33"/>
      <c r="N17"/>
      <c r="O17"/>
      <c r="P17"/>
      <c r="Q17"/>
      <c r="R17"/>
      <c r="S17"/>
      <c r="T17"/>
      <c r="U17"/>
      <c r="V17"/>
      <c r="W17"/>
      <c r="X17"/>
      <c r="Y17"/>
      <c r="Z17"/>
      <c r="AA17"/>
      <c r="AB17"/>
    </row>
    <row r="18" spans="1:28" s="35" customFormat="1" ht="15" hidden="1" customHeight="1">
      <c r="A18" s="34">
        <v>36617</v>
      </c>
      <c r="B18" s="90">
        <f>'[11]CoS 2017 Load History'!L56</f>
        <v>22143191.730000012</v>
      </c>
      <c r="C18" s="221">
        <f>'Weather Data'!B114</f>
        <v>485.6</v>
      </c>
      <c r="D18" s="221">
        <f>'Weather Data'!C114</f>
        <v>0</v>
      </c>
      <c r="E18" s="18">
        <v>30</v>
      </c>
      <c r="F18" s="18">
        <v>1</v>
      </c>
      <c r="G18" s="18">
        <v>0</v>
      </c>
      <c r="H18" s="18">
        <v>303.83999999999997</v>
      </c>
      <c r="I18" s="39">
        <v>114.77290430973115</v>
      </c>
      <c r="J18" s="218">
        <f>'[11]CoS 2017 Load History'!O56</f>
        <v>517</v>
      </c>
      <c r="K18" s="18"/>
      <c r="L18" s="18"/>
      <c r="M18" s="33"/>
      <c r="N18"/>
      <c r="O18"/>
      <c r="P18"/>
      <c r="Q18"/>
      <c r="R18"/>
      <c r="S18"/>
      <c r="T18"/>
      <c r="U18"/>
      <c r="V18"/>
      <c r="W18"/>
      <c r="X18"/>
      <c r="Y18"/>
      <c r="Z18"/>
      <c r="AA18"/>
      <c r="AB18"/>
    </row>
    <row r="19" spans="1:28" s="35" customFormat="1" hidden="1">
      <c r="A19" s="34">
        <v>36647</v>
      </c>
      <c r="B19" s="90">
        <f>'[11]CoS 2017 Load History'!L57</f>
        <v>20987165.360000011</v>
      </c>
      <c r="C19" s="221">
        <f>'Weather Data'!B115</f>
        <v>260.5</v>
      </c>
      <c r="D19" s="221">
        <f>'Weather Data'!C115</f>
        <v>0</v>
      </c>
      <c r="E19" s="18">
        <v>31</v>
      </c>
      <c r="F19" s="18">
        <v>1</v>
      </c>
      <c r="G19" s="18">
        <v>0</v>
      </c>
      <c r="H19" s="18">
        <v>351.91199999999998</v>
      </c>
      <c r="I19" s="39">
        <v>115.30017774683859</v>
      </c>
      <c r="J19" s="218">
        <f>'[11]CoS 2017 Load History'!O57</f>
        <v>497</v>
      </c>
      <c r="K19" s="18"/>
      <c r="L19" s="18"/>
      <c r="M19" s="33"/>
      <c r="N19"/>
      <c r="O19"/>
      <c r="P19"/>
      <c r="Q19"/>
      <c r="R19"/>
      <c r="S19"/>
      <c r="T19"/>
      <c r="U19"/>
      <c r="V19"/>
      <c r="W19"/>
      <c r="X19"/>
      <c r="Y19"/>
      <c r="Z19"/>
      <c r="AA19"/>
      <c r="AB19"/>
    </row>
    <row r="20" spans="1:28" s="35" customFormat="1" hidden="1">
      <c r="A20" s="34">
        <v>36678</v>
      </c>
      <c r="B20" s="90">
        <f>'[11]CoS 2017 Load History'!L58</f>
        <v>19836289.700000007</v>
      </c>
      <c r="C20" s="221">
        <f>'Weather Data'!B116</f>
        <v>155.69999999999999</v>
      </c>
      <c r="D20" s="221">
        <f>'Weather Data'!C116</f>
        <v>2.2999999999999998</v>
      </c>
      <c r="E20" s="18">
        <v>30</v>
      </c>
      <c r="F20" s="18">
        <v>0</v>
      </c>
      <c r="G20" s="18">
        <v>0</v>
      </c>
      <c r="H20" s="18">
        <v>352.08</v>
      </c>
      <c r="I20" s="39">
        <v>115.82987350896386</v>
      </c>
      <c r="J20" s="218">
        <f>'[11]CoS 2017 Load History'!O58</f>
        <v>452</v>
      </c>
      <c r="K20" s="18"/>
      <c r="L20" s="18"/>
      <c r="M20" s="33"/>
      <c r="N20"/>
      <c r="O20"/>
      <c r="P20"/>
      <c r="Q20"/>
      <c r="R20"/>
      <c r="S20"/>
      <c r="T20"/>
      <c r="U20"/>
      <c r="V20"/>
      <c r="W20"/>
      <c r="X20"/>
      <c r="Y20"/>
      <c r="Z20"/>
      <c r="AA20"/>
      <c r="AB20"/>
    </row>
    <row r="21" spans="1:28" s="35" customFormat="1" hidden="1">
      <c r="A21" s="34">
        <v>36708</v>
      </c>
      <c r="B21" s="90">
        <f>'[11]CoS 2017 Load History'!L59</f>
        <v>21238166.920000013</v>
      </c>
      <c r="C21" s="221">
        <f>'Weather Data'!B117</f>
        <v>55.7</v>
      </c>
      <c r="D21" s="221">
        <f>'Weather Data'!C117</f>
        <v>20.8</v>
      </c>
      <c r="E21" s="18">
        <v>31</v>
      </c>
      <c r="F21" s="18">
        <v>0</v>
      </c>
      <c r="G21" s="18">
        <v>0</v>
      </c>
      <c r="H21" s="18">
        <v>319.92</v>
      </c>
      <c r="I21" s="39">
        <v>116.36200272440982</v>
      </c>
      <c r="J21" s="218">
        <f>'[11]CoS 2017 Load History'!O59</f>
        <v>431</v>
      </c>
      <c r="K21" s="18"/>
      <c r="L21" s="18"/>
      <c r="M21" s="33"/>
      <c r="N21"/>
      <c r="O21"/>
      <c r="P21"/>
      <c r="Q21"/>
      <c r="R21"/>
      <c r="S21"/>
      <c r="T21"/>
      <c r="U21"/>
      <c r="V21"/>
      <c r="W21"/>
      <c r="X21"/>
      <c r="Y21"/>
      <c r="Z21"/>
      <c r="AA21"/>
      <c r="AB21"/>
    </row>
    <row r="22" spans="1:28" s="35" customFormat="1" hidden="1">
      <c r="A22" s="34">
        <v>36739</v>
      </c>
      <c r="B22" s="90">
        <f>'[11]CoS 2017 Load History'!L60</f>
        <v>21418208.409999985</v>
      </c>
      <c r="C22" s="221">
        <f>'Weather Data'!B118</f>
        <v>63.4</v>
      </c>
      <c r="D22" s="221">
        <f>'Weather Data'!C118</f>
        <v>9.8000000000000007</v>
      </c>
      <c r="E22" s="18">
        <v>31</v>
      </c>
      <c r="F22" s="18">
        <v>0</v>
      </c>
      <c r="G22" s="18">
        <v>0</v>
      </c>
      <c r="H22" s="18">
        <v>351.91199999999998</v>
      </c>
      <c r="I22" s="39">
        <v>116.89657657260338</v>
      </c>
      <c r="J22" s="218">
        <f>'[11]CoS 2017 Load History'!O60</f>
        <v>429</v>
      </c>
      <c r="K22" s="18"/>
      <c r="L22" s="18"/>
      <c r="M22" s="33"/>
      <c r="N22"/>
      <c r="O22"/>
      <c r="P22"/>
      <c r="Q22"/>
      <c r="R22"/>
      <c r="S22"/>
      <c r="T22"/>
      <c r="U22"/>
      <c r="V22"/>
      <c r="W22"/>
      <c r="X22"/>
      <c r="Y22"/>
      <c r="Z22"/>
      <c r="AA22"/>
      <c r="AB22"/>
    </row>
    <row r="23" spans="1:28" s="35" customFormat="1" hidden="1">
      <c r="A23" s="34">
        <v>36770</v>
      </c>
      <c r="B23" s="90">
        <f>'[11]CoS 2017 Load History'!L61</f>
        <v>20859271.22000001</v>
      </c>
      <c r="C23" s="221">
        <f>'Weather Data'!B119</f>
        <v>223.3</v>
      </c>
      <c r="D23" s="221">
        <f>'Weather Data'!C119</f>
        <v>0</v>
      </c>
      <c r="E23" s="18">
        <v>30</v>
      </c>
      <c r="F23" s="18">
        <v>1</v>
      </c>
      <c r="G23" s="18">
        <v>0</v>
      </c>
      <c r="H23" s="18">
        <v>319.68</v>
      </c>
      <c r="I23" s="39">
        <v>117.43360628433041</v>
      </c>
      <c r="J23" s="218">
        <f>'[11]CoS 2017 Load History'!O61</f>
        <v>428</v>
      </c>
      <c r="K23" s="18"/>
      <c r="L23" s="18"/>
      <c r="M23" s="33"/>
      <c r="N23"/>
      <c r="O23"/>
      <c r="P23"/>
      <c r="Q23"/>
      <c r="R23"/>
      <c r="S23"/>
      <c r="T23"/>
      <c r="U23"/>
      <c r="V23"/>
      <c r="W23"/>
      <c r="X23"/>
      <c r="Y23"/>
      <c r="Z23"/>
      <c r="AA23"/>
      <c r="AB23"/>
    </row>
    <row r="24" spans="1:28" s="35" customFormat="1" hidden="1">
      <c r="A24" s="34">
        <v>36800</v>
      </c>
      <c r="B24" s="90">
        <f>'[11]CoS 2017 Load History'!L62</f>
        <v>22319549.140000019</v>
      </c>
      <c r="C24" s="221">
        <f>'Weather Data'!B120</f>
        <v>372.2</v>
      </c>
      <c r="D24" s="221">
        <f>'Weather Data'!C120</f>
        <v>0</v>
      </c>
      <c r="E24" s="18">
        <v>31</v>
      </c>
      <c r="F24" s="18">
        <v>1</v>
      </c>
      <c r="G24" s="18">
        <v>0</v>
      </c>
      <c r="H24" s="18">
        <v>336.28800000000001</v>
      </c>
      <c r="I24" s="39">
        <v>117.97310314197166</v>
      </c>
      <c r="J24" s="218">
        <f>'[11]CoS 2017 Load History'!O62</f>
        <v>434</v>
      </c>
      <c r="K24" s="18"/>
      <c r="L24" s="18"/>
      <c r="M24" s="33"/>
      <c r="N24"/>
      <c r="O24"/>
      <c r="P24"/>
      <c r="Q24"/>
      <c r="R24"/>
      <c r="S24"/>
      <c r="T24"/>
      <c r="U24"/>
      <c r="V24"/>
      <c r="W24"/>
      <c r="X24"/>
      <c r="Y24"/>
      <c r="Z24"/>
      <c r="AA24"/>
      <c r="AB24"/>
    </row>
    <row r="25" spans="1:28" s="35" customFormat="1" hidden="1">
      <c r="A25" s="34">
        <v>36831</v>
      </c>
      <c r="B25" s="90">
        <f>'[11]CoS 2017 Load History'!L63</f>
        <v>24898434.920000006</v>
      </c>
      <c r="C25" s="221">
        <f>'Weather Data'!B121</f>
        <v>561.6</v>
      </c>
      <c r="D25" s="221">
        <f>'Weather Data'!C121</f>
        <v>0</v>
      </c>
      <c r="E25" s="18">
        <v>30</v>
      </c>
      <c r="F25" s="18">
        <v>1</v>
      </c>
      <c r="G25" s="18">
        <v>0</v>
      </c>
      <c r="H25" s="18">
        <v>352.08</v>
      </c>
      <c r="I25" s="39">
        <v>118.51507847973981</v>
      </c>
      <c r="J25" s="218">
        <f>'[11]CoS 2017 Load History'!O63</f>
        <v>438</v>
      </c>
      <c r="K25" s="18"/>
      <c r="L25" s="18"/>
      <c r="M25" s="33"/>
      <c r="N25"/>
      <c r="O25"/>
      <c r="P25"/>
      <c r="Q25"/>
      <c r="R25"/>
      <c r="S25"/>
      <c r="T25"/>
      <c r="U25"/>
      <c r="V25"/>
      <c r="W25"/>
      <c r="X25"/>
      <c r="Y25"/>
      <c r="Z25"/>
      <c r="AA25"/>
      <c r="AB25"/>
    </row>
    <row r="26" spans="1:28" s="35" customFormat="1" hidden="1">
      <c r="A26" s="34">
        <v>36861</v>
      </c>
      <c r="B26" s="90">
        <f>'[11]CoS 2017 Load History'!L64</f>
        <v>29608811.340000007</v>
      </c>
      <c r="C26" s="221">
        <f>'Weather Data'!B122</f>
        <v>1041.3</v>
      </c>
      <c r="D26" s="221">
        <f>'Weather Data'!C122</f>
        <v>0</v>
      </c>
      <c r="E26" s="18">
        <v>31</v>
      </c>
      <c r="F26" s="18">
        <v>0</v>
      </c>
      <c r="G26" s="18">
        <v>0</v>
      </c>
      <c r="H26" s="18">
        <v>304.29599999999999</v>
      </c>
      <c r="I26" s="39">
        <v>119.05954368391765</v>
      </c>
      <c r="J26" s="218">
        <f>'[11]CoS 2017 Load History'!O64</f>
        <v>439</v>
      </c>
      <c r="K26" s="18"/>
      <c r="L26" s="18"/>
      <c r="M26" s="33"/>
      <c r="N26"/>
      <c r="O26"/>
      <c r="P26"/>
      <c r="Q26"/>
      <c r="R26"/>
      <c r="S26"/>
      <c r="T26"/>
      <c r="U26"/>
      <c r="V26"/>
      <c r="W26"/>
      <c r="X26"/>
      <c r="Y26"/>
      <c r="Z26"/>
      <c r="AA26"/>
      <c r="AB26"/>
    </row>
    <row r="27" spans="1:28" s="35" customFormat="1" hidden="1">
      <c r="A27" s="34">
        <v>36892</v>
      </c>
      <c r="B27" s="90">
        <f>'[11]CoS 2017 Load History'!L65</f>
        <v>29257179.950000018</v>
      </c>
      <c r="C27" s="221">
        <f>'Weather Data'!B123</f>
        <v>898.8</v>
      </c>
      <c r="D27" s="221">
        <f>'Weather Data'!C123</f>
        <v>0</v>
      </c>
      <c r="E27" s="18">
        <v>31</v>
      </c>
      <c r="F27" s="18">
        <v>0</v>
      </c>
      <c r="G27" s="18">
        <v>0</v>
      </c>
      <c r="H27" s="18">
        <v>351.91199999999998</v>
      </c>
      <c r="I27" s="39">
        <v>119.23206305749976</v>
      </c>
      <c r="J27" s="218">
        <f>'[11]CoS 2017 Load History'!O65</f>
        <v>473</v>
      </c>
      <c r="K27" s="18"/>
      <c r="L27" s="18"/>
      <c r="M27" s="33"/>
      <c r="N27"/>
      <c r="O27"/>
      <c r="P27"/>
      <c r="Q27"/>
      <c r="R27"/>
      <c r="S27"/>
      <c r="T27"/>
      <c r="U27"/>
      <c r="V27"/>
      <c r="W27"/>
      <c r="X27"/>
      <c r="Y27"/>
      <c r="Z27"/>
      <c r="AA27"/>
      <c r="AB27"/>
    </row>
    <row r="28" spans="1:28" s="35" customFormat="1" hidden="1">
      <c r="A28" s="34">
        <v>36925</v>
      </c>
      <c r="B28" s="90">
        <f>'[11]CoS 2017 Load History'!L66</f>
        <v>27178450.539999988</v>
      </c>
      <c r="C28" s="221">
        <f>'Weather Data'!B124</f>
        <v>918.9</v>
      </c>
      <c r="D28" s="221">
        <f>'Weather Data'!C124</f>
        <v>0</v>
      </c>
      <c r="E28" s="18">
        <v>28</v>
      </c>
      <c r="F28" s="18">
        <v>0</v>
      </c>
      <c r="G28" s="18">
        <v>0</v>
      </c>
      <c r="H28" s="18">
        <v>319.87200000000001</v>
      </c>
      <c r="I28" s="39">
        <v>119.40483241468957</v>
      </c>
      <c r="J28" s="218">
        <f>'[11]CoS 2017 Load History'!O66</f>
        <v>477</v>
      </c>
      <c r="K28" s="18"/>
      <c r="L28" s="18"/>
      <c r="M28" s="33"/>
      <c r="N28"/>
      <c r="O28"/>
      <c r="P28"/>
      <c r="Q28"/>
      <c r="R28"/>
      <c r="S28"/>
      <c r="T28"/>
      <c r="U28"/>
      <c r="V28"/>
      <c r="W28"/>
      <c r="X28"/>
      <c r="Y28"/>
      <c r="Z28"/>
      <c r="AA28"/>
      <c r="AB28"/>
    </row>
    <row r="29" spans="1:28" s="35" customFormat="1" hidden="1">
      <c r="A29" s="34">
        <v>36958</v>
      </c>
      <c r="B29" s="90">
        <f>'[11]CoS 2017 Load History'!L67</f>
        <v>26804323.800000008</v>
      </c>
      <c r="C29" s="221">
        <f>'Weather Data'!B125</f>
        <v>702.7</v>
      </c>
      <c r="D29" s="221">
        <f>'Weather Data'!C125</f>
        <v>0</v>
      </c>
      <c r="E29" s="18">
        <v>31</v>
      </c>
      <c r="F29" s="18">
        <v>1</v>
      </c>
      <c r="G29" s="18">
        <v>0</v>
      </c>
      <c r="H29" s="18">
        <v>351.91199999999998</v>
      </c>
      <c r="I29" s="39">
        <v>119.57785211771773</v>
      </c>
      <c r="J29" s="218">
        <f>'[11]CoS 2017 Load History'!O67</f>
        <v>476</v>
      </c>
      <c r="K29" s="18"/>
      <c r="L29" s="18"/>
      <c r="M29" s="33"/>
      <c r="N29"/>
      <c r="O29"/>
      <c r="P29"/>
      <c r="Q29"/>
      <c r="R29"/>
      <c r="S29"/>
      <c r="T29"/>
      <c r="U29"/>
      <c r="V29"/>
      <c r="W29"/>
      <c r="X29"/>
      <c r="Y29"/>
      <c r="Z29"/>
      <c r="AA29"/>
      <c r="AB29"/>
    </row>
    <row r="30" spans="1:28" s="35" customFormat="1" hidden="1">
      <c r="A30" s="34">
        <v>36991</v>
      </c>
      <c r="B30" s="90">
        <f>'[11]CoS 2017 Load History'!L68</f>
        <v>22932702.839999989</v>
      </c>
      <c r="C30" s="221">
        <f>'Weather Data'!B126</f>
        <v>430.7</v>
      </c>
      <c r="D30" s="221">
        <f>'Weather Data'!C126</f>
        <v>0</v>
      </c>
      <c r="E30" s="18">
        <v>30</v>
      </c>
      <c r="F30" s="18">
        <v>1</v>
      </c>
      <c r="G30" s="18">
        <v>0</v>
      </c>
      <c r="H30" s="18">
        <v>319.68</v>
      </c>
      <c r="I30" s="39">
        <v>119.75112252933975</v>
      </c>
      <c r="J30" s="218">
        <f>'[11]CoS 2017 Load History'!O68</f>
        <v>474</v>
      </c>
      <c r="K30" s="18"/>
      <c r="L30" s="18"/>
      <c r="M30" s="33"/>
      <c r="N30"/>
      <c r="O30"/>
      <c r="P30"/>
      <c r="Q30"/>
      <c r="R30"/>
      <c r="S30"/>
      <c r="T30"/>
      <c r="U30"/>
      <c r="V30"/>
      <c r="W30"/>
      <c r="X30"/>
      <c r="Y30"/>
      <c r="Z30"/>
      <c r="AA30"/>
      <c r="AB30"/>
    </row>
    <row r="31" spans="1:28" s="35" customFormat="1" hidden="1">
      <c r="A31" s="34">
        <v>37024</v>
      </c>
      <c r="B31" s="90">
        <f>'[11]CoS 2017 Load History'!L69</f>
        <v>21898868.649999999</v>
      </c>
      <c r="C31" s="221">
        <f>'Weather Data'!B127</f>
        <v>239.9</v>
      </c>
      <c r="D31" s="221">
        <f>'Weather Data'!C127</f>
        <v>0</v>
      </c>
      <c r="E31" s="18">
        <v>31</v>
      </c>
      <c r="F31" s="18">
        <v>1</v>
      </c>
      <c r="G31" s="18">
        <v>0</v>
      </c>
      <c r="H31" s="18">
        <v>351.91199999999998</v>
      </c>
      <c r="I31" s="39">
        <v>119.92464401283681</v>
      </c>
      <c r="J31" s="218">
        <f>'[11]CoS 2017 Load History'!O69</f>
        <v>476</v>
      </c>
      <c r="K31" s="18"/>
      <c r="L31" s="18"/>
      <c r="M31" s="33"/>
      <c r="N31"/>
      <c r="O31"/>
      <c r="P31"/>
      <c r="Q31"/>
      <c r="R31"/>
      <c r="S31"/>
      <c r="T31"/>
      <c r="U31"/>
      <c r="V31"/>
      <c r="W31"/>
      <c r="X31"/>
      <c r="Y31"/>
      <c r="Z31"/>
      <c r="AA31"/>
      <c r="AB31"/>
    </row>
    <row r="32" spans="1:28" s="35" customFormat="1" hidden="1">
      <c r="A32" s="34">
        <v>37057</v>
      </c>
      <c r="B32" s="90">
        <f>'[11]CoS 2017 Load History'!L70</f>
        <v>21021876.090000004</v>
      </c>
      <c r="C32" s="221">
        <f>'Weather Data'!B128</f>
        <v>114</v>
      </c>
      <c r="D32" s="221">
        <f>'Weather Data'!C128</f>
        <v>15.2</v>
      </c>
      <c r="E32" s="18">
        <v>30</v>
      </c>
      <c r="F32" s="18">
        <v>0</v>
      </c>
      <c r="G32" s="18">
        <v>0</v>
      </c>
      <c r="H32" s="18">
        <v>336.24</v>
      </c>
      <c r="I32" s="39">
        <v>120.09841693201646</v>
      </c>
      <c r="J32" s="218">
        <f>'[11]CoS 2017 Load History'!O70</f>
        <v>477</v>
      </c>
      <c r="K32" s="18"/>
      <c r="L32" s="18"/>
      <c r="M32" s="33"/>
      <c r="N32"/>
      <c r="O32"/>
      <c r="P32"/>
      <c r="Q32"/>
      <c r="R32"/>
      <c r="S32"/>
      <c r="T32"/>
      <c r="U32"/>
      <c r="V32"/>
      <c r="W32"/>
      <c r="X32"/>
      <c r="Y32"/>
      <c r="Z32"/>
      <c r="AA32"/>
      <c r="AB32"/>
    </row>
    <row r="33" spans="1:28" s="35" customFormat="1" hidden="1">
      <c r="A33" s="34">
        <v>37090</v>
      </c>
      <c r="B33" s="90">
        <f>'[11]CoS 2017 Load History'!L71</f>
        <v>21695834.309999999</v>
      </c>
      <c r="C33" s="221">
        <f>'Weather Data'!B129</f>
        <v>67.2</v>
      </c>
      <c r="D33" s="221">
        <f>'Weather Data'!C129</f>
        <v>29.7</v>
      </c>
      <c r="E33" s="18">
        <v>31</v>
      </c>
      <c r="F33" s="18">
        <v>0</v>
      </c>
      <c r="G33" s="18">
        <v>0</v>
      </c>
      <c r="H33" s="18">
        <v>336.28800000000001</v>
      </c>
      <c r="I33" s="39">
        <v>120.27244165121344</v>
      </c>
      <c r="J33" s="218">
        <f>'[11]CoS 2017 Load History'!O71</f>
        <v>476</v>
      </c>
      <c r="K33" s="18"/>
      <c r="L33" s="18"/>
      <c r="M33" s="33"/>
      <c r="N33"/>
      <c r="O33"/>
      <c r="P33"/>
      <c r="Q33"/>
      <c r="R33"/>
      <c r="S33"/>
      <c r="T33"/>
      <c r="U33"/>
      <c r="V33"/>
      <c r="W33"/>
      <c r="X33"/>
      <c r="Y33"/>
      <c r="Z33"/>
      <c r="AA33"/>
      <c r="AB33"/>
    </row>
    <row r="34" spans="1:28" s="35" customFormat="1" hidden="1">
      <c r="A34" s="34">
        <v>37123</v>
      </c>
      <c r="B34" s="90">
        <f>'[11]CoS 2017 Load History'!L72</f>
        <v>22267606.790000003</v>
      </c>
      <c r="C34" s="221">
        <f>'Weather Data'!B130</f>
        <v>40.200000000000003</v>
      </c>
      <c r="D34" s="221">
        <f>'Weather Data'!C130</f>
        <v>56.1</v>
      </c>
      <c r="E34" s="18">
        <v>31</v>
      </c>
      <c r="F34" s="18">
        <v>0</v>
      </c>
      <c r="G34" s="18">
        <v>0</v>
      </c>
      <c r="H34" s="18">
        <v>351.91199999999998</v>
      </c>
      <c r="I34" s="39">
        <v>120.4467185352904</v>
      </c>
      <c r="J34" s="218">
        <f>'[11]CoS 2017 Load History'!O72</f>
        <v>475</v>
      </c>
      <c r="K34" s="18"/>
      <c r="L34" s="18"/>
      <c r="M34" s="33"/>
      <c r="N34"/>
      <c r="O34"/>
      <c r="P34"/>
      <c r="Q34"/>
      <c r="R34"/>
      <c r="S34"/>
      <c r="T34"/>
      <c r="U34"/>
      <c r="V34"/>
      <c r="W34"/>
      <c r="X34"/>
      <c r="Y34"/>
      <c r="Z34"/>
      <c r="AA34"/>
      <c r="AB34"/>
    </row>
    <row r="35" spans="1:28" s="35" customFormat="1" hidden="1">
      <c r="A35" s="34">
        <v>37156</v>
      </c>
      <c r="B35" s="90">
        <f>'[11]CoS 2017 Load History'!L73</f>
        <v>20970044.239999998</v>
      </c>
      <c r="C35" s="221">
        <f>'Weather Data'!B131</f>
        <v>187.7</v>
      </c>
      <c r="D35" s="221">
        <f>'Weather Data'!C131</f>
        <v>6.8</v>
      </c>
      <c r="E35" s="18">
        <v>30</v>
      </c>
      <c r="F35" s="18">
        <v>1</v>
      </c>
      <c r="G35" s="18">
        <v>0</v>
      </c>
      <c r="H35" s="18">
        <v>303.83999999999997</v>
      </c>
      <c r="I35" s="39">
        <v>120.62124794963869</v>
      </c>
      <c r="J35" s="218">
        <f>'[11]CoS 2017 Load History'!O73</f>
        <v>474</v>
      </c>
      <c r="K35" s="18"/>
      <c r="L35" s="18"/>
      <c r="M35" s="33"/>
      <c r="N35"/>
      <c r="O35"/>
      <c r="P35"/>
      <c r="Q35"/>
      <c r="R35"/>
      <c r="S35"/>
      <c r="T35"/>
      <c r="U35"/>
      <c r="V35"/>
      <c r="W35"/>
      <c r="X35"/>
      <c r="Y35"/>
      <c r="Z35"/>
      <c r="AA35"/>
      <c r="AB35"/>
    </row>
    <row r="36" spans="1:28" s="35" customFormat="1" hidden="1">
      <c r="A36" s="34">
        <v>37189</v>
      </c>
      <c r="B36" s="90">
        <f>'[11]CoS 2017 Load History'!L74</f>
        <v>22726743.390000008</v>
      </c>
      <c r="C36" s="221">
        <f>'Weather Data'!B132</f>
        <v>408.6</v>
      </c>
      <c r="D36" s="221">
        <f>'Weather Data'!C132</f>
        <v>0</v>
      </c>
      <c r="E36" s="18">
        <v>31</v>
      </c>
      <c r="F36" s="18">
        <v>1</v>
      </c>
      <c r="G36" s="18">
        <v>0</v>
      </c>
      <c r="H36" s="18">
        <v>351.91199999999998</v>
      </c>
      <c r="I36" s="39">
        <v>120.79603026017911</v>
      </c>
      <c r="J36" s="218">
        <f>'[11]CoS 2017 Load History'!O74</f>
        <v>476</v>
      </c>
      <c r="K36" s="18"/>
      <c r="L36" s="18"/>
      <c r="M36" s="33"/>
      <c r="N36"/>
      <c r="O36"/>
      <c r="P36"/>
      <c r="Q36"/>
      <c r="R36"/>
      <c r="S36"/>
      <c r="T36"/>
      <c r="U36"/>
      <c r="V36"/>
      <c r="W36"/>
      <c r="X36"/>
      <c r="Y36"/>
      <c r="Z36"/>
      <c r="AA36"/>
      <c r="AB36"/>
    </row>
    <row r="37" spans="1:28" s="35" customFormat="1" hidden="1">
      <c r="A37" s="34">
        <v>37222</v>
      </c>
      <c r="B37" s="90">
        <f>'[11]CoS 2017 Load History'!L75</f>
        <v>23917781.749999996</v>
      </c>
      <c r="C37" s="221">
        <f>'Weather Data'!B133</f>
        <v>458.8</v>
      </c>
      <c r="D37" s="221">
        <f>'Weather Data'!C133</f>
        <v>0</v>
      </c>
      <c r="E37" s="18">
        <v>30</v>
      </c>
      <c r="F37" s="18">
        <v>1</v>
      </c>
      <c r="G37" s="18">
        <v>0</v>
      </c>
      <c r="H37" s="18">
        <v>352.08</v>
      </c>
      <c r="I37" s="39">
        <v>120.9710658333627</v>
      </c>
      <c r="J37" s="218">
        <f>'[11]CoS 2017 Load History'!O75</f>
        <v>478</v>
      </c>
      <c r="K37" s="18"/>
      <c r="L37" s="18"/>
      <c r="M37" s="33"/>
      <c r="N37"/>
      <c r="O37"/>
      <c r="P37"/>
      <c r="Q37"/>
      <c r="R37"/>
      <c r="S37"/>
      <c r="T37"/>
      <c r="U37"/>
      <c r="V37"/>
      <c r="W37"/>
      <c r="X37"/>
      <c r="Y37"/>
      <c r="Z37"/>
      <c r="AA37"/>
      <c r="AB37"/>
    </row>
    <row r="38" spans="1:28" s="35" customFormat="1" hidden="1">
      <c r="A38" s="34">
        <v>37255</v>
      </c>
      <c r="B38" s="90">
        <f>'[11]CoS 2017 Load History'!L76</f>
        <v>26175856.450000007</v>
      </c>
      <c r="C38" s="221">
        <f>'Weather Data'!B134</f>
        <v>716.4</v>
      </c>
      <c r="D38" s="221">
        <f>'Weather Data'!C134</f>
        <v>0</v>
      </c>
      <c r="E38" s="18">
        <v>31</v>
      </c>
      <c r="F38" s="18">
        <v>0</v>
      </c>
      <c r="G38" s="18">
        <v>0</v>
      </c>
      <c r="H38" s="18">
        <v>304.29599999999999</v>
      </c>
      <c r="I38" s="39">
        <v>121.1463550361714</v>
      </c>
      <c r="J38" s="218">
        <f>'[11]CoS 2017 Load History'!O76</f>
        <v>477</v>
      </c>
      <c r="K38" s="18"/>
      <c r="L38" s="18"/>
      <c r="M38" s="33"/>
      <c r="N38"/>
      <c r="O38"/>
      <c r="P38"/>
      <c r="Q38"/>
      <c r="R38"/>
      <c r="S38"/>
      <c r="T38"/>
      <c r="U38"/>
      <c r="V38"/>
      <c r="W38"/>
      <c r="X38"/>
      <c r="Y38"/>
      <c r="Z38"/>
      <c r="AA38"/>
      <c r="AB38"/>
    </row>
    <row r="39" spans="1:28" s="35" customFormat="1" hidden="1">
      <c r="A39" s="95">
        <v>37275</v>
      </c>
      <c r="B39" s="90">
        <f>'[11]CoS 2017 Load History'!L77</f>
        <v>28530794.519999996</v>
      </c>
      <c r="C39" s="221">
        <f>'Weather Data'!B135</f>
        <v>873.9</v>
      </c>
      <c r="D39" s="221">
        <f>'Weather Data'!C135</f>
        <v>0</v>
      </c>
      <c r="E39" s="18">
        <v>31</v>
      </c>
      <c r="F39" s="18">
        <v>0</v>
      </c>
      <c r="G39" s="18">
        <v>0</v>
      </c>
      <c r="H39" s="18">
        <v>351.91199999999998</v>
      </c>
      <c r="I39" s="39">
        <v>121.50450639216388</v>
      </c>
      <c r="J39" s="218">
        <f>'[11]CoS 2017 Load History'!O77</f>
        <v>477</v>
      </c>
      <c r="K39" s="18"/>
      <c r="L39" s="18"/>
      <c r="M39" s="33"/>
      <c r="N39"/>
      <c r="O39"/>
      <c r="P39"/>
      <c r="Q39"/>
      <c r="R39"/>
      <c r="S39"/>
      <c r="T39"/>
      <c r="U39"/>
      <c r="V39"/>
      <c r="W39"/>
      <c r="X39"/>
      <c r="Y39"/>
      <c r="Z39"/>
      <c r="AA39"/>
      <c r="AB39"/>
    </row>
    <row r="40" spans="1:28" s="35" customFormat="1" hidden="1">
      <c r="A40" s="34">
        <v>37308</v>
      </c>
      <c r="B40" s="90">
        <f>'[11]CoS 2017 Load History'!L78</f>
        <v>26198686.230000004</v>
      </c>
      <c r="C40" s="221">
        <f>'Weather Data'!B136</f>
        <v>733</v>
      </c>
      <c r="D40" s="221">
        <f>'Weather Data'!C136</f>
        <v>0</v>
      </c>
      <c r="E40" s="18">
        <v>28</v>
      </c>
      <c r="F40" s="18">
        <v>0</v>
      </c>
      <c r="G40" s="18">
        <v>0</v>
      </c>
      <c r="H40" s="18">
        <v>319.87200000000001</v>
      </c>
      <c r="I40" s="39">
        <v>121.86371656989111</v>
      </c>
      <c r="J40" s="218">
        <f>'[11]CoS 2017 Load History'!O78</f>
        <v>475</v>
      </c>
      <c r="K40" s="18"/>
      <c r="L40" s="18"/>
      <c r="M40" s="33"/>
      <c r="N40"/>
      <c r="O40"/>
      <c r="P40"/>
      <c r="Q40"/>
      <c r="R40"/>
      <c r="S40"/>
      <c r="T40"/>
      <c r="U40"/>
      <c r="V40"/>
      <c r="W40"/>
      <c r="X40"/>
      <c r="Y40"/>
      <c r="Z40"/>
      <c r="AA40"/>
      <c r="AB40"/>
    </row>
    <row r="41" spans="1:28" s="35" customFormat="1" hidden="1">
      <c r="A41" s="34">
        <v>37341</v>
      </c>
      <c r="B41" s="90">
        <f>'[11]CoS 2017 Load History'!L79</f>
        <v>27472385.659999985</v>
      </c>
      <c r="C41" s="221">
        <f>'Weather Data'!B137</f>
        <v>804.7</v>
      </c>
      <c r="D41" s="221">
        <f>'Weather Data'!C137</f>
        <v>0</v>
      </c>
      <c r="E41" s="18">
        <v>31</v>
      </c>
      <c r="F41" s="18">
        <v>1</v>
      </c>
      <c r="G41" s="18">
        <v>0</v>
      </c>
      <c r="H41" s="18">
        <v>319.92</v>
      </c>
      <c r="I41" s="39">
        <v>122.22398869960362</v>
      </c>
      <c r="J41" s="218">
        <f>'[11]CoS 2017 Load History'!O79</f>
        <v>478</v>
      </c>
      <c r="K41" s="18"/>
      <c r="L41" s="18"/>
      <c r="M41" s="33"/>
      <c r="N41"/>
      <c r="O41"/>
      <c r="P41"/>
      <c r="Q41"/>
      <c r="R41"/>
      <c r="S41"/>
      <c r="T41"/>
      <c r="U41"/>
      <c r="V41"/>
      <c r="W41"/>
      <c r="X41"/>
      <c r="Y41"/>
      <c r="Z41"/>
      <c r="AA41"/>
      <c r="AB41"/>
    </row>
    <row r="42" spans="1:28" s="35" customFormat="1" hidden="1">
      <c r="A42" s="34">
        <v>37374</v>
      </c>
      <c r="B42" s="90">
        <f>'[11]CoS 2017 Load History'!L80</f>
        <v>23674635.879999995</v>
      </c>
      <c r="C42" s="221">
        <f>'Weather Data'!B138</f>
        <v>462.3</v>
      </c>
      <c r="D42" s="221">
        <f>'Weather Data'!C138</f>
        <v>0</v>
      </c>
      <c r="E42" s="18">
        <v>30</v>
      </c>
      <c r="F42" s="18">
        <v>1</v>
      </c>
      <c r="G42" s="18">
        <v>0</v>
      </c>
      <c r="H42" s="18">
        <v>352.08</v>
      </c>
      <c r="I42" s="39">
        <v>122.58532592080604</v>
      </c>
      <c r="J42" s="218">
        <f>'[11]CoS 2017 Load History'!O80</f>
        <v>480</v>
      </c>
      <c r="K42" s="18"/>
      <c r="L42" s="18"/>
      <c r="M42" s="33"/>
      <c r="N42"/>
      <c r="O42"/>
      <c r="P42"/>
      <c r="Q42"/>
      <c r="R42"/>
      <c r="S42"/>
      <c r="T42"/>
      <c r="U42"/>
      <c r="V42"/>
      <c r="W42"/>
      <c r="X42"/>
      <c r="Y42"/>
      <c r="Z42"/>
      <c r="AA42"/>
      <c r="AB42"/>
    </row>
    <row r="43" spans="1:28" s="35" customFormat="1" hidden="1">
      <c r="A43" s="34">
        <v>37407</v>
      </c>
      <c r="B43" s="90">
        <f>'[11]CoS 2017 Load History'!L81</f>
        <v>22507067.52</v>
      </c>
      <c r="C43" s="221">
        <f>'Weather Data'!B139</f>
        <v>335</v>
      </c>
      <c r="D43" s="221">
        <f>'Weather Data'!C139</f>
        <v>0.5</v>
      </c>
      <c r="E43" s="18">
        <v>31</v>
      </c>
      <c r="F43" s="18">
        <v>1</v>
      </c>
      <c r="G43" s="18">
        <v>0</v>
      </c>
      <c r="H43" s="18">
        <v>351.91199999999998</v>
      </c>
      <c r="I43" s="39">
        <v>122.9477313822845</v>
      </c>
      <c r="J43" s="218">
        <f>'[11]CoS 2017 Load History'!O81</f>
        <v>485</v>
      </c>
      <c r="K43" s="18"/>
      <c r="L43" s="18"/>
      <c r="M43" s="33"/>
      <c r="N43"/>
      <c r="O43"/>
      <c r="P43"/>
      <c r="Q43"/>
      <c r="R43"/>
      <c r="S43"/>
      <c r="T43"/>
      <c r="U43"/>
      <c r="V43"/>
      <c r="W43"/>
      <c r="X43"/>
      <c r="Y43"/>
      <c r="Z43"/>
      <c r="AA43"/>
      <c r="AB43"/>
    </row>
    <row r="44" spans="1:28" s="35" customFormat="1" hidden="1">
      <c r="A44" s="34">
        <v>37408</v>
      </c>
      <c r="B44" s="90">
        <f>'[11]CoS 2017 Load History'!L82</f>
        <v>22085684.420000009</v>
      </c>
      <c r="C44" s="221">
        <f>'Weather Data'!B140</f>
        <v>114.4</v>
      </c>
      <c r="D44" s="221">
        <f>'Weather Data'!C140</f>
        <v>14.2</v>
      </c>
      <c r="E44" s="18">
        <v>30</v>
      </c>
      <c r="F44" s="18">
        <v>0</v>
      </c>
      <c r="G44" s="18">
        <v>0</v>
      </c>
      <c r="H44" s="18">
        <v>319.68</v>
      </c>
      <c r="I44" s="39">
        <v>123.31120824213403</v>
      </c>
      <c r="J44" s="218">
        <f>'[11]CoS 2017 Load History'!O82</f>
        <v>484</v>
      </c>
      <c r="K44" s="18"/>
      <c r="L44" s="18"/>
      <c r="M44" s="33"/>
      <c r="N44"/>
      <c r="O44"/>
      <c r="P44"/>
      <c r="Q44"/>
      <c r="R44"/>
      <c r="S44"/>
      <c r="T44"/>
      <c r="U44"/>
      <c r="V44"/>
      <c r="W44"/>
      <c r="X44"/>
      <c r="Y44"/>
      <c r="Z44"/>
      <c r="AA44"/>
      <c r="AB44"/>
    </row>
    <row r="45" spans="1:28" s="35" customFormat="1" hidden="1">
      <c r="A45" s="34">
        <v>37440</v>
      </c>
      <c r="B45" s="90">
        <f>'[11]CoS 2017 Load History'!L83</f>
        <v>23193555.539999992</v>
      </c>
      <c r="C45" s="221">
        <f>'Weather Data'!B141</f>
        <v>17.899999999999999</v>
      </c>
      <c r="D45" s="221">
        <f>'Weather Data'!C141</f>
        <v>79.3</v>
      </c>
      <c r="E45" s="18">
        <v>31</v>
      </c>
      <c r="F45" s="18">
        <v>0</v>
      </c>
      <c r="G45" s="18">
        <v>0</v>
      </c>
      <c r="H45" s="18">
        <v>351.91199999999998</v>
      </c>
      <c r="I45" s="39">
        <v>123.67575966778612</v>
      </c>
      <c r="J45" s="218">
        <f>'[11]CoS 2017 Load History'!O83</f>
        <v>478</v>
      </c>
      <c r="K45" s="18"/>
      <c r="L45" s="18"/>
      <c r="M45" s="33"/>
      <c r="N45"/>
      <c r="O45"/>
      <c r="P45"/>
      <c r="Q45"/>
      <c r="R45"/>
      <c r="S45"/>
      <c r="T45"/>
      <c r="U45"/>
      <c r="V45"/>
      <c r="W45"/>
      <c r="X45"/>
      <c r="Y45"/>
      <c r="Z45"/>
      <c r="AA45"/>
      <c r="AB45"/>
    </row>
    <row r="46" spans="1:28" s="35" customFormat="1" hidden="1">
      <c r="A46" s="34">
        <v>37473</v>
      </c>
      <c r="B46" s="90">
        <f>'[11]CoS 2017 Load History'!L84</f>
        <v>22417126.280000005</v>
      </c>
      <c r="C46" s="221">
        <f>'Weather Data'!B142</f>
        <v>49.7</v>
      </c>
      <c r="D46" s="221">
        <f>'Weather Data'!C142</f>
        <v>15.5</v>
      </c>
      <c r="E46" s="18">
        <v>31</v>
      </c>
      <c r="F46" s="18">
        <v>0</v>
      </c>
      <c r="G46" s="18">
        <v>0</v>
      </c>
      <c r="H46" s="18">
        <v>336.28800000000001</v>
      </c>
      <c r="I46" s="39">
        <v>124.04138883603632</v>
      </c>
      <c r="J46" s="218">
        <f>'[11]CoS 2017 Load History'!O84</f>
        <v>481</v>
      </c>
      <c r="K46" s="18"/>
      <c r="L46" s="18"/>
      <c r="M46" s="33"/>
      <c r="N46"/>
      <c r="O46"/>
      <c r="P46"/>
      <c r="Q46"/>
      <c r="R46"/>
      <c r="S46"/>
      <c r="T46"/>
      <c r="U46"/>
      <c r="V46"/>
      <c r="W46"/>
      <c r="X46"/>
      <c r="Y46"/>
      <c r="Z46"/>
      <c r="AA46"/>
      <c r="AB46"/>
    </row>
    <row r="47" spans="1:28" s="35" customFormat="1" hidden="1">
      <c r="A47" s="34">
        <v>37506</v>
      </c>
      <c r="B47" s="90">
        <f>'[11]CoS 2017 Load History'!L85</f>
        <v>21763821.530000001</v>
      </c>
      <c r="C47" s="221">
        <f>'Weather Data'!B143</f>
        <v>143.5</v>
      </c>
      <c r="D47" s="221">
        <f>'Weather Data'!C143</f>
        <v>20.9</v>
      </c>
      <c r="E47" s="18">
        <v>30</v>
      </c>
      <c r="F47" s="18">
        <v>1</v>
      </c>
      <c r="G47" s="18">
        <v>0</v>
      </c>
      <c r="H47" s="18">
        <v>319.68</v>
      </c>
      <c r="I47" s="39">
        <v>124.40809893307186</v>
      </c>
      <c r="J47" s="218">
        <f>'[11]CoS 2017 Load History'!O85</f>
        <v>483</v>
      </c>
      <c r="K47" s="18"/>
      <c r="L47" s="18"/>
      <c r="M47" s="33"/>
      <c r="N47"/>
      <c r="O47"/>
      <c r="P47"/>
      <c r="Q47"/>
      <c r="R47"/>
      <c r="S47"/>
      <c r="T47"/>
      <c r="U47"/>
      <c r="V47"/>
      <c r="W47"/>
      <c r="X47"/>
      <c r="Y47"/>
      <c r="Z47"/>
      <c r="AA47"/>
      <c r="AB47"/>
    </row>
    <row r="48" spans="1:28" s="35" customFormat="1" hidden="1">
      <c r="A48" s="34">
        <v>37539</v>
      </c>
      <c r="B48" s="90">
        <f>'[11]CoS 2017 Load History'!L86</f>
        <v>23906576.679999992</v>
      </c>
      <c r="C48" s="221">
        <f>'Weather Data'!B144</f>
        <v>510.1</v>
      </c>
      <c r="D48" s="221">
        <f>'Weather Data'!C144</f>
        <v>0</v>
      </c>
      <c r="E48" s="18">
        <v>31</v>
      </c>
      <c r="F48" s="18">
        <v>1</v>
      </c>
      <c r="G48" s="18">
        <v>0</v>
      </c>
      <c r="H48" s="18">
        <v>351.91199999999998</v>
      </c>
      <c r="I48" s="39">
        <v>124.7758931544995</v>
      </c>
      <c r="J48" s="218">
        <f>'[11]CoS 2017 Load History'!O86</f>
        <v>488</v>
      </c>
      <c r="K48" s="18"/>
      <c r="L48" s="18"/>
      <c r="M48" s="33"/>
      <c r="N48"/>
      <c r="O48"/>
      <c r="P48"/>
      <c r="Q48"/>
      <c r="R48"/>
      <c r="S48"/>
      <c r="T48"/>
      <c r="U48"/>
      <c r="V48"/>
      <c r="W48"/>
      <c r="X48"/>
      <c r="Y48"/>
      <c r="Z48"/>
      <c r="AA48"/>
      <c r="AB48"/>
    </row>
    <row r="49" spans="1:28" s="35" customFormat="1" hidden="1">
      <c r="A49" s="34">
        <v>37572</v>
      </c>
      <c r="B49" s="90">
        <f>'[11]CoS 2017 Load History'!L87</f>
        <v>25919156.050000008</v>
      </c>
      <c r="C49" s="221">
        <f>'Weather Data'!B145</f>
        <v>668</v>
      </c>
      <c r="D49" s="221">
        <f>'Weather Data'!C145</f>
        <v>0</v>
      </c>
      <c r="E49" s="18">
        <v>30</v>
      </c>
      <c r="F49" s="18">
        <v>1</v>
      </c>
      <c r="G49" s="18">
        <v>0</v>
      </c>
      <c r="H49" s="18">
        <v>336.24</v>
      </c>
      <c r="I49" s="39">
        <v>125.14477470537335</v>
      </c>
      <c r="J49" s="218">
        <f>'[11]CoS 2017 Load History'!O87</f>
        <v>491</v>
      </c>
      <c r="K49" s="18"/>
      <c r="L49" s="18"/>
      <c r="M49" s="33"/>
      <c r="N49"/>
      <c r="O49"/>
      <c r="P49"/>
      <c r="Q49"/>
      <c r="R49"/>
      <c r="S49"/>
      <c r="T49"/>
      <c r="U49"/>
      <c r="V49"/>
      <c r="W49"/>
      <c r="X49"/>
      <c r="Y49"/>
      <c r="Z49"/>
      <c r="AA49"/>
      <c r="AB49"/>
    </row>
    <row r="50" spans="1:28" s="35" customFormat="1" hidden="1">
      <c r="A50" s="34">
        <v>37605</v>
      </c>
      <c r="B50" s="90">
        <f>'[11]CoS 2017 Load History'!L88</f>
        <v>27992722.820000011</v>
      </c>
      <c r="C50" s="221">
        <f>'Weather Data'!B146</f>
        <v>785.6</v>
      </c>
      <c r="D50" s="221">
        <f>'Weather Data'!C146</f>
        <v>0</v>
      </c>
      <c r="E50" s="18">
        <v>31</v>
      </c>
      <c r="F50" s="18">
        <v>0</v>
      </c>
      <c r="G50" s="18">
        <v>0</v>
      </c>
      <c r="H50" s="18">
        <v>319.92</v>
      </c>
      <c r="I50" s="39">
        <v>125.51474680022261</v>
      </c>
      <c r="J50" s="218">
        <f>'[11]CoS 2017 Load History'!O88</f>
        <v>488</v>
      </c>
      <c r="K50" s="18"/>
      <c r="L50" s="18"/>
      <c r="M50" s="33"/>
      <c r="N50"/>
      <c r="O50"/>
      <c r="P50"/>
      <c r="Q50"/>
      <c r="R50"/>
      <c r="S50"/>
      <c r="T50"/>
      <c r="U50"/>
      <c r="V50"/>
      <c r="W50"/>
      <c r="X50"/>
      <c r="Y50"/>
      <c r="Z50"/>
      <c r="AA50"/>
      <c r="AB50"/>
    </row>
    <row r="51" spans="1:28" s="35" customFormat="1" hidden="1">
      <c r="A51" s="34">
        <v>37622</v>
      </c>
      <c r="B51" s="90">
        <f>'[11]CoS 2017 Load History'!L89</f>
        <v>30247356.060000006</v>
      </c>
      <c r="C51" s="221">
        <f>'Weather Data'!B147</f>
        <v>907.4</v>
      </c>
      <c r="D51" s="221">
        <f>'Weather Data'!C147</f>
        <v>0</v>
      </c>
      <c r="E51" s="18">
        <v>31</v>
      </c>
      <c r="F51" s="18">
        <v>0</v>
      </c>
      <c r="G51" s="18">
        <v>0</v>
      </c>
      <c r="H51" s="18">
        <v>351.91199999999998</v>
      </c>
      <c r="I51" s="39">
        <v>125.66024937363977</v>
      </c>
      <c r="J51" s="218">
        <f>'[11]CoS 2017 Load History'!O89</f>
        <v>489</v>
      </c>
      <c r="K51" s="18"/>
      <c r="L51" s="18"/>
      <c r="M51" s="33"/>
      <c r="N51"/>
      <c r="O51"/>
      <c r="P51"/>
      <c r="Q51"/>
      <c r="R51"/>
      <c r="S51"/>
      <c r="T51"/>
      <c r="U51"/>
      <c r="V51"/>
      <c r="W51"/>
      <c r="X51"/>
      <c r="Y51"/>
      <c r="Z51"/>
      <c r="AA51"/>
      <c r="AB51"/>
    </row>
    <row r="52" spans="1:28" s="35" customFormat="1" hidden="1">
      <c r="A52" s="34">
        <v>37653</v>
      </c>
      <c r="B52" s="90">
        <f>'[11]CoS 2017 Load History'!L90</f>
        <v>28460283.130000003</v>
      </c>
      <c r="C52" s="221">
        <f>'Weather Data'!B148</f>
        <v>969.6</v>
      </c>
      <c r="D52" s="221">
        <f>'Weather Data'!C148</f>
        <v>0</v>
      </c>
      <c r="E52" s="18">
        <v>28</v>
      </c>
      <c r="F52" s="18">
        <v>0</v>
      </c>
      <c r="G52" s="18">
        <v>0</v>
      </c>
      <c r="H52" s="18">
        <v>319.87200000000001</v>
      </c>
      <c r="I52" s="39">
        <v>125.80592062045517</v>
      </c>
      <c r="J52" s="218">
        <f>'[11]CoS 2017 Load History'!O90</f>
        <v>492</v>
      </c>
      <c r="K52" s="18"/>
      <c r="L52" s="18"/>
      <c r="M52" s="33"/>
      <c r="N52"/>
      <c r="O52"/>
      <c r="P52"/>
      <c r="Q52"/>
      <c r="R52"/>
      <c r="S52"/>
      <c r="T52"/>
      <c r="U52"/>
      <c r="V52"/>
      <c r="W52"/>
      <c r="X52"/>
      <c r="Y52"/>
      <c r="Z52"/>
      <c r="AA52"/>
      <c r="AB52"/>
    </row>
    <row r="53" spans="1:28" s="35" customFormat="1" hidden="1">
      <c r="A53" s="34">
        <v>37681</v>
      </c>
      <c r="B53" s="90">
        <f>'[11]CoS 2017 Load History'!L91</f>
        <v>28715021.629999995</v>
      </c>
      <c r="C53" s="221">
        <f>'Weather Data'!B149</f>
        <v>765.1</v>
      </c>
      <c r="D53" s="221">
        <f>'Weather Data'!C149</f>
        <v>0</v>
      </c>
      <c r="E53" s="18">
        <v>31</v>
      </c>
      <c r="F53" s="18">
        <v>1</v>
      </c>
      <c r="G53" s="18">
        <v>0</v>
      </c>
      <c r="H53" s="18">
        <v>336.28800000000001</v>
      </c>
      <c r="I53" s="39">
        <v>125.9517607362029</v>
      </c>
      <c r="J53" s="218">
        <f>'[11]CoS 2017 Load History'!O91</f>
        <v>505</v>
      </c>
      <c r="K53" s="18"/>
      <c r="L53" s="18"/>
      <c r="M53" s="33"/>
      <c r="N53"/>
      <c r="O53"/>
      <c r="P53"/>
      <c r="Q53"/>
      <c r="R53"/>
      <c r="S53"/>
      <c r="T53"/>
      <c r="U53"/>
      <c r="V53"/>
      <c r="W53"/>
      <c r="X53"/>
      <c r="Y53"/>
      <c r="Z53"/>
      <c r="AA53"/>
      <c r="AB53"/>
    </row>
    <row r="54" spans="1:28" s="35" customFormat="1" hidden="1">
      <c r="A54" s="34">
        <v>37712</v>
      </c>
      <c r="B54" s="90">
        <f>'[11]CoS 2017 Load History'!L92</f>
        <v>23920979.839999989</v>
      </c>
      <c r="C54" s="221">
        <f>'Weather Data'!B150</f>
        <v>499.3</v>
      </c>
      <c r="D54" s="221">
        <f>'Weather Data'!C150</f>
        <v>0</v>
      </c>
      <c r="E54" s="18">
        <v>30</v>
      </c>
      <c r="F54" s="18">
        <v>1</v>
      </c>
      <c r="G54" s="18">
        <v>0</v>
      </c>
      <c r="H54" s="18">
        <v>336.24</v>
      </c>
      <c r="I54" s="39">
        <v>126.09776991664374</v>
      </c>
      <c r="J54" s="218">
        <f>'[11]CoS 2017 Load History'!O92</f>
        <v>499</v>
      </c>
      <c r="K54" s="18"/>
      <c r="L54" s="18"/>
      <c r="M54" s="33"/>
      <c r="N54"/>
      <c r="O54"/>
      <c r="P54"/>
      <c r="Q54"/>
      <c r="R54"/>
      <c r="S54"/>
      <c r="T54"/>
      <c r="U54"/>
      <c r="V54"/>
      <c r="W54"/>
      <c r="X54"/>
      <c r="Y54"/>
      <c r="Z54"/>
      <c r="AA54"/>
      <c r="AB54"/>
    </row>
    <row r="55" spans="1:28" s="35" customFormat="1" hidden="1">
      <c r="A55" s="34">
        <v>37742</v>
      </c>
      <c r="B55" s="90">
        <f>'[11]CoS 2017 Load History'!L93</f>
        <v>22761853.509999983</v>
      </c>
      <c r="C55" s="221">
        <f>'Weather Data'!B151</f>
        <v>276.39999999999998</v>
      </c>
      <c r="D55" s="221">
        <f>'Weather Data'!C151</f>
        <v>0</v>
      </c>
      <c r="E55" s="18">
        <v>31</v>
      </c>
      <c r="F55" s="18">
        <v>1</v>
      </c>
      <c r="G55" s="18">
        <v>0</v>
      </c>
      <c r="H55" s="18">
        <v>336.28800000000001</v>
      </c>
      <c r="I55" s="39">
        <v>126.2439483577654</v>
      </c>
      <c r="J55" s="218">
        <f>'[11]CoS 2017 Load History'!O93</f>
        <v>499</v>
      </c>
      <c r="K55" s="18"/>
      <c r="L55" s="18"/>
      <c r="M55" s="33"/>
      <c r="N55"/>
      <c r="O55"/>
      <c r="P55"/>
      <c r="Q55"/>
      <c r="R55"/>
      <c r="S55"/>
      <c r="T55"/>
      <c r="U55"/>
      <c r="V55"/>
      <c r="W55"/>
      <c r="X55"/>
      <c r="Y55"/>
      <c r="Z55"/>
      <c r="AA55"/>
      <c r="AB55"/>
    </row>
    <row r="56" spans="1:28" s="35" customFormat="1" hidden="1">
      <c r="A56" s="34">
        <v>37773</v>
      </c>
      <c r="B56" s="90">
        <f>'[11]CoS 2017 Load History'!L94</f>
        <v>21516931.129999999</v>
      </c>
      <c r="C56" s="221">
        <f>'Weather Data'!B152</f>
        <v>129.30000000000001</v>
      </c>
      <c r="D56" s="221">
        <f>'Weather Data'!C152</f>
        <v>0</v>
      </c>
      <c r="E56" s="18">
        <v>30</v>
      </c>
      <c r="F56" s="18">
        <v>0</v>
      </c>
      <c r="G56" s="18">
        <v>0</v>
      </c>
      <c r="H56" s="18">
        <v>336.24</v>
      </c>
      <c r="I56" s="39">
        <v>126.3902962557828</v>
      </c>
      <c r="J56" s="218">
        <f>'[11]CoS 2017 Load History'!O94</f>
        <v>503</v>
      </c>
      <c r="K56" s="18"/>
      <c r="L56" s="18"/>
      <c r="M56" s="33"/>
      <c r="N56"/>
      <c r="O56"/>
      <c r="P56"/>
      <c r="Q56"/>
      <c r="R56"/>
      <c r="S56"/>
      <c r="T56"/>
      <c r="U56"/>
      <c r="V56"/>
      <c r="W56"/>
      <c r="X56"/>
      <c r="Y56"/>
      <c r="Z56"/>
      <c r="AA56"/>
      <c r="AB56"/>
    </row>
    <row r="57" spans="1:28" s="35" customFormat="1" hidden="1">
      <c r="A57" s="34">
        <v>37803</v>
      </c>
      <c r="B57" s="90">
        <f>'[11]CoS 2017 Load History'!L95</f>
        <v>22581221.450000003</v>
      </c>
      <c r="C57" s="221">
        <f>'Weather Data'!B153</f>
        <v>29.9</v>
      </c>
      <c r="D57" s="221">
        <f>'Weather Data'!C153</f>
        <v>18.2</v>
      </c>
      <c r="E57" s="18">
        <v>31</v>
      </c>
      <c r="F57" s="18">
        <v>0</v>
      </c>
      <c r="G57" s="18">
        <v>0</v>
      </c>
      <c r="H57" s="18">
        <v>351.91199999999998</v>
      </c>
      <c r="I57" s="39">
        <v>126.5368138071383</v>
      </c>
      <c r="J57" s="218">
        <f>'[11]CoS 2017 Load History'!O95</f>
        <v>500</v>
      </c>
      <c r="K57" s="18"/>
      <c r="L57" s="18"/>
      <c r="M57" s="33"/>
      <c r="N57"/>
      <c r="O57"/>
      <c r="P57"/>
      <c r="Q57"/>
      <c r="R57"/>
      <c r="S57"/>
      <c r="T57"/>
      <c r="U57"/>
      <c r="V57"/>
      <c r="W57"/>
      <c r="X57"/>
      <c r="Y57"/>
      <c r="Z57"/>
      <c r="AA57"/>
      <c r="AB57"/>
    </row>
    <row r="58" spans="1:28" s="35" customFormat="1" hidden="1">
      <c r="A58" s="34">
        <v>37834</v>
      </c>
      <c r="B58" s="90">
        <f>'[11]CoS 2017 Load History'!L96</f>
        <v>22725768.199999981</v>
      </c>
      <c r="C58" s="221">
        <f>'Weather Data'!B154</f>
        <v>35.6</v>
      </c>
      <c r="D58" s="221">
        <f>'Weather Data'!C154</f>
        <v>50.9</v>
      </c>
      <c r="E58" s="18">
        <v>31</v>
      </c>
      <c r="F58" s="18">
        <v>0</v>
      </c>
      <c r="G58" s="18">
        <v>0</v>
      </c>
      <c r="H58" s="18">
        <v>319.92</v>
      </c>
      <c r="I58" s="39">
        <v>126.68350120850199</v>
      </c>
      <c r="J58" s="218">
        <f>'[11]CoS 2017 Load History'!O96</f>
        <v>499</v>
      </c>
      <c r="K58" s="18"/>
      <c r="L58" s="18"/>
      <c r="M58" s="33"/>
      <c r="N58"/>
      <c r="O58"/>
      <c r="P58"/>
      <c r="Q58"/>
      <c r="R58"/>
      <c r="S58"/>
      <c r="T58"/>
      <c r="U58"/>
      <c r="V58"/>
      <c r="W58"/>
      <c r="X58"/>
      <c r="Y58"/>
      <c r="Z58"/>
      <c r="AA58"/>
      <c r="AB58"/>
    </row>
    <row r="59" spans="1:28" s="35" customFormat="1" hidden="1">
      <c r="A59" s="34">
        <v>37865</v>
      </c>
      <c r="B59" s="90">
        <f>'[11]CoS 2017 Load History'!L97</f>
        <v>22003813.639999993</v>
      </c>
      <c r="C59" s="221">
        <f>'Weather Data'!B155</f>
        <v>164</v>
      </c>
      <c r="D59" s="221">
        <f>'Weather Data'!C155</f>
        <v>6.7</v>
      </c>
      <c r="E59" s="18">
        <v>30</v>
      </c>
      <c r="F59" s="18">
        <v>1</v>
      </c>
      <c r="G59" s="18">
        <v>0</v>
      </c>
      <c r="H59" s="18">
        <v>336.24</v>
      </c>
      <c r="I59" s="39">
        <v>126.83035865677196</v>
      </c>
      <c r="J59" s="218">
        <f>'[11]CoS 2017 Load History'!O97</f>
        <v>503</v>
      </c>
      <c r="K59" s="18"/>
      <c r="L59" s="18"/>
      <c r="M59" s="33"/>
      <c r="N59"/>
      <c r="O59"/>
      <c r="P59"/>
      <c r="Q59"/>
      <c r="R59"/>
      <c r="S59"/>
      <c r="T59"/>
      <c r="U59"/>
      <c r="V59"/>
      <c r="W59"/>
      <c r="X59"/>
      <c r="Y59"/>
      <c r="Z59"/>
      <c r="AA59"/>
      <c r="AB59"/>
    </row>
    <row r="60" spans="1:28" s="35" customFormat="1" hidden="1">
      <c r="A60" s="34">
        <v>37895</v>
      </c>
      <c r="B60" s="90">
        <f>'[11]CoS 2017 Load History'!L98</f>
        <v>24158122.459999993</v>
      </c>
      <c r="C60" s="221">
        <f>'Weather Data'!B156</f>
        <v>414.2</v>
      </c>
      <c r="D60" s="221">
        <f>'Weather Data'!C156</f>
        <v>0</v>
      </c>
      <c r="E60" s="18">
        <v>31</v>
      </c>
      <c r="F60" s="18">
        <v>1</v>
      </c>
      <c r="G60" s="18">
        <v>0</v>
      </c>
      <c r="H60" s="18">
        <v>351.91199999999998</v>
      </c>
      <c r="I60" s="39">
        <v>126.97738634907456</v>
      </c>
      <c r="J60" s="218">
        <f>'[11]CoS 2017 Load History'!O98</f>
        <v>499</v>
      </c>
      <c r="K60" s="18"/>
      <c r="L60" s="18"/>
      <c r="M60" s="33"/>
      <c r="N60"/>
      <c r="O60"/>
      <c r="P60"/>
      <c r="Q60"/>
      <c r="R60"/>
      <c r="S60"/>
      <c r="T60"/>
      <c r="U60"/>
      <c r="V60"/>
      <c r="W60"/>
      <c r="X60"/>
      <c r="Y60"/>
      <c r="Z60"/>
      <c r="AA60"/>
      <c r="AB60"/>
    </row>
    <row r="61" spans="1:28" s="35" customFormat="1" hidden="1">
      <c r="A61" s="34">
        <v>37926</v>
      </c>
      <c r="B61" s="90">
        <f>'[11]CoS 2017 Load History'!L99</f>
        <v>25919367.380000006</v>
      </c>
      <c r="C61" s="221">
        <f>'Weather Data'!B157</f>
        <v>632.9</v>
      </c>
      <c r="D61" s="221">
        <f>'Weather Data'!C157</f>
        <v>0</v>
      </c>
      <c r="E61" s="18">
        <v>30</v>
      </c>
      <c r="F61" s="18">
        <v>1</v>
      </c>
      <c r="G61" s="18">
        <v>0</v>
      </c>
      <c r="H61" s="18">
        <v>319.68</v>
      </c>
      <c r="I61" s="39">
        <v>127.12458448276465</v>
      </c>
      <c r="J61" s="218">
        <f>'[11]CoS 2017 Load History'!O99</f>
        <v>500</v>
      </c>
      <c r="K61" s="18"/>
      <c r="L61" s="18"/>
      <c r="M61" s="33"/>
      <c r="N61"/>
      <c r="O61"/>
      <c r="P61"/>
      <c r="Q61"/>
      <c r="R61"/>
      <c r="S61"/>
      <c r="T61"/>
      <c r="U61"/>
      <c r="V61"/>
      <c r="W61"/>
      <c r="X61"/>
      <c r="Y61"/>
      <c r="Z61"/>
      <c r="AA61"/>
      <c r="AB61"/>
    </row>
    <row r="62" spans="1:28" s="35" customFormat="1" hidden="1">
      <c r="A62" s="34">
        <v>37956</v>
      </c>
      <c r="B62" s="90">
        <f>'[11]CoS 2017 Load History'!L100</f>
        <v>27963038.760000017</v>
      </c>
      <c r="C62" s="221">
        <f>'Weather Data'!B158</f>
        <v>785.9</v>
      </c>
      <c r="D62" s="221">
        <f>'Weather Data'!C158</f>
        <v>0</v>
      </c>
      <c r="E62" s="18">
        <v>31</v>
      </c>
      <c r="F62" s="18">
        <v>0</v>
      </c>
      <c r="G62" s="18">
        <v>0</v>
      </c>
      <c r="H62" s="18">
        <v>336.28800000000001</v>
      </c>
      <c r="I62" s="39">
        <v>127.27195325542573</v>
      </c>
      <c r="J62" s="218">
        <f>'[11]CoS 2017 Load History'!O100</f>
        <v>501</v>
      </c>
      <c r="K62" s="18"/>
      <c r="L62" s="18"/>
      <c r="M62" s="33"/>
      <c r="N62"/>
      <c r="O62"/>
      <c r="P62"/>
      <c r="Q62"/>
      <c r="R62"/>
      <c r="S62"/>
      <c r="T62"/>
      <c r="U62"/>
      <c r="V62"/>
      <c r="W62"/>
      <c r="X62"/>
      <c r="Y62"/>
      <c r="Z62"/>
      <c r="AA62"/>
      <c r="AB62"/>
    </row>
    <row r="63" spans="1:28" s="35" customFormat="1" hidden="1">
      <c r="A63" s="34">
        <v>37987</v>
      </c>
      <c r="B63" s="90">
        <f>'[11]CoS 2017 Load History'!L101</f>
        <v>30937974.93</v>
      </c>
      <c r="C63" s="221">
        <f>'Weather Data'!B159</f>
        <v>1140.5999999999999</v>
      </c>
      <c r="D63" s="221">
        <f>'Weather Data'!C159</f>
        <v>0</v>
      </c>
      <c r="E63" s="18">
        <v>31</v>
      </c>
      <c r="F63" s="18">
        <v>0</v>
      </c>
      <c r="G63" s="18">
        <v>0</v>
      </c>
      <c r="H63" s="18">
        <v>336.28800000000001</v>
      </c>
      <c r="I63" s="39">
        <v>127.53411264087498</v>
      </c>
      <c r="J63" s="218">
        <f>'[11]CoS 2017 Load History'!O101</f>
        <v>499</v>
      </c>
      <c r="K63" s="18"/>
      <c r="L63" s="18"/>
      <c r="M63" s="33"/>
      <c r="N63"/>
      <c r="O63"/>
      <c r="P63"/>
      <c r="Q63"/>
      <c r="R63"/>
      <c r="S63"/>
      <c r="T63"/>
      <c r="U63"/>
      <c r="V63"/>
      <c r="W63"/>
      <c r="X63"/>
      <c r="Y63"/>
      <c r="Z63"/>
      <c r="AA63"/>
      <c r="AB63"/>
    </row>
    <row r="64" spans="1:28" s="35" customFormat="1" hidden="1">
      <c r="A64" s="34">
        <v>38018</v>
      </c>
      <c r="B64" s="90">
        <f>'[11]CoS 2017 Load History'!L102</f>
        <v>27306089.359999992</v>
      </c>
      <c r="C64" s="221">
        <f>'Weather Data'!B160</f>
        <v>778.3</v>
      </c>
      <c r="D64" s="221">
        <f>'Weather Data'!C160</f>
        <v>0</v>
      </c>
      <c r="E64" s="18">
        <v>29</v>
      </c>
      <c r="F64" s="18">
        <v>0</v>
      </c>
      <c r="G64" s="18">
        <v>0</v>
      </c>
      <c r="H64" s="18">
        <v>320.16000000000003</v>
      </c>
      <c r="I64" s="39">
        <v>127.79681203173486</v>
      </c>
      <c r="J64" s="218">
        <f>'[11]CoS 2017 Load History'!O102</f>
        <v>486</v>
      </c>
      <c r="K64" s="18"/>
      <c r="L64" s="18"/>
      <c r="M64" s="33"/>
      <c r="N64"/>
      <c r="O64"/>
      <c r="P64"/>
      <c r="Q64"/>
      <c r="R64"/>
      <c r="S64"/>
      <c r="T64"/>
      <c r="U64"/>
      <c r="V64"/>
      <c r="W64"/>
      <c r="X64"/>
      <c r="Y64"/>
      <c r="Z64"/>
      <c r="AA64"/>
      <c r="AB64"/>
    </row>
    <row r="65" spans="1:47" s="35" customFormat="1" hidden="1">
      <c r="A65" s="34">
        <v>38047</v>
      </c>
      <c r="B65" s="90">
        <f>'[11]CoS 2017 Load History'!L103</f>
        <v>26515207.210000012</v>
      </c>
      <c r="C65" s="221">
        <f>'Weather Data'!B161</f>
        <v>684.3</v>
      </c>
      <c r="D65" s="221">
        <f>'Weather Data'!C161</f>
        <v>0</v>
      </c>
      <c r="E65" s="18">
        <v>31</v>
      </c>
      <c r="F65" s="18">
        <v>1</v>
      </c>
      <c r="G65" s="18">
        <v>0</v>
      </c>
      <c r="H65" s="18">
        <v>368.28</v>
      </c>
      <c r="I65" s="39">
        <v>128.06005254032812</v>
      </c>
      <c r="J65" s="218">
        <f>'[11]CoS 2017 Load History'!O103</f>
        <v>460</v>
      </c>
      <c r="K65" s="18"/>
      <c r="L65" s="18"/>
      <c r="M65" s="33"/>
      <c r="N65"/>
      <c r="O65"/>
      <c r="P65"/>
      <c r="Q65"/>
      <c r="R65"/>
      <c r="S65"/>
      <c r="T65"/>
      <c r="U65"/>
      <c r="V65"/>
      <c r="W65"/>
      <c r="X65"/>
      <c r="Y65"/>
      <c r="Z65"/>
      <c r="AA65"/>
      <c r="AB65"/>
    </row>
    <row r="66" spans="1:47" s="35" customFormat="1" hidden="1">
      <c r="A66" s="34">
        <v>38078</v>
      </c>
      <c r="B66" s="90">
        <f>'[11]CoS 2017 Load History'!L104</f>
        <v>23016461.999999993</v>
      </c>
      <c r="C66" s="221">
        <f>'Weather Data'!B162</f>
        <v>472.4</v>
      </c>
      <c r="D66" s="221">
        <f>'Weather Data'!C162</f>
        <v>0</v>
      </c>
      <c r="E66" s="18">
        <v>30</v>
      </c>
      <c r="F66" s="18">
        <v>1</v>
      </c>
      <c r="G66" s="18">
        <v>0</v>
      </c>
      <c r="H66" s="18">
        <v>336.24</v>
      </c>
      <c r="I66" s="39">
        <v>128.32383528126866</v>
      </c>
      <c r="J66" s="218">
        <f>'[11]CoS 2017 Load History'!O104</f>
        <v>457</v>
      </c>
      <c r="K66" s="18"/>
      <c r="L66" s="18"/>
      <c r="M66" s="33"/>
      <c r="N66"/>
      <c r="O66"/>
      <c r="P66"/>
      <c r="Q66"/>
      <c r="R66"/>
      <c r="S66"/>
      <c r="T66"/>
      <c r="U66"/>
      <c r="V66"/>
      <c r="W66"/>
      <c r="X66"/>
      <c r="Y66"/>
      <c r="Z66"/>
      <c r="AA66"/>
      <c r="AB66"/>
    </row>
    <row r="67" spans="1:47" s="35" customFormat="1" hidden="1">
      <c r="A67" s="34">
        <v>38108</v>
      </c>
      <c r="B67" s="90">
        <f>'[11]CoS 2017 Load History'!L105</f>
        <v>21892354.059999995</v>
      </c>
      <c r="C67" s="221">
        <f>'Weather Data'!B163</f>
        <v>333.2</v>
      </c>
      <c r="D67" s="221">
        <f>'Weather Data'!C163</f>
        <v>0</v>
      </c>
      <c r="E67" s="18">
        <v>31</v>
      </c>
      <c r="F67" s="18">
        <v>1</v>
      </c>
      <c r="G67" s="18">
        <v>0</v>
      </c>
      <c r="H67" s="18">
        <v>319.92</v>
      </c>
      <c r="I67" s="39">
        <v>128.58816137146633</v>
      </c>
      <c r="J67" s="218">
        <f>'[11]CoS 2017 Load History'!O105</f>
        <v>459</v>
      </c>
      <c r="K67" s="18"/>
      <c r="L67" s="18"/>
      <c r="M67" s="33"/>
      <c r="N67"/>
      <c r="O67"/>
      <c r="P67"/>
      <c r="Q67"/>
      <c r="R67"/>
      <c r="S67"/>
      <c r="T67"/>
      <c r="U67"/>
      <c r="V67"/>
      <c r="W67"/>
      <c r="X67"/>
      <c r="Y67"/>
      <c r="Z67"/>
      <c r="AA67"/>
      <c r="AB67"/>
    </row>
    <row r="68" spans="1:47" s="35" customFormat="1" hidden="1">
      <c r="A68" s="34">
        <v>38139</v>
      </c>
      <c r="B68" s="90">
        <f>'[11]CoS 2017 Load History'!L106</f>
        <v>20420158.799999997</v>
      </c>
      <c r="C68" s="221">
        <f>'Weather Data'!B164</f>
        <v>145.80000000000001</v>
      </c>
      <c r="D68" s="221">
        <f>'Weather Data'!C164</f>
        <v>3.1</v>
      </c>
      <c r="E68" s="18">
        <v>30</v>
      </c>
      <c r="F68" s="18">
        <v>0</v>
      </c>
      <c r="G68" s="18">
        <v>0</v>
      </c>
      <c r="H68" s="18">
        <v>352.08</v>
      </c>
      <c r="I68" s="39">
        <v>128.85303193013166</v>
      </c>
      <c r="J68" s="218">
        <f>'[11]CoS 2017 Load History'!O106</f>
        <v>459</v>
      </c>
      <c r="K68" s="18"/>
      <c r="L68" s="18"/>
      <c r="M68" s="33"/>
      <c r="N68"/>
      <c r="O68"/>
      <c r="P68"/>
      <c r="Q68"/>
      <c r="R68"/>
      <c r="S68"/>
      <c r="T68"/>
      <c r="U68"/>
      <c r="V68"/>
      <c r="W68"/>
      <c r="X68"/>
      <c r="Y68"/>
      <c r="Z68"/>
      <c r="AA68"/>
      <c r="AB68"/>
    </row>
    <row r="69" spans="1:47" s="35" customFormat="1" hidden="1">
      <c r="A69" s="34">
        <v>38169</v>
      </c>
      <c r="B69" s="90">
        <f>'[11]CoS 2017 Load History'!L107</f>
        <v>21540775.229999993</v>
      </c>
      <c r="C69" s="221">
        <f>'Weather Data'!B165</f>
        <v>67.400000000000006</v>
      </c>
      <c r="D69" s="221">
        <f>'Weather Data'!C165</f>
        <v>22</v>
      </c>
      <c r="E69" s="18">
        <v>31</v>
      </c>
      <c r="F69" s="18">
        <v>0</v>
      </c>
      <c r="G69" s="18">
        <v>0</v>
      </c>
      <c r="H69" s="18">
        <v>336.28800000000001</v>
      </c>
      <c r="I69" s="39">
        <v>129.11844807878055</v>
      </c>
      <c r="J69" s="218">
        <f>'[11]CoS 2017 Load History'!O107</f>
        <v>461</v>
      </c>
      <c r="K69" s="18"/>
      <c r="L69" s="18"/>
      <c r="M69" s="33"/>
      <c r="N69"/>
      <c r="O69"/>
      <c r="P69"/>
      <c r="Q69"/>
      <c r="R69"/>
      <c r="S69"/>
      <c r="T69"/>
      <c r="U69"/>
      <c r="V69"/>
      <c r="W69"/>
      <c r="X69"/>
      <c r="Y69"/>
      <c r="Z69"/>
      <c r="AA69"/>
      <c r="AB69"/>
    </row>
    <row r="70" spans="1:47" s="35" customFormat="1" hidden="1">
      <c r="A70" s="34">
        <v>38200</v>
      </c>
      <c r="B70" s="90">
        <f>'[11]CoS 2017 Load History'!L108</f>
        <v>21313848.719999999</v>
      </c>
      <c r="C70" s="221">
        <f>'Weather Data'!B166</f>
        <v>123</v>
      </c>
      <c r="D70" s="221">
        <f>'Weather Data'!C166</f>
        <v>1.8</v>
      </c>
      <c r="E70" s="18">
        <v>31</v>
      </c>
      <c r="F70" s="18">
        <v>0</v>
      </c>
      <c r="G70" s="18">
        <v>0</v>
      </c>
      <c r="H70" s="18">
        <v>336.28800000000001</v>
      </c>
      <c r="I70" s="39">
        <v>129.38441094123903</v>
      </c>
      <c r="J70" s="218">
        <f>'[11]CoS 2017 Load History'!O108</f>
        <v>463</v>
      </c>
      <c r="K70" s="18"/>
      <c r="L70" s="18"/>
      <c r="M70" s="33"/>
      <c r="N70"/>
      <c r="O70"/>
      <c r="P70"/>
      <c r="Q70"/>
      <c r="R70"/>
      <c r="S70"/>
      <c r="T70"/>
      <c r="U70"/>
      <c r="V70"/>
      <c r="W70"/>
      <c r="X70"/>
      <c r="Y70"/>
      <c r="Z70"/>
      <c r="AA70"/>
      <c r="AB70"/>
    </row>
    <row r="71" spans="1:47" s="35" customFormat="1" hidden="1">
      <c r="A71" s="34">
        <v>38231</v>
      </c>
      <c r="B71" s="90">
        <f>'[11]CoS 2017 Load History'!L109</f>
        <v>21313093.559999991</v>
      </c>
      <c r="C71" s="221">
        <f>'Weather Data'!B167</f>
        <v>132.9</v>
      </c>
      <c r="D71" s="221">
        <f>'Weather Data'!C167</f>
        <v>4.7</v>
      </c>
      <c r="E71" s="18">
        <v>30</v>
      </c>
      <c r="F71" s="18">
        <v>1</v>
      </c>
      <c r="G71" s="18">
        <v>0</v>
      </c>
      <c r="H71" s="18">
        <v>336.24</v>
      </c>
      <c r="I71" s="39">
        <v>129.65092164364802</v>
      </c>
      <c r="J71" s="218">
        <f>'[11]CoS 2017 Load History'!O109</f>
        <v>466</v>
      </c>
      <c r="K71" s="18"/>
      <c r="L71" s="18"/>
      <c r="M71" s="33"/>
      <c r="N71"/>
      <c r="O71"/>
      <c r="P71"/>
      <c r="Q71"/>
      <c r="R71"/>
      <c r="S71"/>
      <c r="T71"/>
      <c r="U71"/>
      <c r="V71"/>
      <c r="W71"/>
      <c r="X71"/>
      <c r="Y71"/>
      <c r="Z71"/>
      <c r="AA71"/>
      <c r="AB71"/>
    </row>
    <row r="72" spans="1:47" s="35" customFormat="1" hidden="1">
      <c r="A72" s="34">
        <v>38261</v>
      </c>
      <c r="B72" s="90">
        <f>'[11]CoS 2017 Load History'!L110</f>
        <v>22910607.509999979</v>
      </c>
      <c r="C72" s="221">
        <f>'Weather Data'!B168</f>
        <v>372.7</v>
      </c>
      <c r="D72" s="221">
        <f>'Weather Data'!C168</f>
        <v>0</v>
      </c>
      <c r="E72" s="18">
        <v>31</v>
      </c>
      <c r="F72" s="18">
        <v>1</v>
      </c>
      <c r="G72" s="18">
        <v>0</v>
      </c>
      <c r="H72" s="18">
        <v>319.92</v>
      </c>
      <c r="I72" s="39">
        <v>129.91798131446814</v>
      </c>
      <c r="J72" s="218">
        <f>'[11]CoS 2017 Load History'!O110</f>
        <v>465</v>
      </c>
      <c r="K72" s="18"/>
      <c r="L72" s="18"/>
      <c r="M72" s="33"/>
      <c r="N72"/>
      <c r="O72"/>
      <c r="P72"/>
      <c r="Q72"/>
      <c r="R72"/>
      <c r="S72"/>
      <c r="T72"/>
      <c r="U72"/>
      <c r="V72"/>
      <c r="W72"/>
      <c r="X72"/>
      <c r="Y72"/>
      <c r="Z72"/>
      <c r="AA72"/>
      <c r="AB72"/>
    </row>
    <row r="73" spans="1:47" s="35" customFormat="1" hidden="1">
      <c r="A73" s="34">
        <v>38292</v>
      </c>
      <c r="B73" s="90">
        <f>'[11]CoS 2017 Load History'!L111</f>
        <v>24309383.419999991</v>
      </c>
      <c r="C73" s="221">
        <f>'Weather Data'!B169</f>
        <v>554.9</v>
      </c>
      <c r="D73" s="221">
        <f>'Weather Data'!C169</f>
        <v>0</v>
      </c>
      <c r="E73" s="18">
        <v>30</v>
      </c>
      <c r="F73" s="18">
        <v>1</v>
      </c>
      <c r="G73" s="18">
        <v>0</v>
      </c>
      <c r="H73" s="18">
        <v>352.08</v>
      </c>
      <c r="I73" s="39">
        <v>130.18559108448443</v>
      </c>
      <c r="J73" s="218">
        <f>'[11]CoS 2017 Load History'!O111</f>
        <v>465</v>
      </c>
      <c r="K73" s="18"/>
      <c r="L73" s="18"/>
      <c r="M73" s="33"/>
      <c r="N73"/>
      <c r="O73"/>
      <c r="P73"/>
      <c r="Q73"/>
      <c r="R73"/>
      <c r="S73"/>
      <c r="T73"/>
      <c r="U73"/>
      <c r="V73"/>
      <c r="W73"/>
      <c r="X73"/>
      <c r="Y73"/>
      <c r="Z73"/>
      <c r="AA73"/>
      <c r="AB73"/>
    </row>
    <row r="74" spans="1:47" s="35" customFormat="1" hidden="1">
      <c r="A74" s="34">
        <v>38322</v>
      </c>
      <c r="B74" s="90">
        <f>'[11]CoS 2017 Load History'!L112</f>
        <v>28308962.869999982</v>
      </c>
      <c r="C74" s="221">
        <f>'Weather Data'!B170</f>
        <v>926.6</v>
      </c>
      <c r="D74" s="221">
        <f>'Weather Data'!C170</f>
        <v>0</v>
      </c>
      <c r="E74" s="18">
        <v>31</v>
      </c>
      <c r="F74" s="18">
        <v>0</v>
      </c>
      <c r="G74" s="18">
        <v>0</v>
      </c>
      <c r="H74" s="18">
        <v>336.28800000000001</v>
      </c>
      <c r="I74" s="39">
        <v>130.45375208681136</v>
      </c>
      <c r="J74" s="218">
        <f>'[11]CoS 2017 Load History'!O112</f>
        <v>464</v>
      </c>
      <c r="K74" s="18"/>
      <c r="L74" s="18"/>
      <c r="M74" s="33"/>
      <c r="N74"/>
      <c r="O74"/>
      <c r="P74"/>
      <c r="Q74"/>
      <c r="R74"/>
      <c r="S74"/>
      <c r="T74"/>
      <c r="U74"/>
      <c r="V74"/>
      <c r="W74"/>
      <c r="X74"/>
      <c r="Y74"/>
      <c r="Z74"/>
      <c r="AA74"/>
      <c r="AB74"/>
    </row>
    <row r="75" spans="1:47" s="35" customFormat="1" hidden="1">
      <c r="A75" s="34">
        <v>38353</v>
      </c>
      <c r="B75" s="90">
        <f>'[11]CoS 2017 Load History'!L113</f>
        <v>29981056.320000004</v>
      </c>
      <c r="C75" s="221">
        <f>'Weather Data'!B171</f>
        <v>1084.3</v>
      </c>
      <c r="D75" s="221">
        <f>'Weather Data'!C171</f>
        <v>0</v>
      </c>
      <c r="E75" s="18">
        <v>31</v>
      </c>
      <c r="F75" s="18">
        <v>0</v>
      </c>
      <c r="G75" s="18">
        <v>0</v>
      </c>
      <c r="H75" s="18">
        <v>319.92</v>
      </c>
      <c r="I75" s="39">
        <v>130.74370215685079</v>
      </c>
      <c r="J75" s="218">
        <f>'[11]CoS 2017 Load History'!O113</f>
        <v>466</v>
      </c>
      <c r="K75" s="18"/>
      <c r="L75" s="18"/>
      <c r="M75" s="33"/>
      <c r="N75"/>
      <c r="O75"/>
      <c r="P75"/>
      <c r="Q75"/>
      <c r="R75"/>
      <c r="S75"/>
      <c r="T75"/>
      <c r="U75"/>
      <c r="V75"/>
      <c r="W75"/>
      <c r="X75"/>
      <c r="Y75"/>
      <c r="Z75"/>
      <c r="AA75"/>
      <c r="AB75"/>
    </row>
    <row r="76" spans="1:47" s="97" customFormat="1" hidden="1">
      <c r="A76" s="34">
        <v>38384</v>
      </c>
      <c r="B76" s="90">
        <f>'[11]CoS 2017 Load History'!L114</f>
        <v>26021216.539999973</v>
      </c>
      <c r="C76" s="221">
        <f>'Weather Data'!B172</f>
        <v>755.9</v>
      </c>
      <c r="D76" s="221">
        <f>'Weather Data'!C172</f>
        <v>0</v>
      </c>
      <c r="E76" s="18">
        <v>28</v>
      </c>
      <c r="F76" s="18">
        <v>0</v>
      </c>
      <c r="G76" s="18">
        <v>0</v>
      </c>
      <c r="H76" s="18">
        <v>319.87200000000001</v>
      </c>
      <c r="I76" s="39">
        <v>131.0342966778299</v>
      </c>
      <c r="J76" s="218">
        <f>'[11]CoS 2017 Load History'!O114</f>
        <v>466</v>
      </c>
      <c r="K76" s="18"/>
      <c r="L76" s="18"/>
      <c r="M76" s="33"/>
      <c r="N76"/>
      <c r="O76"/>
      <c r="P76"/>
      <c r="Q76"/>
      <c r="R76"/>
      <c r="S76"/>
      <c r="T76"/>
      <c r="U76"/>
      <c r="V76"/>
      <c r="W76"/>
      <c r="X76"/>
      <c r="Y76"/>
      <c r="Z76"/>
      <c r="AA76"/>
      <c r="AB76"/>
      <c r="AC76" s="35"/>
      <c r="AD76" s="35"/>
      <c r="AE76" s="35"/>
      <c r="AF76" s="35"/>
      <c r="AG76" s="35"/>
      <c r="AH76" s="35"/>
      <c r="AI76" s="35"/>
      <c r="AJ76" s="35"/>
      <c r="AK76" s="35"/>
      <c r="AL76" s="35"/>
      <c r="AM76" s="35"/>
      <c r="AN76" s="35"/>
      <c r="AO76" s="35"/>
      <c r="AP76" s="35"/>
      <c r="AQ76" s="35"/>
      <c r="AR76" s="35"/>
      <c r="AS76" s="35"/>
      <c r="AT76" s="35"/>
      <c r="AU76" s="35"/>
    </row>
    <row r="77" spans="1:47" s="35" customFormat="1" hidden="1">
      <c r="A77" s="34">
        <v>38412</v>
      </c>
      <c r="B77" s="90">
        <f>'[11]CoS 2017 Load History'!L115</f>
        <v>27186436.039999992</v>
      </c>
      <c r="C77" s="221">
        <f>'Weather Data'!B173</f>
        <v>814.1</v>
      </c>
      <c r="D77" s="221">
        <f>'Weather Data'!C173</f>
        <v>0</v>
      </c>
      <c r="E77" s="18">
        <v>31</v>
      </c>
      <c r="F77" s="18">
        <v>1</v>
      </c>
      <c r="G77" s="18">
        <v>0</v>
      </c>
      <c r="H77" s="18">
        <v>351.91199999999998</v>
      </c>
      <c r="I77" s="39">
        <v>131.32553708212293</v>
      </c>
      <c r="J77" s="218">
        <f>'[11]CoS 2017 Load History'!O115</f>
        <v>487</v>
      </c>
      <c r="K77" s="18"/>
      <c r="L77" s="18"/>
      <c r="M77" s="33"/>
      <c r="N77"/>
      <c r="O77"/>
      <c r="P77"/>
      <c r="Q77"/>
      <c r="R77"/>
      <c r="S77"/>
      <c r="T77"/>
      <c r="U77"/>
      <c r="V77"/>
      <c r="W77"/>
      <c r="X77"/>
      <c r="Y77"/>
      <c r="Z77"/>
      <c r="AA77"/>
      <c r="AB77"/>
    </row>
    <row r="78" spans="1:47" s="35" customFormat="1" hidden="1">
      <c r="A78" s="34">
        <v>38443</v>
      </c>
      <c r="B78" s="90">
        <f>'[11]CoS 2017 Load History'!L116</f>
        <v>23539059.55999998</v>
      </c>
      <c r="C78" s="221">
        <f>'Weather Data'!B174</f>
        <v>408.1</v>
      </c>
      <c r="D78" s="221">
        <f>'Weather Data'!C174</f>
        <v>0</v>
      </c>
      <c r="E78" s="18">
        <v>30</v>
      </c>
      <c r="F78" s="18">
        <v>1</v>
      </c>
      <c r="G78" s="18">
        <v>0</v>
      </c>
      <c r="H78" s="18">
        <v>336.24</v>
      </c>
      <c r="I78" s="39">
        <v>131.61742480528775</v>
      </c>
      <c r="J78" s="218">
        <f>'[11]CoS 2017 Load History'!O116</f>
        <v>481</v>
      </c>
      <c r="K78" s="18"/>
      <c r="L78" s="18"/>
      <c r="M78" s="33"/>
      <c r="N78"/>
      <c r="O78"/>
      <c r="P78"/>
      <c r="Q78"/>
      <c r="R78"/>
      <c r="S78"/>
      <c r="T78"/>
      <c r="U78"/>
      <c r="V78"/>
      <c r="W78"/>
      <c r="X78"/>
      <c r="Y78"/>
      <c r="Z78"/>
      <c r="AA78"/>
      <c r="AB78"/>
    </row>
    <row r="79" spans="1:47" s="35" customFormat="1" hidden="1">
      <c r="A79" s="34">
        <v>38473</v>
      </c>
      <c r="B79" s="90">
        <f>'[11]CoS 2017 Load History'!L117</f>
        <v>23356657.370000008</v>
      </c>
      <c r="C79" s="221">
        <f>'Weather Data'!B175</f>
        <v>306.2</v>
      </c>
      <c r="D79" s="221">
        <f>'Weather Data'!C175</f>
        <v>0</v>
      </c>
      <c r="E79" s="18">
        <v>31</v>
      </c>
      <c r="F79" s="18">
        <v>1</v>
      </c>
      <c r="G79" s="18">
        <v>0</v>
      </c>
      <c r="H79" s="18">
        <v>336.28800000000001</v>
      </c>
      <c r="I79" s="39">
        <v>131.90996128607298</v>
      </c>
      <c r="J79" s="218">
        <f>'[11]CoS 2017 Load History'!O117</f>
        <v>483</v>
      </c>
      <c r="K79" s="18"/>
      <c r="L79" s="18"/>
      <c r="M79" s="33"/>
      <c r="N79"/>
      <c r="O79"/>
      <c r="P79"/>
      <c r="Q79"/>
      <c r="R79"/>
      <c r="S79"/>
      <c r="T79"/>
      <c r="U79"/>
      <c r="V79"/>
      <c r="W79"/>
      <c r="X79"/>
      <c r="Y79"/>
      <c r="Z79"/>
      <c r="AA79"/>
      <c r="AB79"/>
    </row>
    <row r="80" spans="1:47" s="35" customFormat="1" hidden="1">
      <c r="A80" s="34">
        <v>38504</v>
      </c>
      <c r="B80" s="90">
        <f>'[11]CoS 2017 Load History'!L118</f>
        <v>22845169.659999996</v>
      </c>
      <c r="C80" s="221">
        <f>'Weather Data'!B176</f>
        <v>72.599999999999994</v>
      </c>
      <c r="D80" s="221">
        <f>'Weather Data'!C176</f>
        <v>16.8</v>
      </c>
      <c r="E80" s="18">
        <v>30</v>
      </c>
      <c r="F80" s="18">
        <v>0</v>
      </c>
      <c r="G80" s="18">
        <v>0</v>
      </c>
      <c r="H80" s="18">
        <v>352.08</v>
      </c>
      <c r="I80" s="39">
        <v>132.20314796642501</v>
      </c>
      <c r="J80" s="218">
        <f>'[11]CoS 2017 Load History'!O118</f>
        <v>482</v>
      </c>
      <c r="K80" s="18"/>
      <c r="L80" s="18"/>
      <c r="M80" s="33"/>
      <c r="N80"/>
      <c r="O80"/>
      <c r="P80"/>
      <c r="Q80"/>
      <c r="R80"/>
      <c r="S80"/>
      <c r="T80"/>
      <c r="U80"/>
      <c r="V80"/>
      <c r="W80"/>
      <c r="X80"/>
      <c r="Y80"/>
      <c r="Z80"/>
      <c r="AA80"/>
      <c r="AB80"/>
    </row>
    <row r="81" spans="1:28" s="35" customFormat="1" hidden="1">
      <c r="A81" s="34">
        <v>38534</v>
      </c>
      <c r="B81" s="90">
        <f>'[11]CoS 2017 Load History'!L119</f>
        <v>23894015.750000004</v>
      </c>
      <c r="C81" s="221">
        <f>'Weather Data'!B177</f>
        <v>45.3</v>
      </c>
      <c r="D81" s="221">
        <f>'Weather Data'!C177</f>
        <v>53</v>
      </c>
      <c r="E81" s="18">
        <v>31</v>
      </c>
      <c r="F81" s="18">
        <v>0</v>
      </c>
      <c r="G81" s="18">
        <v>0</v>
      </c>
      <c r="H81" s="18">
        <v>319.92</v>
      </c>
      <c r="I81" s="39">
        <v>132.49698629149512</v>
      </c>
      <c r="J81" s="218">
        <f>'[11]CoS 2017 Load History'!O119</f>
        <v>484</v>
      </c>
      <c r="K81" s="18"/>
      <c r="L81" s="18"/>
      <c r="M81" s="33"/>
      <c r="N81"/>
      <c r="O81"/>
      <c r="P81"/>
      <c r="Q81"/>
      <c r="R81"/>
      <c r="S81"/>
      <c r="T81"/>
      <c r="U81"/>
      <c r="V81"/>
      <c r="W81"/>
      <c r="X81"/>
      <c r="Y81"/>
      <c r="Z81"/>
      <c r="AA81"/>
      <c r="AB81"/>
    </row>
    <row r="82" spans="1:28" s="35" customFormat="1" hidden="1">
      <c r="A82" s="34">
        <v>38565</v>
      </c>
      <c r="B82" s="90">
        <f>'[11]CoS 2017 Load History'!L120</f>
        <v>23530513.359999999</v>
      </c>
      <c r="C82" s="221">
        <f>'Weather Data'!B178</f>
        <v>46.3</v>
      </c>
      <c r="D82" s="221">
        <f>'Weather Data'!C178</f>
        <v>29.6</v>
      </c>
      <c r="E82" s="18">
        <v>31</v>
      </c>
      <c r="F82" s="18">
        <v>0</v>
      </c>
      <c r="G82" s="18">
        <v>0</v>
      </c>
      <c r="H82" s="18">
        <v>351.91199999999998</v>
      </c>
      <c r="I82" s="39">
        <v>132.79147770964664</v>
      </c>
      <c r="J82" s="218">
        <f>'[11]CoS 2017 Load History'!O120</f>
        <v>480</v>
      </c>
      <c r="K82" s="18"/>
      <c r="L82" s="18"/>
      <c r="M82" s="33"/>
      <c r="N82"/>
      <c r="O82"/>
      <c r="P82"/>
      <c r="Q82"/>
      <c r="R82"/>
      <c r="S82"/>
      <c r="T82"/>
      <c r="U82"/>
      <c r="V82"/>
      <c r="W82"/>
      <c r="X82"/>
      <c r="Y82"/>
      <c r="Z82"/>
      <c r="AA82"/>
      <c r="AB82"/>
    </row>
    <row r="83" spans="1:28" s="35" customFormat="1" hidden="1">
      <c r="A83" s="34">
        <v>38596</v>
      </c>
      <c r="B83" s="90">
        <f>'[11]CoS 2017 Load History'!L121</f>
        <v>22573270.269999996</v>
      </c>
      <c r="C83" s="221">
        <f>'Weather Data'!B179</f>
        <v>148.80000000000001</v>
      </c>
      <c r="D83" s="221">
        <f>'Weather Data'!C179</f>
        <v>15.2</v>
      </c>
      <c r="E83" s="18">
        <v>30</v>
      </c>
      <c r="F83" s="18">
        <v>1</v>
      </c>
      <c r="G83" s="18">
        <v>0</v>
      </c>
      <c r="H83" s="18">
        <v>336.24</v>
      </c>
      <c r="I83" s="39">
        <v>133.08662367246211</v>
      </c>
      <c r="J83" s="218">
        <f>'[11]CoS 2017 Load History'!O121</f>
        <v>481</v>
      </c>
      <c r="K83" s="18"/>
      <c r="L83" s="18"/>
      <c r="M83" s="33"/>
      <c r="N83"/>
      <c r="O83"/>
      <c r="P83"/>
      <c r="Q83"/>
      <c r="R83"/>
      <c r="S83"/>
      <c r="T83"/>
      <c r="U83"/>
      <c r="V83"/>
      <c r="W83"/>
      <c r="X83"/>
      <c r="Y83"/>
      <c r="Z83"/>
      <c r="AA83"/>
      <c r="AB83"/>
    </row>
    <row r="84" spans="1:28" s="35" customFormat="1" hidden="1">
      <c r="A84" s="34">
        <v>38626</v>
      </c>
      <c r="B84" s="90">
        <f>'[11]CoS 2017 Load History'!L122</f>
        <v>23998835.469999999</v>
      </c>
      <c r="C84" s="221">
        <f>'Weather Data'!B180</f>
        <v>347.3</v>
      </c>
      <c r="D84" s="221">
        <f>'Weather Data'!C180</f>
        <v>0</v>
      </c>
      <c r="E84" s="18">
        <v>31</v>
      </c>
      <c r="F84" s="18">
        <v>1</v>
      </c>
      <c r="G84" s="18">
        <v>0</v>
      </c>
      <c r="H84" s="18">
        <v>319.92</v>
      </c>
      <c r="I84" s="39">
        <v>133.38242563475035</v>
      </c>
      <c r="J84" s="218">
        <f>'[11]CoS 2017 Load History'!O122</f>
        <v>483</v>
      </c>
      <c r="K84" s="18"/>
      <c r="L84" s="18"/>
      <c r="M84" s="33"/>
      <c r="N84"/>
      <c r="O84"/>
      <c r="P84"/>
      <c r="Q84"/>
      <c r="R84"/>
      <c r="S84"/>
      <c r="T84"/>
      <c r="U84"/>
      <c r="V84"/>
      <c r="W84"/>
      <c r="X84"/>
      <c r="Y84"/>
      <c r="Z84"/>
      <c r="AA84"/>
      <c r="AB84"/>
    </row>
    <row r="85" spans="1:28" s="35" customFormat="1" hidden="1">
      <c r="A85" s="34">
        <v>38657</v>
      </c>
      <c r="B85" s="90">
        <f>'[11]CoS 2017 Load History'!L123</f>
        <v>26134846.600000005</v>
      </c>
      <c r="C85" s="221">
        <f>'Weather Data'!B181</f>
        <v>606.9</v>
      </c>
      <c r="D85" s="221">
        <f>'Weather Data'!C181</f>
        <v>0</v>
      </c>
      <c r="E85" s="18">
        <v>30</v>
      </c>
      <c r="F85" s="18">
        <v>1</v>
      </c>
      <c r="G85" s="18">
        <v>0</v>
      </c>
      <c r="H85" s="18">
        <v>352.08</v>
      </c>
      <c r="I85" s="39">
        <v>133.67888505455369</v>
      </c>
      <c r="J85" s="218">
        <f>'[11]CoS 2017 Load History'!O123</f>
        <v>482</v>
      </c>
      <c r="K85" s="18"/>
      <c r="L85" s="18"/>
      <c r="M85" s="33"/>
      <c r="N85"/>
      <c r="O85"/>
      <c r="P85"/>
      <c r="Q85"/>
      <c r="R85"/>
      <c r="S85"/>
      <c r="T85"/>
      <c r="U85"/>
      <c r="V85"/>
      <c r="W85"/>
      <c r="X85"/>
      <c r="Y85"/>
      <c r="Z85"/>
      <c r="AA85"/>
      <c r="AB85"/>
    </row>
    <row r="86" spans="1:28" s="35" customFormat="1" hidden="1">
      <c r="A86" s="34">
        <v>38687</v>
      </c>
      <c r="B86" s="90">
        <f>'[11]CoS 2017 Load History'!L124</f>
        <v>29015604.499999993</v>
      </c>
      <c r="C86" s="221">
        <f>'Weather Data'!B182</f>
        <v>833.4</v>
      </c>
      <c r="D86" s="221">
        <f>'Weather Data'!C182</f>
        <v>0</v>
      </c>
      <c r="E86" s="18">
        <v>31</v>
      </c>
      <c r="F86" s="18">
        <v>0</v>
      </c>
      <c r="G86" s="18">
        <v>0</v>
      </c>
      <c r="H86" s="18">
        <v>319.92</v>
      </c>
      <c r="I86" s="39">
        <v>133.97600339315525</v>
      </c>
      <c r="J86" s="218">
        <f>'[11]CoS 2017 Load History'!O124</f>
        <v>483</v>
      </c>
      <c r="K86" s="18"/>
      <c r="L86" s="18"/>
      <c r="M86" s="33"/>
      <c r="N86"/>
      <c r="O86"/>
      <c r="P86"/>
      <c r="Q86"/>
      <c r="R86"/>
      <c r="S86"/>
      <c r="T86"/>
      <c r="U86"/>
      <c r="V86"/>
      <c r="W86"/>
      <c r="X86"/>
      <c r="Y86"/>
      <c r="Z86"/>
      <c r="AA86"/>
      <c r="AB86"/>
    </row>
    <row r="87" spans="1:28" s="35" customFormat="1">
      <c r="A87" s="34">
        <v>38718</v>
      </c>
      <c r="B87" s="90">
        <f>'[11]CoS 2017 Load History'!L125</f>
        <v>28857836.470000003</v>
      </c>
      <c r="C87" s="221">
        <f>'Residential WN'!C87</f>
        <v>960.98000000000013</v>
      </c>
      <c r="D87" s="221">
        <f>'Residential WN'!D87</f>
        <v>0</v>
      </c>
      <c r="E87" s="18">
        <v>31</v>
      </c>
      <c r="F87" s="18">
        <v>0</v>
      </c>
      <c r="G87" s="18">
        <f>'CDM Activity'!U19</f>
        <v>0</v>
      </c>
      <c r="H87" s="18">
        <v>336.28800000000001</v>
      </c>
      <c r="I87" s="39">
        <v>134.25197202423305</v>
      </c>
      <c r="J87" s="218">
        <f>'[11]CoS 2017 Load History'!O125</f>
        <v>484</v>
      </c>
      <c r="K87" s="9">
        <f>$O$103+C87*$O$104+D87*$O$105+E87*$O$106+F87*$O$107+G87*$O$108+H87*$O$109</f>
        <v>29423334.558033776</v>
      </c>
      <c r="L87" s="18"/>
      <c r="M87" s="33"/>
      <c r="N87" t="s">
        <v>15</v>
      </c>
      <c r="O87"/>
      <c r="P87"/>
      <c r="Q87"/>
      <c r="R87"/>
      <c r="S87"/>
      <c r="T87"/>
      <c r="U87"/>
      <c r="V87"/>
      <c r="W87"/>
      <c r="X87"/>
      <c r="Y87"/>
      <c r="Z87"/>
      <c r="AA87"/>
      <c r="AB87"/>
    </row>
    <row r="88" spans="1:28" s="35" customFormat="1" ht="13.5" thickBot="1">
      <c r="A88" s="34">
        <v>38749</v>
      </c>
      <c r="B88" s="90">
        <f>'[11]CoS 2017 Load History'!L126</f>
        <v>27077340.080000006</v>
      </c>
      <c r="C88" s="221">
        <f>'Residential WN'!C88</f>
        <v>875.5899999999998</v>
      </c>
      <c r="D88" s="221">
        <f>'Residential WN'!D88</f>
        <v>0</v>
      </c>
      <c r="E88" s="18">
        <v>28</v>
      </c>
      <c r="F88" s="18">
        <v>0</v>
      </c>
      <c r="G88" s="18">
        <f>'CDM Activity'!U20</f>
        <v>0</v>
      </c>
      <c r="H88" s="18">
        <v>319.87200000000001</v>
      </c>
      <c r="I88" s="39">
        <v>134.52850910550649</v>
      </c>
      <c r="J88" s="218">
        <f>'[11]CoS 2017 Load History'!O126</f>
        <v>483</v>
      </c>
      <c r="K88" s="9">
        <f t="shared" ref="K88:K151" si="0">$O$103+C88*$O$104+D88*$O$105+E88*$O$106+F88*$O$107+G88*$O$108+H88*$O$109</f>
        <v>27111025.724859841</v>
      </c>
      <c r="L88" s="18"/>
      <c r="M88" s="33"/>
      <c r="N88"/>
      <c r="O88"/>
      <c r="P88"/>
      <c r="Q88"/>
      <c r="R88"/>
      <c r="S88"/>
      <c r="T88"/>
      <c r="U88"/>
      <c r="V88"/>
      <c r="W88"/>
      <c r="X88"/>
      <c r="Y88"/>
      <c r="Z88"/>
      <c r="AA88"/>
      <c r="AB88"/>
    </row>
    <row r="89" spans="1:28" s="35" customFormat="1">
      <c r="A89" s="34">
        <v>38777</v>
      </c>
      <c r="B89" s="90">
        <f>'[11]CoS 2017 Load History'!L127</f>
        <v>27505939.540000007</v>
      </c>
      <c r="C89" s="221">
        <f>'Residential WN'!C89</f>
        <v>702.91</v>
      </c>
      <c r="D89" s="221">
        <f>'Residential WN'!D89</f>
        <v>0</v>
      </c>
      <c r="E89" s="18">
        <v>31</v>
      </c>
      <c r="F89" s="18">
        <v>1</v>
      </c>
      <c r="G89" s="18">
        <f>'CDM Activity'!U21</f>
        <v>0</v>
      </c>
      <c r="H89" s="18">
        <v>368.28</v>
      </c>
      <c r="I89" s="39">
        <v>134.80561580788986</v>
      </c>
      <c r="J89" s="218">
        <f>'[11]CoS 2017 Load History'!O127</f>
        <v>492</v>
      </c>
      <c r="K89" s="9">
        <f t="shared" si="0"/>
        <v>26759187.657911133</v>
      </c>
      <c r="L89" s="18"/>
      <c r="M89" s="33"/>
      <c r="N89" s="53" t="s">
        <v>16</v>
      </c>
      <c r="O89" s="53"/>
      <c r="P89"/>
      <c r="Q89"/>
      <c r="R89"/>
      <c r="S89"/>
      <c r="T89"/>
      <c r="U89"/>
      <c r="V89"/>
      <c r="W89"/>
      <c r="X89"/>
      <c r="Y89"/>
      <c r="Z89"/>
      <c r="AA89"/>
      <c r="AB89"/>
    </row>
    <row r="90" spans="1:28" s="35" customFormat="1">
      <c r="A90" s="34">
        <v>38808</v>
      </c>
      <c r="B90" s="90">
        <f>'[11]CoS 2017 Load History'!L128</f>
        <v>23111766.710000001</v>
      </c>
      <c r="C90" s="221">
        <f>'Residential WN'!C90</f>
        <v>450.5200000000001</v>
      </c>
      <c r="D90" s="221">
        <f>'Residential WN'!D90</f>
        <v>0</v>
      </c>
      <c r="E90" s="18">
        <v>30</v>
      </c>
      <c r="F90" s="18">
        <v>1</v>
      </c>
      <c r="G90" s="18">
        <f>'CDM Activity'!U22</f>
        <v>0</v>
      </c>
      <c r="H90" s="18">
        <v>303.83999999999997</v>
      </c>
      <c r="I90" s="39">
        <v>135.08329330470943</v>
      </c>
      <c r="J90" s="218">
        <f>'[11]CoS 2017 Load History'!O128</f>
        <v>505</v>
      </c>
      <c r="K90" s="9">
        <f t="shared" si="0"/>
        <v>23563391.285139266</v>
      </c>
      <c r="L90" s="18"/>
      <c r="M90" s="33"/>
      <c r="N90" s="40" t="s">
        <v>17</v>
      </c>
      <c r="O90" s="56">
        <v>0.98415329921146621</v>
      </c>
      <c r="P90"/>
      <c r="Q90"/>
      <c r="R90"/>
      <c r="S90"/>
      <c r="T90"/>
      <c r="U90"/>
      <c r="V90"/>
      <c r="W90"/>
      <c r="X90"/>
      <c r="Y90"/>
      <c r="Z90"/>
      <c r="AA90"/>
      <c r="AB90"/>
    </row>
    <row r="91" spans="1:28" s="35" customFormat="1">
      <c r="A91" s="34">
        <v>38838</v>
      </c>
      <c r="B91" s="90">
        <f>'[11]CoS 2017 Load History'!L129</f>
        <v>22990549.949999992</v>
      </c>
      <c r="C91" s="221">
        <f>'Residential WN'!C91</f>
        <v>271.46000000000004</v>
      </c>
      <c r="D91" s="221">
        <f>'Residential WN'!D91</f>
        <v>0.47000000000000003</v>
      </c>
      <c r="E91" s="18">
        <v>31</v>
      </c>
      <c r="F91" s="18">
        <v>1</v>
      </c>
      <c r="G91" s="18">
        <f>'CDM Activity'!U23</f>
        <v>0</v>
      </c>
      <c r="H91" s="18">
        <v>351.91199999999998</v>
      </c>
      <c r="I91" s="39">
        <v>135.36154277170829</v>
      </c>
      <c r="J91" s="218">
        <f>'[11]CoS 2017 Load History'!O129</f>
        <v>495</v>
      </c>
      <c r="K91" s="9">
        <f t="shared" si="0"/>
        <v>22909786.120501269</v>
      </c>
      <c r="L91" s="18"/>
      <c r="M91" s="33"/>
      <c r="N91" s="40" t="s">
        <v>18</v>
      </c>
      <c r="O91" s="56">
        <v>0.96855771634881371</v>
      </c>
      <c r="P91"/>
      <c r="Q91"/>
      <c r="R91"/>
      <c r="S91"/>
      <c r="T91"/>
      <c r="U91"/>
      <c r="V91"/>
      <c r="W91"/>
      <c r="X91"/>
      <c r="Y91"/>
      <c r="Z91"/>
      <c r="AA91"/>
      <c r="AB91"/>
    </row>
    <row r="92" spans="1:28" s="35" customFormat="1">
      <c r="A92" s="34">
        <v>38869</v>
      </c>
      <c r="B92" s="90">
        <f>'[11]CoS 2017 Load History'!L130</f>
        <v>22533456.889999997</v>
      </c>
      <c r="C92" s="221">
        <f>'Residential WN'!C92</f>
        <v>109.59</v>
      </c>
      <c r="D92" s="221">
        <f>'Residential WN'!D92</f>
        <v>6.7</v>
      </c>
      <c r="E92" s="18">
        <v>30</v>
      </c>
      <c r="F92" s="18">
        <v>0</v>
      </c>
      <c r="G92" s="18">
        <f>'CDM Activity'!U24</f>
        <v>0</v>
      </c>
      <c r="H92" s="18">
        <v>352.08</v>
      </c>
      <c r="I92" s="39">
        <v>135.64036538705133</v>
      </c>
      <c r="J92" s="218">
        <f>'[11]CoS 2017 Load History'!O130</f>
        <v>493</v>
      </c>
      <c r="K92" s="9">
        <f t="shared" si="0"/>
        <v>21997515.288037676</v>
      </c>
      <c r="L92" s="18"/>
      <c r="M92" s="33"/>
      <c r="N92" s="40" t="s">
        <v>19</v>
      </c>
      <c r="O92" s="56">
        <v>0.96688821456202512</v>
      </c>
      <c r="P92"/>
      <c r="Q92"/>
      <c r="R92"/>
      <c r="S92"/>
      <c r="T92"/>
      <c r="U92"/>
      <c r="V92"/>
      <c r="W92"/>
      <c r="X92"/>
      <c r="Y92"/>
      <c r="Z92"/>
      <c r="AA92"/>
      <c r="AB92"/>
    </row>
    <row r="93" spans="1:28" s="35" customFormat="1">
      <c r="A93" s="34">
        <v>38899</v>
      </c>
      <c r="B93" s="90">
        <f>'[11]CoS 2017 Load History'!L131</f>
        <v>24301815.839999992</v>
      </c>
      <c r="C93" s="221">
        <f>'Residential WN'!C93</f>
        <v>36.33</v>
      </c>
      <c r="D93" s="221">
        <f>'Residential WN'!D93</f>
        <v>40.369999999999997</v>
      </c>
      <c r="E93" s="18">
        <v>31</v>
      </c>
      <c r="F93" s="18">
        <v>0</v>
      </c>
      <c r="G93" s="18">
        <f>'CDM Activity'!U25</f>
        <v>0</v>
      </c>
      <c r="H93" s="18">
        <v>319.92</v>
      </c>
      <c r="I93" s="39">
        <v>135.9197623313303</v>
      </c>
      <c r="J93" s="218">
        <f>'[11]CoS 2017 Load History'!O131</f>
        <v>497</v>
      </c>
      <c r="K93" s="9">
        <f t="shared" si="0"/>
        <v>23051071.867090121</v>
      </c>
      <c r="L93" s="18"/>
      <c r="M93" s="33"/>
      <c r="N93" s="40" t="s">
        <v>20</v>
      </c>
      <c r="O93" s="63">
        <v>504929.05732478434</v>
      </c>
      <c r="P93"/>
      <c r="Q93"/>
      <c r="R93"/>
      <c r="S93"/>
      <c r="T93"/>
      <c r="U93"/>
      <c r="V93"/>
      <c r="W93"/>
      <c r="X93"/>
      <c r="Y93"/>
      <c r="Z93"/>
      <c r="AA93"/>
      <c r="AB93"/>
    </row>
    <row r="94" spans="1:28" s="35" customFormat="1" ht="13.5" thickBot="1">
      <c r="A94" s="34">
        <v>38930</v>
      </c>
      <c r="B94" s="90">
        <f>'[11]CoS 2017 Load History'!L132</f>
        <v>23835759.899999991</v>
      </c>
      <c r="C94" s="221">
        <f>'Residential WN'!C94</f>
        <v>51.55</v>
      </c>
      <c r="D94" s="221">
        <f>'Residential WN'!D94</f>
        <v>29.669999999999998</v>
      </c>
      <c r="E94" s="18">
        <v>31</v>
      </c>
      <c r="F94" s="18">
        <v>0</v>
      </c>
      <c r="G94" s="18">
        <f>'CDM Activity'!U26</f>
        <v>0</v>
      </c>
      <c r="H94" s="18">
        <v>351.91199999999998</v>
      </c>
      <c r="I94" s="39">
        <v>136.19973478756879</v>
      </c>
      <c r="J94" s="218">
        <f>'[11]CoS 2017 Load History'!O132</f>
        <v>493</v>
      </c>
      <c r="K94" s="9">
        <f t="shared" si="0"/>
        <v>22978418.007583831</v>
      </c>
      <c r="L94" s="18"/>
      <c r="M94" s="33"/>
      <c r="N94" s="51" t="s">
        <v>21</v>
      </c>
      <c r="O94" s="51">
        <v>120</v>
      </c>
      <c r="P94"/>
      <c r="Q94"/>
      <c r="R94"/>
      <c r="S94"/>
      <c r="T94"/>
      <c r="U94"/>
      <c r="V94"/>
      <c r="W94"/>
      <c r="X94"/>
      <c r="Y94"/>
      <c r="Z94"/>
      <c r="AA94"/>
      <c r="AB94"/>
    </row>
    <row r="95" spans="1:28" s="35" customFormat="1">
      <c r="A95" s="34">
        <v>38961</v>
      </c>
      <c r="B95" s="90">
        <f>'[11]CoS 2017 Load History'!L133</f>
        <v>22400469.269999985</v>
      </c>
      <c r="C95" s="221">
        <f>'Residential WN'!C95</f>
        <v>176.97</v>
      </c>
      <c r="D95" s="221">
        <f>'Residential WN'!D95</f>
        <v>5.05</v>
      </c>
      <c r="E95" s="18">
        <v>30</v>
      </c>
      <c r="F95" s="18">
        <v>1</v>
      </c>
      <c r="G95" s="18">
        <f>'CDM Activity'!U27</f>
        <v>0</v>
      </c>
      <c r="H95" s="18">
        <v>319.68</v>
      </c>
      <c r="I95" s="39">
        <v>136.48028394122719</v>
      </c>
      <c r="J95" s="218">
        <f>'[11]CoS 2017 Load History'!O133</f>
        <v>492</v>
      </c>
      <c r="K95" s="9">
        <f t="shared" si="0"/>
        <v>21547125.519597776</v>
      </c>
      <c r="L95" s="18"/>
      <c r="M95" s="33"/>
      <c r="N95"/>
      <c r="O95"/>
      <c r="P95"/>
      <c r="Q95"/>
      <c r="R95"/>
      <c r="S95"/>
      <c r="T95"/>
      <c r="U95"/>
      <c r="V95"/>
      <c r="W95"/>
      <c r="X95"/>
      <c r="Y95"/>
      <c r="Z95"/>
      <c r="AA95"/>
      <c r="AB95"/>
    </row>
    <row r="96" spans="1:28" s="35" customFormat="1" ht="13.5" thickBot="1">
      <c r="A96" s="34">
        <v>38991</v>
      </c>
      <c r="B96" s="90">
        <f>'[11]CoS 2017 Load History'!L134</f>
        <v>24231401.169999972</v>
      </c>
      <c r="C96" s="221">
        <f>'Residential WN'!C96</f>
        <v>372.15</v>
      </c>
      <c r="D96" s="221">
        <f>'Residential WN'!D96</f>
        <v>0.54</v>
      </c>
      <c r="E96" s="18">
        <v>31</v>
      </c>
      <c r="F96" s="18">
        <v>1</v>
      </c>
      <c r="G96" s="18">
        <f>'CDM Activity'!U28</f>
        <v>0</v>
      </c>
      <c r="H96" s="18">
        <v>336.28800000000001</v>
      </c>
      <c r="I96" s="39">
        <v>136.76141098020776</v>
      </c>
      <c r="J96" s="218">
        <f>'[11]CoS 2017 Load History'!O134</f>
        <v>491</v>
      </c>
      <c r="K96" s="9">
        <f t="shared" si="0"/>
        <v>23655569.404581182</v>
      </c>
      <c r="L96" s="18"/>
      <c r="M96" s="33"/>
      <c r="N96" t="s">
        <v>22</v>
      </c>
      <c r="O96"/>
      <c r="P96"/>
      <c r="Q96"/>
      <c r="R96"/>
      <c r="S96"/>
      <c r="T96"/>
      <c r="U96"/>
      <c r="V96"/>
      <c r="W96"/>
      <c r="X96"/>
      <c r="Y96"/>
      <c r="Z96"/>
      <c r="AA96"/>
      <c r="AB96"/>
    </row>
    <row r="97" spans="1:28" s="35" customFormat="1">
      <c r="A97" s="34">
        <v>39022</v>
      </c>
      <c r="B97" s="90">
        <f>'[11]CoS 2017 Load History'!L135</f>
        <v>25214980.610000018</v>
      </c>
      <c r="C97" s="221">
        <f>'Residential WN'!C97</f>
        <v>567.61000000000013</v>
      </c>
      <c r="D97" s="221">
        <f>'Residential WN'!D97</f>
        <v>0</v>
      </c>
      <c r="E97" s="18">
        <v>30</v>
      </c>
      <c r="F97" s="18">
        <v>1</v>
      </c>
      <c r="G97" s="18">
        <f>'CDM Activity'!U29</f>
        <v>0</v>
      </c>
      <c r="H97" s="18">
        <v>352.08</v>
      </c>
      <c r="I97" s="39">
        <v>137.04311709485967</v>
      </c>
      <c r="J97" s="218">
        <f>'[11]CoS 2017 Load History'!O135</f>
        <v>491</v>
      </c>
      <c r="K97" s="9">
        <f t="shared" si="0"/>
        <v>24975048.046733972</v>
      </c>
      <c r="L97" s="18"/>
      <c r="M97" s="33"/>
      <c r="N97" s="52"/>
      <c r="O97" s="52" t="s">
        <v>26</v>
      </c>
      <c r="P97" s="52" t="s">
        <v>27</v>
      </c>
      <c r="Q97" s="52" t="s">
        <v>28</v>
      </c>
      <c r="R97" s="52" t="s">
        <v>29</v>
      </c>
      <c r="S97" s="52" t="s">
        <v>30</v>
      </c>
      <c r="T97"/>
      <c r="U97"/>
      <c r="V97"/>
      <c r="W97"/>
      <c r="X97"/>
      <c r="Y97"/>
      <c r="Z97"/>
      <c r="AA97"/>
      <c r="AB97"/>
    </row>
    <row r="98" spans="1:28" s="35" customFormat="1">
      <c r="A98" s="34">
        <v>39052</v>
      </c>
      <c r="B98" s="90">
        <f>'[11]CoS 2017 Load History'!L136</f>
        <v>27155476.329999983</v>
      </c>
      <c r="C98" s="221">
        <f>'Residential WN'!C98</f>
        <v>852.28999999999974</v>
      </c>
      <c r="D98" s="221">
        <f>'Residential WN'!D98</f>
        <v>0</v>
      </c>
      <c r="E98" s="18">
        <v>31</v>
      </c>
      <c r="F98" s="18">
        <v>0</v>
      </c>
      <c r="G98" s="18">
        <f>'CDM Activity'!U30</f>
        <v>0</v>
      </c>
      <c r="H98" s="18">
        <v>304.29599999999999</v>
      </c>
      <c r="I98" s="39">
        <v>137.32540347798411</v>
      </c>
      <c r="J98" s="218">
        <f>'[11]CoS 2017 Load History'!O136</f>
        <v>494</v>
      </c>
      <c r="K98" s="9">
        <f t="shared" si="0"/>
        <v>28218462.761926431</v>
      </c>
      <c r="L98" s="18"/>
      <c r="M98" s="33"/>
      <c r="N98" s="40" t="s">
        <v>23</v>
      </c>
      <c r="O98" s="40">
        <v>6</v>
      </c>
      <c r="P98" s="40">
        <v>887463694538043.37</v>
      </c>
      <c r="Q98" s="40">
        <v>147910615756340.56</v>
      </c>
      <c r="R98" s="40">
        <v>580.14775666210392</v>
      </c>
      <c r="S98" s="40">
        <v>2.0327346813070812E-82</v>
      </c>
      <c r="T98"/>
      <c r="U98"/>
      <c r="V98"/>
      <c r="W98"/>
      <c r="X98"/>
      <c r="Y98"/>
      <c r="Z98"/>
      <c r="AA98"/>
      <c r="AB98"/>
    </row>
    <row r="99" spans="1:28" s="35" customFormat="1">
      <c r="A99" s="34">
        <v>39083</v>
      </c>
      <c r="B99" s="90">
        <f>'[11]CoS 2017 Load History'!L137</f>
        <v>29662727.760000009</v>
      </c>
      <c r="C99" s="221">
        <f>'Residential WN'!C99</f>
        <v>960.98000000000013</v>
      </c>
      <c r="D99" s="221">
        <f>'Residential WN'!D99</f>
        <v>0</v>
      </c>
      <c r="E99" s="18">
        <v>31</v>
      </c>
      <c r="F99" s="18">
        <v>0</v>
      </c>
      <c r="G99" s="18">
        <f>'CDM Activity'!U31</f>
        <v>0</v>
      </c>
      <c r="H99" s="18">
        <v>351.91199999999998</v>
      </c>
      <c r="I99" s="39">
        <v>137.552207546647</v>
      </c>
      <c r="J99" s="218">
        <f>'[11]CoS 2017 Load History'!O137</f>
        <v>493</v>
      </c>
      <c r="K99" s="9">
        <f t="shared" si="0"/>
        <v>29552254.687336966</v>
      </c>
      <c r="L99" s="18"/>
      <c r="M99" s="33"/>
      <c r="N99" s="40" t="s">
        <v>24</v>
      </c>
      <c r="O99" s="40">
        <v>113</v>
      </c>
      <c r="P99" s="40">
        <v>28809728881191.172</v>
      </c>
      <c r="Q99" s="40">
        <v>254953352930.89532</v>
      </c>
      <c r="R99" s="40"/>
      <c r="S99" s="40"/>
      <c r="T99"/>
      <c r="U99"/>
      <c r="V99"/>
      <c r="W99"/>
      <c r="X99"/>
      <c r="Y99"/>
      <c r="Z99"/>
      <c r="AA99"/>
      <c r="AB99"/>
    </row>
    <row r="100" spans="1:28" s="35" customFormat="1" ht="13.5" thickBot="1">
      <c r="A100" s="34">
        <v>39114</v>
      </c>
      <c r="B100" s="90">
        <f>'[11]CoS 2017 Load History'!L138</f>
        <v>28296502.539999969</v>
      </c>
      <c r="C100" s="221">
        <f>'Residential WN'!C100</f>
        <v>875.5899999999998</v>
      </c>
      <c r="D100" s="221">
        <f>'Residential WN'!D100</f>
        <v>0</v>
      </c>
      <c r="E100" s="18">
        <v>28</v>
      </c>
      <c r="F100" s="18">
        <v>0</v>
      </c>
      <c r="G100" s="18">
        <f>'CDM Activity'!U32</f>
        <v>0</v>
      </c>
      <c r="H100" s="18">
        <v>319.87200000000001</v>
      </c>
      <c r="I100" s="39">
        <v>137.77938620066888</v>
      </c>
      <c r="J100" s="218">
        <f>'[11]CoS 2017 Load History'!O138</f>
        <v>492</v>
      </c>
      <c r="K100" s="9">
        <f t="shared" si="0"/>
        <v>27111025.724859841</v>
      </c>
      <c r="L100" s="18"/>
      <c r="M100" s="33"/>
      <c r="N100" s="51" t="s">
        <v>5</v>
      </c>
      <c r="O100" s="51">
        <v>119</v>
      </c>
      <c r="P100" s="51">
        <v>916273423419234.5</v>
      </c>
      <c r="Q100" s="51"/>
      <c r="R100" s="51"/>
      <c r="S100" s="51"/>
      <c r="T100"/>
      <c r="U100"/>
      <c r="V100"/>
      <c r="W100"/>
      <c r="X100"/>
      <c r="Y100"/>
      <c r="Z100"/>
      <c r="AA100"/>
      <c r="AB100"/>
    </row>
    <row r="101" spans="1:28" s="35" customFormat="1" ht="13.5" thickBot="1">
      <c r="A101" s="34">
        <v>39142</v>
      </c>
      <c r="B101" s="90">
        <f>'[11]CoS 2017 Load History'!L139</f>
        <v>27525692.98999998</v>
      </c>
      <c r="C101" s="221">
        <f>'Residential WN'!C101</f>
        <v>702.91</v>
      </c>
      <c r="D101" s="221">
        <f>'Residential WN'!D101</f>
        <v>0</v>
      </c>
      <c r="E101" s="18">
        <v>31</v>
      </c>
      <c r="F101" s="18">
        <v>1</v>
      </c>
      <c r="G101" s="18">
        <f>'CDM Activity'!U33</f>
        <v>0</v>
      </c>
      <c r="H101" s="18">
        <v>351.91199999999998</v>
      </c>
      <c r="I101" s="39">
        <v>138.00694005870795</v>
      </c>
      <c r="J101" s="218">
        <f>'[11]CoS 2017 Load History'!O139</f>
        <v>494</v>
      </c>
      <c r="K101" s="9">
        <f t="shared" si="0"/>
        <v>26624128.474831603</v>
      </c>
      <c r="L101" s="18"/>
      <c r="M101" s="33"/>
      <c r="N101"/>
      <c r="O101"/>
      <c r="P101"/>
      <c r="Q101"/>
      <c r="R101"/>
      <c r="S101"/>
      <c r="T101"/>
      <c r="U101"/>
      <c r="V101"/>
      <c r="W101"/>
      <c r="X101"/>
      <c r="Y101"/>
      <c r="Z101"/>
      <c r="AA101"/>
      <c r="AB101"/>
    </row>
    <row r="102" spans="1:28" s="35" customFormat="1">
      <c r="A102" s="34">
        <v>39173</v>
      </c>
      <c r="B102" s="90">
        <f>'[11]CoS 2017 Load History'!L140</f>
        <v>23410934.150000002</v>
      </c>
      <c r="C102" s="221">
        <f>'Residential WN'!C102</f>
        <v>450.5200000000001</v>
      </c>
      <c r="D102" s="221">
        <f>'Residential WN'!D102</f>
        <v>0</v>
      </c>
      <c r="E102" s="18">
        <v>30</v>
      </c>
      <c r="F102" s="18">
        <v>1</v>
      </c>
      <c r="G102" s="18">
        <f>'CDM Activity'!U34</f>
        <v>0</v>
      </c>
      <c r="H102" s="18">
        <v>319.68</v>
      </c>
      <c r="I102" s="39">
        <v>138.23486974044414</v>
      </c>
      <c r="J102" s="218">
        <f>'[11]CoS 2017 Load History'!O140</f>
        <v>511</v>
      </c>
      <c r="K102" s="9">
        <f t="shared" si="0"/>
        <v>23694093.72037752</v>
      </c>
      <c r="L102" s="18"/>
      <c r="M102" s="33"/>
      <c r="N102" s="52"/>
      <c r="O102" s="52" t="s">
        <v>31</v>
      </c>
      <c r="P102" s="52" t="s">
        <v>20</v>
      </c>
      <c r="Q102" s="52" t="s">
        <v>32</v>
      </c>
      <c r="R102" s="52" t="s">
        <v>33</v>
      </c>
      <c r="S102" s="52" t="s">
        <v>34</v>
      </c>
      <c r="T102" s="52" t="s">
        <v>35</v>
      </c>
      <c r="U102"/>
      <c r="V102"/>
      <c r="W102"/>
      <c r="X102"/>
      <c r="Y102"/>
      <c r="Z102"/>
      <c r="AA102"/>
      <c r="AB102"/>
    </row>
    <row r="103" spans="1:28" s="35" customFormat="1">
      <c r="A103" s="34">
        <v>39203</v>
      </c>
      <c r="B103" s="90">
        <f>'[11]CoS 2017 Load History'!L141</f>
        <v>22478351.149999984</v>
      </c>
      <c r="C103" s="221">
        <f>'Residential WN'!C103</f>
        <v>271.46000000000004</v>
      </c>
      <c r="D103" s="221">
        <f>'Residential WN'!D103</f>
        <v>0.47000000000000003</v>
      </c>
      <c r="E103" s="18">
        <v>31</v>
      </c>
      <c r="F103" s="18">
        <v>1</v>
      </c>
      <c r="G103" s="18">
        <f>'CDM Activity'!U35</f>
        <v>0</v>
      </c>
      <c r="H103" s="18">
        <v>351.91199999999998</v>
      </c>
      <c r="I103" s="39">
        <v>138.46317586658083</v>
      </c>
      <c r="J103" s="218">
        <f>'[11]CoS 2017 Load History'!O141</f>
        <v>502</v>
      </c>
      <c r="K103" s="9">
        <f t="shared" si="0"/>
        <v>22909786.120501269</v>
      </c>
      <c r="L103" s="18"/>
      <c r="M103" s="33"/>
      <c r="N103" s="40" t="s">
        <v>25</v>
      </c>
      <c r="O103" s="63">
        <v>3473770.7373167383</v>
      </c>
      <c r="P103" s="63">
        <v>1781797.9162560152</v>
      </c>
      <c r="Q103" s="54">
        <v>1.949587383408756</v>
      </c>
      <c r="R103" s="40">
        <v>5.3703024860569666E-2</v>
      </c>
      <c r="S103" s="63">
        <v>-56292.298815649934</v>
      </c>
      <c r="T103" s="63">
        <v>7003833.7734491266</v>
      </c>
      <c r="U103"/>
      <c r="V103"/>
      <c r="W103"/>
      <c r="X103"/>
      <c r="Y103"/>
      <c r="Z103"/>
      <c r="AA103"/>
      <c r="AB103"/>
    </row>
    <row r="104" spans="1:28" s="35" customFormat="1">
      <c r="A104" s="34">
        <v>39234</v>
      </c>
      <c r="B104" s="90">
        <f>'[11]CoS 2017 Load History'!L142</f>
        <v>22018767.950000007</v>
      </c>
      <c r="C104" s="221">
        <f>'Residential WN'!C104</f>
        <v>109.59</v>
      </c>
      <c r="D104" s="221">
        <f>'Residential WN'!D104</f>
        <v>6.7</v>
      </c>
      <c r="E104" s="18">
        <v>30</v>
      </c>
      <c r="F104" s="18">
        <v>0</v>
      </c>
      <c r="G104" s="18">
        <f>'CDM Activity'!U36</f>
        <v>0</v>
      </c>
      <c r="H104" s="18">
        <v>336.24</v>
      </c>
      <c r="I104" s="39">
        <v>138.69185905884657</v>
      </c>
      <c r="J104" s="218">
        <f>'[11]CoS 2017 Load History'!O142</f>
        <v>500</v>
      </c>
      <c r="K104" s="9">
        <f t="shared" si="0"/>
        <v>21866812.852799423</v>
      </c>
      <c r="L104" s="18"/>
      <c r="M104" s="33"/>
      <c r="N104" s="40" t="s">
        <v>1</v>
      </c>
      <c r="O104" s="63">
        <v>8656.6609966383257</v>
      </c>
      <c r="P104" s="63">
        <v>185.29632434547224</v>
      </c>
      <c r="Q104" s="54">
        <v>46.717931546761697</v>
      </c>
      <c r="R104" s="40">
        <v>9.8599455586550121E-76</v>
      </c>
      <c r="S104" s="63">
        <v>8289.5555581733479</v>
      </c>
      <c r="T104" s="63">
        <v>9023.7664351033036</v>
      </c>
      <c r="U104"/>
      <c r="V104"/>
      <c r="W104"/>
      <c r="X104"/>
      <c r="Y104"/>
      <c r="Z104"/>
      <c r="AA104"/>
      <c r="AB104"/>
    </row>
    <row r="105" spans="1:28" s="35" customFormat="1">
      <c r="A105" s="34">
        <v>39264</v>
      </c>
      <c r="B105" s="90">
        <f>'[11]CoS 2017 Load History'!L143</f>
        <v>23322571.340000018</v>
      </c>
      <c r="C105" s="221">
        <f>'Residential WN'!C105</f>
        <v>36.33</v>
      </c>
      <c r="D105" s="221">
        <f>'Residential WN'!D105</f>
        <v>40.369999999999997</v>
      </c>
      <c r="E105" s="18">
        <v>31</v>
      </c>
      <c r="F105" s="18">
        <v>0</v>
      </c>
      <c r="G105" s="18">
        <f>'CDM Activity'!U37</f>
        <v>0</v>
      </c>
      <c r="H105" s="18">
        <v>336.28800000000001</v>
      </c>
      <c r="I105" s="39">
        <v>138.92091993999671</v>
      </c>
      <c r="J105" s="218">
        <f>'[11]CoS 2017 Load History'!O143</f>
        <v>501</v>
      </c>
      <c r="K105" s="9">
        <f t="shared" si="0"/>
        <v>23186131.05016965</v>
      </c>
      <c r="L105" s="18"/>
      <c r="M105" s="33"/>
      <c r="N105" s="40" t="s">
        <v>2</v>
      </c>
      <c r="O105" s="63">
        <v>43774.537594191286</v>
      </c>
      <c r="P105" s="63">
        <v>4454.8370408267219</v>
      </c>
      <c r="Q105" s="54">
        <v>9.8262937999787479</v>
      </c>
      <c r="R105" s="40">
        <v>7.6534362968418431E-17</v>
      </c>
      <c r="S105" s="63">
        <v>34948.701944512453</v>
      </c>
      <c r="T105" s="63">
        <v>52600.373243870119</v>
      </c>
      <c r="U105"/>
      <c r="V105"/>
      <c r="W105"/>
      <c r="X105"/>
      <c r="Y105"/>
      <c r="Z105"/>
      <c r="AA105"/>
      <c r="AB105"/>
    </row>
    <row r="106" spans="1:28" s="35" customFormat="1">
      <c r="A106" s="34">
        <v>39295</v>
      </c>
      <c r="B106" s="90">
        <f>'[11]CoS 2017 Load History'!L144</f>
        <v>23240376.049999986</v>
      </c>
      <c r="C106" s="221">
        <f>'Residential WN'!C106</f>
        <v>51.55</v>
      </c>
      <c r="D106" s="221">
        <f>'Residential WN'!D106</f>
        <v>29.669999999999998</v>
      </c>
      <c r="E106" s="18">
        <v>31</v>
      </c>
      <c r="F106" s="18">
        <v>0</v>
      </c>
      <c r="G106" s="18">
        <f>'CDM Activity'!U38</f>
        <v>0</v>
      </c>
      <c r="H106" s="18">
        <v>351.91199999999998</v>
      </c>
      <c r="I106" s="39">
        <v>139.15035913381516</v>
      </c>
      <c r="J106" s="218">
        <f>'[11]CoS 2017 Load History'!O144</f>
        <v>503</v>
      </c>
      <c r="K106" s="9">
        <f t="shared" si="0"/>
        <v>22978418.007583831</v>
      </c>
      <c r="L106" s="18"/>
      <c r="M106" s="33"/>
      <c r="N106" s="40" t="s">
        <v>3</v>
      </c>
      <c r="O106" s="63">
        <v>479220.43320196122</v>
      </c>
      <c r="P106" s="63">
        <v>66099.339305009358</v>
      </c>
      <c r="Q106" s="54">
        <v>7.2500033773506019</v>
      </c>
      <c r="R106" s="40">
        <v>5.5383393697224297E-11</v>
      </c>
      <c r="S106" s="63">
        <v>348265.72040059109</v>
      </c>
      <c r="T106" s="63">
        <v>610175.14600333141</v>
      </c>
      <c r="U106"/>
      <c r="V106"/>
      <c r="W106"/>
      <c r="X106"/>
      <c r="Y106"/>
      <c r="Z106"/>
      <c r="AA106"/>
      <c r="AB106"/>
    </row>
    <row r="107" spans="1:28" s="35" customFormat="1">
      <c r="A107" s="34">
        <v>39326</v>
      </c>
      <c r="B107" s="90">
        <f>'[11]CoS 2017 Load History'!L145</f>
        <v>22268047.419999991</v>
      </c>
      <c r="C107" s="221">
        <f>'Residential WN'!C107</f>
        <v>176.97</v>
      </c>
      <c r="D107" s="221">
        <f>'Residential WN'!D107</f>
        <v>5.05</v>
      </c>
      <c r="E107" s="18">
        <v>30</v>
      </c>
      <c r="F107" s="18">
        <v>1</v>
      </c>
      <c r="G107" s="18">
        <f>'CDM Activity'!U39</f>
        <v>0</v>
      </c>
      <c r="H107" s="18">
        <v>303.83999999999997</v>
      </c>
      <c r="I107" s="39">
        <v>139.38017726511606</v>
      </c>
      <c r="J107" s="218">
        <f>'[11]CoS 2017 Load History'!O145</f>
        <v>503</v>
      </c>
      <c r="K107" s="9">
        <f t="shared" si="0"/>
        <v>21416423.084359519</v>
      </c>
      <c r="L107" s="18"/>
      <c r="M107" s="33"/>
      <c r="N107" s="40" t="s">
        <v>14</v>
      </c>
      <c r="O107" s="63">
        <v>-694101.70910291106</v>
      </c>
      <c r="P107" s="63">
        <v>110782.38268467698</v>
      </c>
      <c r="Q107" s="54">
        <v>-6.2654520717301443</v>
      </c>
      <c r="R107" s="40">
        <v>6.9502021478037107E-9</v>
      </c>
      <c r="S107" s="63">
        <v>-913581.58984695212</v>
      </c>
      <c r="T107" s="63">
        <v>-474621.82835887006</v>
      </c>
      <c r="U107"/>
      <c r="V107"/>
      <c r="W107"/>
      <c r="X107"/>
      <c r="Y107"/>
      <c r="Z107"/>
      <c r="AA107"/>
      <c r="AB107"/>
    </row>
    <row r="108" spans="1:28" s="35" customFormat="1">
      <c r="A108" s="34">
        <v>39356</v>
      </c>
      <c r="B108" s="90">
        <f>'[11]CoS 2017 Load History'!L146</f>
        <v>23250601.389999993</v>
      </c>
      <c r="C108" s="221">
        <f>'Residential WN'!C108</f>
        <v>372.15</v>
      </c>
      <c r="D108" s="221">
        <f>'Residential WN'!D108</f>
        <v>0.54</v>
      </c>
      <c r="E108" s="18">
        <v>31</v>
      </c>
      <c r="F108" s="18">
        <v>1</v>
      </c>
      <c r="G108" s="18">
        <f>'CDM Activity'!U40</f>
        <v>0</v>
      </c>
      <c r="H108" s="18">
        <v>351.91199999999998</v>
      </c>
      <c r="I108" s="39">
        <v>139.61037495974546</v>
      </c>
      <c r="J108" s="218">
        <f>'[11]CoS 2017 Load History'!O146</f>
        <v>502</v>
      </c>
      <c r="K108" s="9">
        <f t="shared" si="0"/>
        <v>23784489.533884373</v>
      </c>
      <c r="L108" s="18"/>
      <c r="M108" s="33"/>
      <c r="N108" s="40" t="s">
        <v>56</v>
      </c>
      <c r="O108" s="54">
        <v>-2.9028350728287893</v>
      </c>
      <c r="P108" s="54">
        <v>0.17834751493599335</v>
      </c>
      <c r="Q108" s="54">
        <v>-16.276285508494915</v>
      </c>
      <c r="R108" s="40">
        <v>2.1183127438633462E-31</v>
      </c>
      <c r="S108" s="54">
        <v>-3.2561736665703922</v>
      </c>
      <c r="T108" s="54">
        <v>-2.5494964790871864</v>
      </c>
      <c r="U108"/>
      <c r="V108"/>
      <c r="W108"/>
      <c r="X108"/>
      <c r="Y108"/>
      <c r="Z108"/>
      <c r="AA108"/>
      <c r="AB108"/>
    </row>
    <row r="109" spans="1:28" s="35" customFormat="1" ht="13.5" thickBot="1">
      <c r="A109" s="34">
        <v>39387</v>
      </c>
      <c r="B109" s="90">
        <f>'[11]CoS 2017 Load History'!L147</f>
        <v>25216488.030000024</v>
      </c>
      <c r="C109" s="221">
        <f>'Residential WN'!C109</f>
        <v>567.61000000000013</v>
      </c>
      <c r="D109" s="221">
        <f>'Residential WN'!D109</f>
        <v>0</v>
      </c>
      <c r="E109" s="18">
        <v>30</v>
      </c>
      <c r="F109" s="18">
        <v>1</v>
      </c>
      <c r="G109" s="18">
        <f>'CDM Activity'!U41</f>
        <v>0</v>
      </c>
      <c r="H109" s="18">
        <v>352.08</v>
      </c>
      <c r="I109" s="39">
        <v>139.84095284458306</v>
      </c>
      <c r="J109" s="218">
        <f>'[11]CoS 2017 Load History'!O147</f>
        <v>500</v>
      </c>
      <c r="K109" s="9">
        <f t="shared" si="0"/>
        <v>24975048.046733972</v>
      </c>
      <c r="L109" s="18"/>
      <c r="M109" s="33"/>
      <c r="N109" s="51" t="s">
        <v>58</v>
      </c>
      <c r="O109" s="55">
        <v>8251.4163660515442</v>
      </c>
      <c r="P109" s="55">
        <v>3022.9063796408755</v>
      </c>
      <c r="Q109" s="55">
        <v>2.729630140590666</v>
      </c>
      <c r="R109" s="51">
        <v>7.3563063357765593E-3</v>
      </c>
      <c r="S109" s="55">
        <v>2262.4936183577593</v>
      </c>
      <c r="T109" s="55">
        <v>14240.339113745329</v>
      </c>
      <c r="U109"/>
      <c r="V109"/>
      <c r="W109"/>
      <c r="X109"/>
      <c r="Y109"/>
      <c r="Z109"/>
      <c r="AA109"/>
      <c r="AB109"/>
    </row>
    <row r="110" spans="1:28" s="35" customFormat="1">
      <c r="A110" s="34">
        <v>39417</v>
      </c>
      <c r="B110" s="90">
        <f>'[11]CoS 2017 Load History'!L148</f>
        <v>28290655.52999999</v>
      </c>
      <c r="C110" s="221">
        <f>'Residential WN'!C110</f>
        <v>852.28999999999974</v>
      </c>
      <c r="D110" s="221">
        <f>'Residential WN'!D110</f>
        <v>0</v>
      </c>
      <c r="E110" s="18">
        <v>31</v>
      </c>
      <c r="F110" s="18">
        <v>0</v>
      </c>
      <c r="G110" s="18">
        <f>'CDM Activity'!U42</f>
        <v>0</v>
      </c>
      <c r="H110" s="18">
        <v>304.29599999999999</v>
      </c>
      <c r="I110" s="39">
        <v>140.07191154754381</v>
      </c>
      <c r="J110" s="218">
        <f>'[11]CoS 2017 Load History'!O148</f>
        <v>505</v>
      </c>
      <c r="K110" s="9">
        <f t="shared" si="0"/>
        <v>28218462.761926431</v>
      </c>
      <c r="L110" s="18"/>
      <c r="M110" s="33"/>
      <c r="N110"/>
      <c r="O110"/>
      <c r="P110"/>
      <c r="Q110"/>
      <c r="R110"/>
      <c r="S110"/>
      <c r="T110"/>
      <c r="U110"/>
      <c r="V110"/>
      <c r="W110"/>
      <c r="X110"/>
      <c r="Y110"/>
      <c r="Z110"/>
      <c r="AA110"/>
      <c r="AB110"/>
    </row>
    <row r="111" spans="1:28" s="35" customFormat="1">
      <c r="A111" s="34">
        <v>39448</v>
      </c>
      <c r="B111" s="90">
        <f>'[11]CoS 2017 Load History'!L149</f>
        <v>29938301.859999973</v>
      </c>
      <c r="C111" s="221">
        <f>'Residential WN'!C111</f>
        <v>960.98000000000013</v>
      </c>
      <c r="D111" s="221">
        <f>'Residential WN'!D111</f>
        <v>0</v>
      </c>
      <c r="E111" s="18">
        <v>31</v>
      </c>
      <c r="F111" s="18">
        <v>0</v>
      </c>
      <c r="G111" s="18">
        <f>'CDM Activity'!U43</f>
        <v>1664.0584928561793</v>
      </c>
      <c r="H111" s="24">
        <v>352</v>
      </c>
      <c r="I111" s="37">
        <v>139.96642175819056</v>
      </c>
      <c r="J111" s="218">
        <f>'[11]CoS 2017 Load History'!O149</f>
        <v>506</v>
      </c>
      <c r="K111" s="9">
        <f t="shared" si="0"/>
        <v>29548150.324620876</v>
      </c>
      <c r="L111" s="18"/>
      <c r="M111" s="24"/>
      <c r="N111"/>
      <c r="O111"/>
      <c r="P111"/>
      <c r="Q111"/>
      <c r="R111"/>
      <c r="S111"/>
      <c r="T111"/>
      <c r="U111"/>
      <c r="V111"/>
      <c r="W111"/>
      <c r="X111"/>
      <c r="Y111"/>
      <c r="Z111"/>
      <c r="AA111"/>
      <c r="AB111"/>
    </row>
    <row r="112" spans="1:28" s="35" customFormat="1">
      <c r="A112" s="34">
        <v>39479</v>
      </c>
      <c r="B112" s="90">
        <f>'[11]CoS 2017 Load History'!L150</f>
        <v>28649711.050000001</v>
      </c>
      <c r="C112" s="221">
        <f>'Residential WN'!C112</f>
        <v>875.5899999999998</v>
      </c>
      <c r="D112" s="221">
        <f>'Residential WN'!D112</f>
        <v>0</v>
      </c>
      <c r="E112" s="18">
        <v>29</v>
      </c>
      <c r="F112" s="18">
        <v>0</v>
      </c>
      <c r="G112" s="18">
        <f>'CDM Activity'!U44</f>
        <v>3328.1169857123587</v>
      </c>
      <c r="H112" s="24">
        <v>320</v>
      </c>
      <c r="I112" s="37">
        <v>139.86101141442734</v>
      </c>
      <c r="J112" s="218">
        <f>'[11]CoS 2017 Load History'!O150</f>
        <v>508</v>
      </c>
      <c r="K112" s="9">
        <f t="shared" si="0"/>
        <v>27581641.364644054</v>
      </c>
      <c r="L112" s="18"/>
      <c r="M112" s="24"/>
      <c r="N112"/>
      <c r="O112"/>
      <c r="P112"/>
      <c r="Q112"/>
      <c r="R112"/>
      <c r="S112"/>
      <c r="T112"/>
      <c r="U112"/>
      <c r="V112"/>
      <c r="W112"/>
      <c r="X112"/>
      <c r="Y112"/>
      <c r="Z112"/>
      <c r="AA112"/>
      <c r="AB112"/>
    </row>
    <row r="113" spans="1:28" s="35" customFormat="1">
      <c r="A113" s="34">
        <v>39508</v>
      </c>
      <c r="B113" s="90">
        <f>'[11]CoS 2017 Load History'!L151</f>
        <v>27818185.449999981</v>
      </c>
      <c r="C113" s="221">
        <f>'Residential WN'!C113</f>
        <v>702.91</v>
      </c>
      <c r="D113" s="221">
        <f>'Residential WN'!D113</f>
        <v>0</v>
      </c>
      <c r="E113" s="18">
        <v>31</v>
      </c>
      <c r="F113" s="18">
        <v>1</v>
      </c>
      <c r="G113" s="18">
        <f>'CDM Activity'!U45</f>
        <v>4992.175478568538</v>
      </c>
      <c r="H113" s="24">
        <v>304</v>
      </c>
      <c r="I113" s="37">
        <v>139.75568045642274</v>
      </c>
      <c r="J113" s="218">
        <f>'[11]CoS 2017 Load History'!O151</f>
        <v>507</v>
      </c>
      <c r="K113" s="9">
        <f t="shared" si="0"/>
        <v>26214295.151832435</v>
      </c>
      <c r="L113" s="18"/>
      <c r="M113" s="24"/>
      <c r="N113"/>
      <c r="O113"/>
      <c r="P113"/>
      <c r="Q113"/>
      <c r="R113"/>
      <c r="S113"/>
      <c r="T113"/>
      <c r="U113"/>
      <c r="V113"/>
      <c r="W113"/>
      <c r="X113"/>
      <c r="Y113"/>
      <c r="Z113"/>
      <c r="AA113"/>
      <c r="AB113"/>
    </row>
    <row r="114" spans="1:28" s="35" customFormat="1">
      <c r="A114" s="34">
        <v>39539</v>
      </c>
      <c r="B114" s="90">
        <f>'[11]CoS 2017 Load History'!L152</f>
        <v>23652657.520000007</v>
      </c>
      <c r="C114" s="221">
        <f>'Residential WN'!C114</f>
        <v>450.5200000000001</v>
      </c>
      <c r="D114" s="221">
        <f>'Residential WN'!D114</f>
        <v>0</v>
      </c>
      <c r="E114" s="18">
        <v>30</v>
      </c>
      <c r="F114" s="18">
        <v>1</v>
      </c>
      <c r="G114" s="18">
        <f>'CDM Activity'!U46</f>
        <v>6656.2339714247173</v>
      </c>
      <c r="H114" s="24">
        <v>352</v>
      </c>
      <c r="I114" s="37">
        <v>139.65042882439042</v>
      </c>
      <c r="J114" s="218">
        <f>'[11]CoS 2017 Load History'!O152</f>
        <v>511</v>
      </c>
      <c r="K114" s="9">
        <f t="shared" si="0"/>
        <v>23941457.547903102</v>
      </c>
      <c r="L114" s="18"/>
      <c r="M114" s="24"/>
      <c r="N114"/>
      <c r="O114"/>
      <c r="P114"/>
      <c r="Q114"/>
      <c r="R114"/>
      <c r="S114"/>
      <c r="T114"/>
      <c r="U114"/>
      <c r="V114"/>
      <c r="W114"/>
      <c r="X114"/>
      <c r="Y114"/>
      <c r="Z114"/>
      <c r="AA114"/>
      <c r="AB114"/>
    </row>
    <row r="115" spans="1:28" s="35" customFormat="1">
      <c r="A115" s="34">
        <v>39569</v>
      </c>
      <c r="B115" s="90">
        <f>'[11]CoS 2017 Load History'!L153</f>
        <v>22308792.069999997</v>
      </c>
      <c r="C115" s="221">
        <f>'Residential WN'!C115</f>
        <v>271.46000000000004</v>
      </c>
      <c r="D115" s="221">
        <f>'Residential WN'!D115</f>
        <v>0.47000000000000003</v>
      </c>
      <c r="E115" s="18">
        <v>31</v>
      </c>
      <c r="F115" s="18">
        <v>1</v>
      </c>
      <c r="G115" s="18">
        <f>'CDM Activity'!U47</f>
        <v>8320.2924642808975</v>
      </c>
      <c r="H115" s="24">
        <v>336</v>
      </c>
      <c r="I115" s="37">
        <v>139.54525645858905</v>
      </c>
      <c r="J115" s="218">
        <f>'[11]CoS 2017 Load History'!O153</f>
        <v>506</v>
      </c>
      <c r="K115" s="9">
        <f t="shared" si="0"/>
        <v>22754337.14650315</v>
      </c>
      <c r="L115" s="18"/>
      <c r="M115" s="24"/>
      <c r="N115"/>
      <c r="O115"/>
      <c r="P115"/>
      <c r="Q115"/>
      <c r="R115"/>
      <c r="S115"/>
      <c r="T115"/>
      <c r="U115"/>
      <c r="V115"/>
      <c r="W115"/>
      <c r="X115"/>
      <c r="Y115"/>
      <c r="Z115"/>
      <c r="AA115"/>
      <c r="AB115"/>
    </row>
    <row r="116" spans="1:28" s="35" customFormat="1">
      <c r="A116" s="34">
        <v>39600</v>
      </c>
      <c r="B116" s="90">
        <f>'[11]CoS 2017 Load History'!L154</f>
        <v>21249644.889999986</v>
      </c>
      <c r="C116" s="221">
        <f>'Residential WN'!C116</f>
        <v>109.59</v>
      </c>
      <c r="D116" s="221">
        <f>'Residential WN'!D116</f>
        <v>6.7</v>
      </c>
      <c r="E116" s="18">
        <v>30</v>
      </c>
      <c r="F116" s="18">
        <v>0</v>
      </c>
      <c r="G116" s="18">
        <f>'CDM Activity'!U48</f>
        <v>9984.3509571370778</v>
      </c>
      <c r="H116" s="24">
        <v>336</v>
      </c>
      <c r="I116" s="37">
        <v>139.44016329932234</v>
      </c>
      <c r="J116" s="218">
        <f>'[11]CoS 2017 Load History'!O154</f>
        <v>503</v>
      </c>
      <c r="K116" s="9">
        <f t="shared" si="0"/>
        <v>21835849.588733763</v>
      </c>
      <c r="L116" s="18"/>
      <c r="M116" s="24"/>
      <c r="N116"/>
      <c r="O116"/>
      <c r="P116"/>
      <c r="Q116"/>
      <c r="R116"/>
      <c r="S116"/>
      <c r="T116"/>
      <c r="U116"/>
      <c r="V116"/>
      <c r="W116"/>
      <c r="X116"/>
      <c r="Y116"/>
      <c r="Z116"/>
      <c r="AA116"/>
      <c r="AB116"/>
    </row>
    <row r="117" spans="1:28" s="35" customFormat="1">
      <c r="A117" s="34">
        <v>39630</v>
      </c>
      <c r="B117" s="90">
        <f>'[11]CoS 2017 Load History'!L155</f>
        <v>22972303.899999972</v>
      </c>
      <c r="C117" s="221">
        <f>'Residential WN'!C117</f>
        <v>36.33</v>
      </c>
      <c r="D117" s="221">
        <f>'Residential WN'!D117</f>
        <v>40.369999999999997</v>
      </c>
      <c r="E117" s="18">
        <v>31</v>
      </c>
      <c r="F117" s="18">
        <v>0</v>
      </c>
      <c r="G117" s="18">
        <f>'CDM Activity'!U49</f>
        <v>11648.409449993258</v>
      </c>
      <c r="H117" s="24">
        <v>352</v>
      </c>
      <c r="I117" s="37">
        <v>139.3351492869389</v>
      </c>
      <c r="J117" s="218">
        <f>'[11]CoS 2017 Load History'!O155</f>
        <v>504</v>
      </c>
      <c r="K117" s="9">
        <f t="shared" si="0"/>
        <v>23281963.892618943</v>
      </c>
      <c r="L117" s="18"/>
      <c r="M117" s="24"/>
      <c r="N117"/>
      <c r="O117"/>
      <c r="P117"/>
      <c r="Q117"/>
      <c r="R117"/>
      <c r="S117"/>
      <c r="T117"/>
      <c r="U117"/>
      <c r="V117"/>
      <c r="W117"/>
      <c r="X117"/>
      <c r="Y117"/>
      <c r="Z117"/>
      <c r="AA117"/>
      <c r="AB117"/>
    </row>
    <row r="118" spans="1:28" s="35" customFormat="1">
      <c r="A118" s="34">
        <v>39661</v>
      </c>
      <c r="B118" s="90">
        <f>'[11]CoS 2017 Load History'!L156</f>
        <v>22825574.800000034</v>
      </c>
      <c r="C118" s="221">
        <f>'Residential WN'!C118</f>
        <v>51.55</v>
      </c>
      <c r="D118" s="221">
        <f>'Residential WN'!D118</f>
        <v>29.669999999999998</v>
      </c>
      <c r="E118" s="18">
        <v>31</v>
      </c>
      <c r="F118" s="18">
        <v>0</v>
      </c>
      <c r="G118" s="18">
        <f>'CDM Activity'!U50</f>
        <v>13312.467942849438</v>
      </c>
      <c r="H118" s="24">
        <v>320</v>
      </c>
      <c r="I118" s="37">
        <v>139.23021436183228</v>
      </c>
      <c r="J118" s="218">
        <f>'[11]CoS 2017 Load History'!O156</f>
        <v>504</v>
      </c>
      <c r="K118" s="9">
        <f t="shared" si="0"/>
        <v>22676454.909659982</v>
      </c>
      <c r="L118" s="18"/>
      <c r="M118" s="24"/>
      <c r="N118"/>
      <c r="O118"/>
      <c r="P118"/>
      <c r="Q118"/>
      <c r="R118"/>
      <c r="S118"/>
      <c r="T118"/>
      <c r="U118"/>
      <c r="V118"/>
      <c r="W118"/>
      <c r="X118"/>
      <c r="Y118"/>
      <c r="Z118"/>
      <c r="AA118"/>
      <c r="AB118"/>
    </row>
    <row r="119" spans="1:28" s="35" customFormat="1">
      <c r="A119" s="34">
        <v>39692</v>
      </c>
      <c r="B119" s="90">
        <f>'[11]CoS 2017 Load History'!L157</f>
        <v>21467207.539999992</v>
      </c>
      <c r="C119" s="221">
        <f>'Residential WN'!C119</f>
        <v>176.97</v>
      </c>
      <c r="D119" s="221">
        <f>'Residential WN'!D119</f>
        <v>5.05</v>
      </c>
      <c r="E119" s="18">
        <v>30</v>
      </c>
      <c r="F119" s="18">
        <v>1</v>
      </c>
      <c r="G119" s="18">
        <f>'CDM Activity'!U51</f>
        <v>14976.526435705618</v>
      </c>
      <c r="H119" s="24">
        <v>336</v>
      </c>
      <c r="I119" s="37">
        <v>139.12535846444095</v>
      </c>
      <c r="J119" s="218">
        <f>'[11]CoS 2017 Load History'!O157</f>
        <v>504</v>
      </c>
      <c r="K119" s="9">
        <f t="shared" si="0"/>
        <v>21638314.248485021</v>
      </c>
      <c r="L119" s="18"/>
      <c r="M119" s="24"/>
      <c r="N119"/>
      <c r="O119"/>
      <c r="P119"/>
      <c r="Q119"/>
      <c r="R119"/>
      <c r="S119"/>
      <c r="T119"/>
      <c r="U119"/>
      <c r="V119"/>
      <c r="W119"/>
      <c r="X119"/>
      <c r="Y119"/>
      <c r="Z119"/>
      <c r="AA119"/>
      <c r="AB119"/>
    </row>
    <row r="120" spans="1:28" s="35" customFormat="1">
      <c r="A120" s="34">
        <v>39722</v>
      </c>
      <c r="B120" s="90">
        <f>'[11]CoS 2017 Load History'!L158</f>
        <v>22467926.269999996</v>
      </c>
      <c r="C120" s="221">
        <f>'Residential WN'!C120</f>
        <v>372.15</v>
      </c>
      <c r="D120" s="221">
        <f>'Residential WN'!D120</f>
        <v>0.54</v>
      </c>
      <c r="E120" s="18">
        <v>31</v>
      </c>
      <c r="F120" s="18">
        <v>1</v>
      </c>
      <c r="G120" s="18">
        <f>'CDM Activity'!U52</f>
        <v>16640.584928561799</v>
      </c>
      <c r="H120" s="24">
        <v>352</v>
      </c>
      <c r="I120" s="37">
        <v>139.02058153524823</v>
      </c>
      <c r="J120" s="218">
        <f>'[11]CoS 2017 Load History'!O158</f>
        <v>510</v>
      </c>
      <c r="K120" s="9">
        <f t="shared" si="0"/>
        <v>23736910.78496157</v>
      </c>
      <c r="L120" s="18"/>
      <c r="M120" s="24"/>
      <c r="N120"/>
      <c r="O120"/>
      <c r="P120"/>
      <c r="Q120"/>
      <c r="R120"/>
      <c r="S120"/>
      <c r="T120"/>
      <c r="U120"/>
      <c r="V120"/>
      <c r="W120"/>
      <c r="X120"/>
      <c r="Y120"/>
      <c r="Z120"/>
      <c r="AA120"/>
      <c r="AB120"/>
    </row>
    <row r="121" spans="1:28" s="35" customFormat="1">
      <c r="A121" s="34">
        <v>39753</v>
      </c>
      <c r="B121" s="90">
        <f>'[11]CoS 2017 Load History'!L159</f>
        <v>24892281.799999986</v>
      </c>
      <c r="C121" s="221">
        <f>'Residential WN'!C121</f>
        <v>567.61000000000013</v>
      </c>
      <c r="D121" s="221">
        <f>'Residential WN'!D121</f>
        <v>0</v>
      </c>
      <c r="E121" s="18">
        <v>30</v>
      </c>
      <c r="F121" s="18">
        <v>1</v>
      </c>
      <c r="G121" s="18">
        <f>'CDM Activity'!U53</f>
        <v>18304.643421417979</v>
      </c>
      <c r="H121" s="24">
        <v>304</v>
      </c>
      <c r="I121" s="37">
        <v>138.91588351478222</v>
      </c>
      <c r="J121" s="218">
        <f>'[11]CoS 2017 Load History'!O159</f>
        <v>517</v>
      </c>
      <c r="K121" s="9">
        <f t="shared" si="0"/>
        <v>24525184.586934898</v>
      </c>
      <c r="L121" s="18"/>
      <c r="M121" s="24"/>
      <c r="N121"/>
      <c r="O121"/>
      <c r="P121"/>
      <c r="Q121"/>
      <c r="R121"/>
      <c r="S121"/>
      <c r="T121"/>
      <c r="U121"/>
      <c r="V121"/>
      <c r="W121"/>
      <c r="X121"/>
      <c r="Y121"/>
      <c r="Z121"/>
      <c r="AA121"/>
      <c r="AB121"/>
    </row>
    <row r="122" spans="1:28" s="35" customFormat="1">
      <c r="A122" s="34">
        <v>39783</v>
      </c>
      <c r="B122" s="90">
        <f>'[11]CoS 2017 Load History'!L160</f>
        <v>29306389.769999992</v>
      </c>
      <c r="C122" s="221">
        <f>'Residential WN'!C122</f>
        <v>852.28999999999974</v>
      </c>
      <c r="D122" s="221">
        <f>'Residential WN'!D122</f>
        <v>0</v>
      </c>
      <c r="E122" s="18">
        <v>31</v>
      </c>
      <c r="F122" s="18">
        <v>0</v>
      </c>
      <c r="G122" s="18">
        <f>'CDM Activity'!U54</f>
        <v>19968.701914274159</v>
      </c>
      <c r="H122" s="24">
        <v>336</v>
      </c>
      <c r="I122" s="37">
        <v>138.8112643436159</v>
      </c>
      <c r="J122" s="218">
        <f>'[11]CoS 2017 Load History'!O160</f>
        <v>507</v>
      </c>
      <c r="K122" s="9">
        <f t="shared" si="0"/>
        <v>28422099.818120115</v>
      </c>
      <c r="L122" s="18"/>
      <c r="M122" s="24"/>
      <c r="N122"/>
      <c r="O122"/>
      <c r="P122"/>
      <c r="Q122"/>
      <c r="R122"/>
      <c r="S122"/>
      <c r="T122"/>
      <c r="U122"/>
      <c r="V122"/>
      <c r="W122"/>
      <c r="X122"/>
      <c r="Y122"/>
      <c r="Z122"/>
      <c r="AA122"/>
      <c r="AB122"/>
    </row>
    <row r="123" spans="1:28" s="35" customFormat="1">
      <c r="A123" s="34">
        <v>39814</v>
      </c>
      <c r="B123" s="90">
        <f>'[11]CoS 2017 Load History'!L161</f>
        <v>30390902.34999999</v>
      </c>
      <c r="C123" s="221">
        <f>'Residential WN'!C123</f>
        <v>960.98000000000013</v>
      </c>
      <c r="D123" s="221">
        <f>'Residential WN'!D123</f>
        <v>0</v>
      </c>
      <c r="E123" s="18">
        <v>31</v>
      </c>
      <c r="F123" s="18">
        <v>0</v>
      </c>
      <c r="G123" s="18">
        <f>'CDM Activity'!U55</f>
        <v>32350.641219676876</v>
      </c>
      <c r="H123" s="24">
        <v>336</v>
      </c>
      <c r="I123" s="37">
        <v>138.43555825854429</v>
      </c>
      <c r="J123" s="218">
        <f>'[11]CoS 2017 Load History'!O161</f>
        <v>507</v>
      </c>
      <c r="K123" s="9">
        <f t="shared" si="0"/>
        <v>29327049.574159376</v>
      </c>
      <c r="L123" s="18"/>
      <c r="M123" s="24"/>
      <c r="N123"/>
      <c r="O123"/>
      <c r="P123"/>
      <c r="Q123"/>
      <c r="R123"/>
      <c r="S123"/>
      <c r="T123"/>
      <c r="U123"/>
      <c r="V123"/>
      <c r="W123"/>
      <c r="X123"/>
      <c r="Y123"/>
      <c r="Z123"/>
      <c r="AA123"/>
      <c r="AB123"/>
    </row>
    <row r="124" spans="1:28" s="35" customFormat="1">
      <c r="A124" s="34">
        <v>39845</v>
      </c>
      <c r="B124" s="90">
        <f>'[11]CoS 2017 Load History'!L162</f>
        <v>26265717.409999982</v>
      </c>
      <c r="C124" s="221">
        <f>'Residential WN'!C124</f>
        <v>875.5899999999998</v>
      </c>
      <c r="D124" s="221">
        <f>'Residential WN'!D124</f>
        <v>0</v>
      </c>
      <c r="E124" s="18">
        <v>28</v>
      </c>
      <c r="F124" s="18">
        <v>0</v>
      </c>
      <c r="G124" s="18">
        <f>'CDM Activity'!U56</f>
        <v>44732.580525079597</v>
      </c>
      <c r="H124" s="24">
        <v>304</v>
      </c>
      <c r="I124" s="37">
        <v>138.06086905825526</v>
      </c>
      <c r="J124" s="218">
        <f>'[11]CoS 2017 Load History'!O162</f>
        <v>509</v>
      </c>
      <c r="K124" s="9">
        <f t="shared" si="0"/>
        <v>26850207.940651529</v>
      </c>
      <c r="L124" s="18"/>
      <c r="M124" s="24"/>
      <c r="N124"/>
      <c r="O124"/>
      <c r="P124"/>
      <c r="Q124"/>
      <c r="R124"/>
      <c r="S124"/>
      <c r="T124"/>
      <c r="U124"/>
      <c r="V124"/>
      <c r="W124"/>
      <c r="X124"/>
      <c r="Y124"/>
      <c r="Z124"/>
      <c r="AA124"/>
      <c r="AB124"/>
    </row>
    <row r="125" spans="1:28" s="35" customFormat="1">
      <c r="A125" s="34">
        <v>39873</v>
      </c>
      <c r="B125" s="90">
        <f>'[11]CoS 2017 Load History'!L163</f>
        <v>27254363.600000005</v>
      </c>
      <c r="C125" s="221">
        <f>'Residential WN'!C125</f>
        <v>702.91</v>
      </c>
      <c r="D125" s="221">
        <f>'Residential WN'!D125</f>
        <v>0</v>
      </c>
      <c r="E125" s="18">
        <v>31</v>
      </c>
      <c r="F125" s="18">
        <v>1</v>
      </c>
      <c r="G125" s="18">
        <f>'CDM Activity'!U57</f>
        <v>57114.519830482313</v>
      </c>
      <c r="H125" s="24">
        <v>352</v>
      </c>
      <c r="I125" s="37">
        <v>137.68719399045199</v>
      </c>
      <c r="J125" s="218">
        <f>'[11]CoS 2017 Load History'!O163</f>
        <v>505</v>
      </c>
      <c r="K125" s="9">
        <f t="shared" si="0"/>
        <v>26459060.568140116</v>
      </c>
      <c r="L125" s="18"/>
      <c r="M125" s="24"/>
      <c r="N125"/>
      <c r="O125"/>
      <c r="P125"/>
      <c r="Q125"/>
      <c r="R125"/>
      <c r="S125"/>
      <c r="T125"/>
      <c r="U125"/>
      <c r="V125"/>
      <c r="W125"/>
      <c r="X125"/>
      <c r="Y125"/>
      <c r="Z125"/>
      <c r="AA125"/>
      <c r="AB125"/>
    </row>
    <row r="126" spans="1:28" s="35" customFormat="1">
      <c r="A126" s="34">
        <v>39904</v>
      </c>
      <c r="B126" s="90">
        <f>'[11]CoS 2017 Load History'!L164</f>
        <v>23432984.210000034</v>
      </c>
      <c r="C126" s="221">
        <f>'Residential WN'!C126</f>
        <v>450.5200000000001</v>
      </c>
      <c r="D126" s="221">
        <f>'Residential WN'!D126</f>
        <v>0</v>
      </c>
      <c r="E126" s="18">
        <v>30</v>
      </c>
      <c r="F126" s="18">
        <v>1</v>
      </c>
      <c r="G126" s="18">
        <f>'CDM Activity'!U58</f>
        <v>69496.45913588503</v>
      </c>
      <c r="H126" s="24">
        <v>320</v>
      </c>
      <c r="I126" s="37">
        <v>137.31453031028698</v>
      </c>
      <c r="J126" s="218">
        <f>'[11]CoS 2017 Load History'!O164</f>
        <v>509</v>
      </c>
      <c r="K126" s="9">
        <f t="shared" si="0"/>
        <v>23494997.414597597</v>
      </c>
      <c r="L126" s="18"/>
      <c r="M126" s="96"/>
      <c r="N126"/>
      <c r="O126"/>
      <c r="P126"/>
      <c r="Q126"/>
      <c r="R126"/>
      <c r="S126"/>
      <c r="T126"/>
      <c r="U126"/>
      <c r="V126"/>
      <c r="W126"/>
      <c r="X126"/>
      <c r="Y126"/>
      <c r="Z126"/>
      <c r="AA126"/>
      <c r="AB126"/>
    </row>
    <row r="127" spans="1:28" s="35" customFormat="1">
      <c r="A127" s="34">
        <v>39934</v>
      </c>
      <c r="B127" s="90">
        <f>'[11]CoS 2017 Load History'!L165</f>
        <v>22194838.930000022</v>
      </c>
      <c r="C127" s="221">
        <f>'Residential WN'!C127</f>
        <v>271.46000000000004</v>
      </c>
      <c r="D127" s="221">
        <f>'Residential WN'!D127</f>
        <v>0.47000000000000003</v>
      </c>
      <c r="E127" s="18">
        <v>31</v>
      </c>
      <c r="F127" s="18">
        <v>1</v>
      </c>
      <c r="G127" s="18">
        <f>'CDM Activity'!U59</f>
        <v>81878.398441287747</v>
      </c>
      <c r="H127" s="24">
        <v>320</v>
      </c>
      <c r="I127" s="37">
        <v>136.94287528034204</v>
      </c>
      <c r="J127" s="218">
        <f>'[11]CoS 2017 Load History'!O165</f>
        <v>511</v>
      </c>
      <c r="K127" s="9">
        <f t="shared" si="0"/>
        <v>22408787.434725411</v>
      </c>
      <c r="L127" s="18"/>
      <c r="M127" s="24"/>
      <c r="N127"/>
      <c r="O127"/>
      <c r="P127"/>
      <c r="Q127"/>
      <c r="R127"/>
      <c r="S127"/>
      <c r="T127"/>
      <c r="U127"/>
      <c r="V127"/>
      <c r="W127"/>
      <c r="X127"/>
      <c r="Y127"/>
      <c r="Z127"/>
      <c r="AA127"/>
      <c r="AB127"/>
    </row>
    <row r="128" spans="1:28" s="35" customFormat="1">
      <c r="A128" s="34">
        <v>39965</v>
      </c>
      <c r="B128" s="90">
        <f>'[11]CoS 2017 Load History'!L166</f>
        <v>21369186.910000023</v>
      </c>
      <c r="C128" s="221">
        <f>'Residential WN'!C128</f>
        <v>109.59</v>
      </c>
      <c r="D128" s="221">
        <f>'Residential WN'!D128</f>
        <v>6.7</v>
      </c>
      <c r="E128" s="18">
        <v>30</v>
      </c>
      <c r="F128" s="18">
        <v>0</v>
      </c>
      <c r="G128" s="18">
        <f>'CDM Activity'!U60</f>
        <v>94260.337746690464</v>
      </c>
      <c r="H128" s="24">
        <v>352</v>
      </c>
      <c r="I128" s="37">
        <v>136.57222617060793</v>
      </c>
      <c r="J128" s="218">
        <f>'[11]CoS 2017 Load History'!O166</f>
        <v>512</v>
      </c>
      <c r="K128" s="9">
        <f t="shared" si="0"/>
        <v>21723232.960340612</v>
      </c>
      <c r="L128" s="18"/>
      <c r="M128" s="24"/>
      <c r="N128"/>
      <c r="O128"/>
      <c r="P128"/>
      <c r="Q128"/>
      <c r="R128"/>
      <c r="S128"/>
      <c r="T128"/>
      <c r="U128"/>
      <c r="V128"/>
      <c r="W128"/>
      <c r="X128"/>
      <c r="Y128"/>
      <c r="Z128"/>
      <c r="AA128"/>
      <c r="AB128"/>
    </row>
    <row r="129" spans="1:28" s="35" customFormat="1">
      <c r="A129" s="34">
        <v>39995</v>
      </c>
      <c r="B129" s="90">
        <f>'[11]CoS 2017 Load History'!L167</f>
        <v>21789412.370000005</v>
      </c>
      <c r="C129" s="221">
        <f>'Residential WN'!C129</f>
        <v>36.33</v>
      </c>
      <c r="D129" s="221">
        <f>'Residential WN'!D129</f>
        <v>40.369999999999997</v>
      </c>
      <c r="E129" s="18">
        <v>31</v>
      </c>
      <c r="F129" s="18">
        <v>0</v>
      </c>
      <c r="G129" s="18">
        <f>'CDM Activity'!U61</f>
        <v>106642.27705209318</v>
      </c>
      <c r="H129" s="24">
        <v>352</v>
      </c>
      <c r="I129" s="37">
        <v>136.20258025846454</v>
      </c>
      <c r="J129" s="218">
        <f>'[11]CoS 2017 Load History'!O167</f>
        <v>517</v>
      </c>
      <c r="K129" s="9">
        <f t="shared" si="0"/>
        <v>23006212.362039912</v>
      </c>
      <c r="L129" s="18"/>
      <c r="M129" s="24"/>
      <c r="N129"/>
      <c r="O129"/>
      <c r="P129"/>
      <c r="Q129"/>
      <c r="R129"/>
      <c r="S129"/>
      <c r="T129"/>
      <c r="U129"/>
      <c r="V129"/>
      <c r="W129"/>
      <c r="X129"/>
      <c r="Y129"/>
      <c r="Z129"/>
      <c r="AA129"/>
      <c r="AB129"/>
    </row>
    <row r="130" spans="1:28" s="35" customFormat="1">
      <c r="A130" s="34">
        <v>40026</v>
      </c>
      <c r="B130" s="90">
        <f>'[11]CoS 2017 Load History'!L168</f>
        <v>21831315.479999978</v>
      </c>
      <c r="C130" s="221">
        <f>'Residential WN'!C130</f>
        <v>51.55</v>
      </c>
      <c r="D130" s="221">
        <f>'Residential WN'!D130</f>
        <v>29.669999999999998</v>
      </c>
      <c r="E130" s="18">
        <v>31</v>
      </c>
      <c r="F130" s="18">
        <v>0</v>
      </c>
      <c r="G130" s="18">
        <f>'CDM Activity'!U62</f>
        <v>119024.2163574959</v>
      </c>
      <c r="H130" s="24">
        <v>320</v>
      </c>
      <c r="I130" s="37">
        <v>135.83393482866074</v>
      </c>
      <c r="J130" s="218">
        <f>'[11]CoS 2017 Load History'!O168</f>
        <v>509</v>
      </c>
      <c r="K130" s="9">
        <f t="shared" si="0"/>
        <v>22369591.138751891</v>
      </c>
      <c r="L130" s="18"/>
      <c r="M130" s="24"/>
      <c r="N130"/>
      <c r="O130"/>
      <c r="P130"/>
      <c r="Q130"/>
      <c r="R130"/>
      <c r="S130"/>
      <c r="T130"/>
      <c r="U130"/>
      <c r="V130"/>
      <c r="W130"/>
      <c r="X130"/>
      <c r="Y130"/>
      <c r="Z130"/>
      <c r="AA130"/>
      <c r="AB130"/>
    </row>
    <row r="131" spans="1:28" s="35" customFormat="1">
      <c r="A131" s="34">
        <v>40057</v>
      </c>
      <c r="B131" s="90">
        <f>'[11]CoS 2017 Load History'!L169</f>
        <v>21746633.179999996</v>
      </c>
      <c r="C131" s="221">
        <f>'Residential WN'!C131</f>
        <v>176.97</v>
      </c>
      <c r="D131" s="221">
        <f>'Residential WN'!D131</f>
        <v>5.05</v>
      </c>
      <c r="E131" s="18">
        <v>30</v>
      </c>
      <c r="F131" s="18">
        <v>1</v>
      </c>
      <c r="G131" s="18">
        <f>'CDM Activity'!U63</f>
        <v>131406.15566289861</v>
      </c>
      <c r="H131" s="24">
        <v>336</v>
      </c>
      <c r="I131" s="37">
        <v>135.46628717329455</v>
      </c>
      <c r="J131" s="218">
        <f>'[11]CoS 2017 Load History'!O169</f>
        <v>500</v>
      </c>
      <c r="K131" s="9">
        <f t="shared" si="0"/>
        <v>21300338.237247877</v>
      </c>
      <c r="L131" s="18"/>
      <c r="M131" s="24"/>
      <c r="N131"/>
      <c r="O131"/>
      <c r="P131"/>
      <c r="Q131"/>
      <c r="R131"/>
      <c r="S131"/>
      <c r="T131"/>
      <c r="U131"/>
      <c r="V131"/>
      <c r="W131"/>
      <c r="X131"/>
      <c r="Y131"/>
      <c r="Z131"/>
      <c r="AA131"/>
      <c r="AB131"/>
    </row>
    <row r="132" spans="1:28" s="35" customFormat="1">
      <c r="A132" s="34">
        <v>40087</v>
      </c>
      <c r="B132" s="90">
        <f>'[11]CoS 2017 Load History'!L170</f>
        <v>22881653.959999997</v>
      </c>
      <c r="C132" s="221">
        <f>'Residential WN'!C132</f>
        <v>372.15</v>
      </c>
      <c r="D132" s="221">
        <f>'Residential WN'!D132</f>
        <v>0.54</v>
      </c>
      <c r="E132" s="18">
        <v>31</v>
      </c>
      <c r="F132" s="18">
        <v>1</v>
      </c>
      <c r="G132" s="18">
        <f>'CDM Activity'!U64</f>
        <v>143788.09496830133</v>
      </c>
      <c r="H132" s="24">
        <v>336</v>
      </c>
      <c r="I132" s="37">
        <v>135.09963459179312</v>
      </c>
      <c r="J132" s="218">
        <f>'[11]CoS 2017 Load History'!O170</f>
        <v>498</v>
      </c>
      <c r="K132" s="9">
        <f t="shared" si="0"/>
        <v>23235799.871538535</v>
      </c>
      <c r="L132" s="18"/>
      <c r="M132" s="24"/>
      <c r="N132"/>
      <c r="O132"/>
      <c r="P132"/>
      <c r="Q132"/>
      <c r="R132"/>
      <c r="S132"/>
      <c r="T132"/>
      <c r="U132"/>
      <c r="V132"/>
      <c r="W132"/>
      <c r="X132"/>
      <c r="Y132"/>
      <c r="Z132"/>
      <c r="AA132"/>
      <c r="AB132"/>
    </row>
    <row r="133" spans="1:28" s="35" customFormat="1">
      <c r="A133" s="34">
        <v>40118</v>
      </c>
      <c r="B133" s="90">
        <f>'[11]CoS 2017 Load History'!L171</f>
        <v>23647813.830000006</v>
      </c>
      <c r="C133" s="221">
        <f>'Residential WN'!C133</f>
        <v>567.61000000000013</v>
      </c>
      <c r="D133" s="221">
        <f>'Residential WN'!D133</f>
        <v>0</v>
      </c>
      <c r="E133" s="18">
        <v>30</v>
      </c>
      <c r="F133" s="18">
        <v>1</v>
      </c>
      <c r="G133" s="18">
        <f>'CDM Activity'!U65</f>
        <v>156170.03427370405</v>
      </c>
      <c r="H133" s="24">
        <v>320</v>
      </c>
      <c r="I133" s="37">
        <v>134.733974390893</v>
      </c>
      <c r="J133" s="218">
        <f>'[11]CoS 2017 Load History'!O171</f>
        <v>496</v>
      </c>
      <c r="K133" s="9">
        <f t="shared" si="0"/>
        <v>24257006.756896459</v>
      </c>
      <c r="L133" s="18"/>
      <c r="M133" s="24"/>
      <c r="N133"/>
      <c r="O133"/>
      <c r="P133"/>
      <c r="Q133"/>
      <c r="R133"/>
      <c r="S133"/>
      <c r="T133"/>
      <c r="U133"/>
      <c r="V133"/>
      <c r="W133"/>
      <c r="X133"/>
      <c r="Y133"/>
      <c r="Z133"/>
      <c r="AA133"/>
      <c r="AB133"/>
    </row>
    <row r="134" spans="1:28" s="35" customFormat="1">
      <c r="A134" s="34">
        <v>40148</v>
      </c>
      <c r="B134" s="90">
        <f>'[11]CoS 2017 Load History'!L172</f>
        <v>27999304.569999997</v>
      </c>
      <c r="C134" s="221">
        <f>'Residential WN'!C134</f>
        <v>852.28999999999974</v>
      </c>
      <c r="D134" s="221">
        <f>'Residential WN'!D134</f>
        <v>0</v>
      </c>
      <c r="E134" s="18">
        <v>31</v>
      </c>
      <c r="F134" s="18">
        <v>0</v>
      </c>
      <c r="G134" s="18">
        <f>'CDM Activity'!U66</f>
        <v>168551.97357910677</v>
      </c>
      <c r="H134" s="24">
        <v>352</v>
      </c>
      <c r="I134" s="37">
        <v>134.36930388462019</v>
      </c>
      <c r="J134" s="218">
        <f>'[11]CoS 2017 Load History'!O172</f>
        <v>500</v>
      </c>
      <c r="K134" s="9">
        <f t="shared" si="0"/>
        <v>28122809.747752611</v>
      </c>
      <c r="L134" s="18"/>
      <c r="M134" s="24"/>
      <c r="N134"/>
      <c r="O134"/>
      <c r="P134"/>
      <c r="Q134"/>
      <c r="R134"/>
      <c r="S134"/>
      <c r="T134"/>
      <c r="U134"/>
      <c r="V134"/>
      <c r="W134"/>
      <c r="X134"/>
      <c r="Y134"/>
      <c r="Z134"/>
      <c r="AA134"/>
      <c r="AB134"/>
    </row>
    <row r="135" spans="1:28" s="35" customFormat="1">
      <c r="A135" s="34">
        <v>40179</v>
      </c>
      <c r="B135" s="90">
        <f>'[11]CoS 2017 Load History'!L173</f>
        <v>28838475.690000013</v>
      </c>
      <c r="C135" s="221">
        <f>'Residential WN'!C135</f>
        <v>960.98000000000013</v>
      </c>
      <c r="D135" s="221">
        <f>'Residential WN'!D135</f>
        <v>0</v>
      </c>
      <c r="E135" s="18">
        <v>31</v>
      </c>
      <c r="F135" s="18">
        <v>0</v>
      </c>
      <c r="G135" s="18">
        <f>'CDM Activity'!U67</f>
        <v>171366.41509777043</v>
      </c>
      <c r="H135" s="18">
        <v>320</v>
      </c>
      <c r="I135" s="37">
        <v>134.73334561620703</v>
      </c>
      <c r="J135" s="218">
        <f>'[11]CoS 2017 Load History'!O173</f>
        <v>500</v>
      </c>
      <c r="K135" s="9">
        <f t="shared" si="0"/>
        <v>28791487.048212785</v>
      </c>
      <c r="L135" s="18"/>
      <c r="M135" s="24"/>
      <c r="N135"/>
      <c r="O135"/>
      <c r="P135"/>
      <c r="Q135"/>
      <c r="R135"/>
      <c r="S135"/>
      <c r="T135"/>
      <c r="U135"/>
      <c r="V135"/>
      <c r="W135"/>
      <c r="X135"/>
      <c r="Y135"/>
      <c r="Z135"/>
      <c r="AA135"/>
      <c r="AB135"/>
    </row>
    <row r="136" spans="1:28" s="35" customFormat="1">
      <c r="A136" s="34">
        <v>40210</v>
      </c>
      <c r="B136" s="90">
        <f>'[11]CoS 2017 Load History'!L174</f>
        <v>25306729.540000018</v>
      </c>
      <c r="C136" s="221">
        <f>'Residential WN'!C136</f>
        <v>875.5899999999998</v>
      </c>
      <c r="D136" s="221">
        <f>'Residential WN'!D136</f>
        <v>0</v>
      </c>
      <c r="E136" s="18">
        <v>28</v>
      </c>
      <c r="F136" s="18">
        <v>0</v>
      </c>
      <c r="G136" s="18">
        <f>'CDM Activity'!U68</f>
        <v>174180.85661643409</v>
      </c>
      <c r="H136" s="18">
        <v>304</v>
      </c>
      <c r="I136" s="37">
        <v>135.09837363244745</v>
      </c>
      <c r="J136" s="218">
        <f>'[11]CoS 2017 Load History'!O174</f>
        <v>499</v>
      </c>
      <c r="K136" s="9">
        <f t="shared" si="0"/>
        <v>26474440.944696322</v>
      </c>
      <c r="L136" s="18"/>
      <c r="M136" s="24"/>
      <c r="N136"/>
      <c r="O136"/>
      <c r="P136"/>
      <c r="Q136"/>
      <c r="R136"/>
      <c r="S136"/>
      <c r="T136"/>
      <c r="U136"/>
      <c r="V136"/>
      <c r="W136"/>
      <c r="X136"/>
      <c r="Y136"/>
      <c r="Z136"/>
      <c r="AA136"/>
      <c r="AB136"/>
    </row>
    <row r="137" spans="1:28" s="35" customFormat="1">
      <c r="A137" s="34">
        <v>40238</v>
      </c>
      <c r="B137" s="90">
        <f>'[11]CoS 2017 Load History'!L175</f>
        <v>24777899.930000026</v>
      </c>
      <c r="C137" s="221">
        <f>'Residential WN'!C137</f>
        <v>702.91</v>
      </c>
      <c r="D137" s="221">
        <f>'Residential WN'!D137</f>
        <v>0</v>
      </c>
      <c r="E137" s="18">
        <v>31</v>
      </c>
      <c r="F137" s="18">
        <v>1</v>
      </c>
      <c r="G137" s="18">
        <f>'CDM Activity'!U69</f>
        <v>176995.29813509775</v>
      </c>
      <c r="H137" s="18">
        <v>368</v>
      </c>
      <c r="I137" s="37">
        <v>135.46439060544563</v>
      </c>
      <c r="J137" s="218">
        <f>'[11]CoS 2017 Load History'!O175</f>
        <v>504</v>
      </c>
      <c r="K137" s="9">
        <f t="shared" si="0"/>
        <v>26243089.10217629</v>
      </c>
      <c r="L137" s="18"/>
      <c r="M137" s="24"/>
      <c r="N137"/>
      <c r="O137"/>
      <c r="P137"/>
      <c r="Q137"/>
      <c r="R137"/>
      <c r="S137"/>
      <c r="T137"/>
      <c r="U137"/>
      <c r="V137"/>
      <c r="W137"/>
      <c r="X137"/>
      <c r="Y137"/>
      <c r="Z137"/>
      <c r="AA137"/>
      <c r="AB137"/>
    </row>
    <row r="138" spans="1:28" s="35" customFormat="1">
      <c r="A138" s="34">
        <v>40269</v>
      </c>
      <c r="B138" s="90">
        <f>'[11]CoS 2017 Load History'!L176</f>
        <v>21809289.850000009</v>
      </c>
      <c r="C138" s="221">
        <f>'Residential WN'!C138</f>
        <v>450.5200000000001</v>
      </c>
      <c r="D138" s="221">
        <f>'Residential WN'!D138</f>
        <v>0</v>
      </c>
      <c r="E138" s="18">
        <v>30</v>
      </c>
      <c r="F138" s="18">
        <v>1</v>
      </c>
      <c r="G138" s="18">
        <f>'CDM Activity'!U70</f>
        <v>179809.73965376141</v>
      </c>
      <c r="H138" s="18">
        <v>320</v>
      </c>
      <c r="I138" s="37">
        <v>135.83139921454512</v>
      </c>
      <c r="J138" s="218">
        <f>'[11]CoS 2017 Load History'!O176</f>
        <v>502</v>
      </c>
      <c r="K138" s="9">
        <f t="shared" si="0"/>
        <v>23174776.154911507</v>
      </c>
      <c r="L138" s="18"/>
      <c r="M138" s="24"/>
      <c r="N138"/>
      <c r="O138"/>
      <c r="P138"/>
      <c r="Q138"/>
      <c r="R138"/>
      <c r="S138"/>
      <c r="T138"/>
      <c r="U138"/>
      <c r="V138"/>
      <c r="W138"/>
      <c r="X138"/>
      <c r="Y138"/>
      <c r="Z138"/>
      <c r="AA138"/>
      <c r="AB138"/>
    </row>
    <row r="139" spans="1:28" s="35" customFormat="1">
      <c r="A139" s="34">
        <v>40299</v>
      </c>
      <c r="B139" s="90">
        <f>'[11]CoS 2017 Load History'!L177</f>
        <v>21546572.909999996</v>
      </c>
      <c r="C139" s="221">
        <f>'Residential WN'!C139</f>
        <v>271.46000000000004</v>
      </c>
      <c r="D139" s="221">
        <f>'Residential WN'!D139</f>
        <v>0.47000000000000003</v>
      </c>
      <c r="E139" s="18">
        <v>31</v>
      </c>
      <c r="F139" s="18">
        <v>1</v>
      </c>
      <c r="G139" s="18">
        <f>'CDM Activity'!U71</f>
        <v>182624.18117242507</v>
      </c>
      <c r="H139" s="18">
        <v>320</v>
      </c>
      <c r="I139" s="37">
        <v>136.19940214634852</v>
      </c>
      <c r="J139" s="218">
        <f>'[11]CoS 2017 Load History'!O177</f>
        <v>504</v>
      </c>
      <c r="K139" s="9">
        <f t="shared" si="0"/>
        <v>22116339.043173876</v>
      </c>
      <c r="L139" s="18"/>
      <c r="M139" s="24"/>
      <c r="N139"/>
      <c r="O139"/>
      <c r="P139"/>
      <c r="Q139"/>
      <c r="R139"/>
      <c r="S139"/>
      <c r="T139"/>
      <c r="U139"/>
      <c r="V139"/>
      <c r="W139"/>
      <c r="X139"/>
      <c r="Y139"/>
      <c r="Z139"/>
      <c r="AA139"/>
      <c r="AB139"/>
    </row>
    <row r="140" spans="1:28" s="35" customFormat="1">
      <c r="A140" s="34">
        <v>40330</v>
      </c>
      <c r="B140" s="90">
        <f>'[11]CoS 2017 Load History'!L178</f>
        <v>21152488.750000004</v>
      </c>
      <c r="C140" s="221">
        <f>'Residential WN'!C140</f>
        <v>109.59</v>
      </c>
      <c r="D140" s="221">
        <f>'Residential WN'!D140</f>
        <v>6.7</v>
      </c>
      <c r="E140" s="18">
        <v>30</v>
      </c>
      <c r="F140" s="18">
        <v>0</v>
      </c>
      <c r="G140" s="18">
        <f>'CDM Activity'!U72</f>
        <v>185438.62269108873</v>
      </c>
      <c r="H140" s="18">
        <v>352</v>
      </c>
      <c r="I140" s="37">
        <v>136.56840209473719</v>
      </c>
      <c r="J140" s="218">
        <f>'[11]CoS 2017 Load History'!O178</f>
        <v>507</v>
      </c>
      <c r="K140" s="9">
        <f t="shared" si="0"/>
        <v>21458557.436923638</v>
      </c>
      <c r="L140" s="18"/>
      <c r="M140" s="24"/>
      <c r="N140"/>
      <c r="O140"/>
      <c r="P140"/>
      <c r="Q140"/>
      <c r="R140"/>
      <c r="S140"/>
      <c r="T140"/>
      <c r="U140"/>
      <c r="V140"/>
      <c r="W140"/>
      <c r="X140"/>
      <c r="Y140"/>
      <c r="Z140"/>
      <c r="AA140"/>
      <c r="AB140"/>
    </row>
    <row r="141" spans="1:28" s="35" customFormat="1">
      <c r="A141" s="34">
        <v>40360</v>
      </c>
      <c r="B141" s="90">
        <f>'[11]CoS 2017 Load History'!L179</f>
        <v>23012031.620000001</v>
      </c>
      <c r="C141" s="221">
        <f>'Residential WN'!C141</f>
        <v>36.33</v>
      </c>
      <c r="D141" s="221">
        <f>'Residential WN'!D141</f>
        <v>40.369999999999997</v>
      </c>
      <c r="E141" s="18">
        <v>31</v>
      </c>
      <c r="F141" s="18">
        <v>0</v>
      </c>
      <c r="G141" s="18">
        <f>'CDM Activity'!U73</f>
        <v>188253.0642097524</v>
      </c>
      <c r="H141" s="18">
        <v>336</v>
      </c>
      <c r="I141" s="37">
        <v>136.93840176089088</v>
      </c>
      <c r="J141" s="218">
        <f>'[11]CoS 2017 Load History'!O179</f>
        <v>508</v>
      </c>
      <c r="K141" s="9">
        <f t="shared" si="0"/>
        <v>22637287.044900671</v>
      </c>
      <c r="L141" s="18"/>
      <c r="M141" s="24"/>
      <c r="N141"/>
      <c r="O141"/>
      <c r="P141"/>
      <c r="Q141"/>
      <c r="R141"/>
      <c r="S141"/>
      <c r="T141"/>
      <c r="U141"/>
      <c r="V141"/>
      <c r="W141"/>
      <c r="X141"/>
      <c r="Y141"/>
      <c r="Z141"/>
      <c r="AA141"/>
      <c r="AB141"/>
    </row>
    <row r="142" spans="1:28" s="35" customFormat="1">
      <c r="A142" s="34">
        <v>40391</v>
      </c>
      <c r="B142" s="90">
        <f>'[11]CoS 2017 Load History'!L180</f>
        <v>22901514.910000049</v>
      </c>
      <c r="C142" s="221">
        <f>'Residential WN'!C142</f>
        <v>51.55</v>
      </c>
      <c r="D142" s="221">
        <f>'Residential WN'!D142</f>
        <v>29.669999999999998</v>
      </c>
      <c r="E142" s="18">
        <v>31</v>
      </c>
      <c r="F142" s="18">
        <v>0</v>
      </c>
      <c r="G142" s="18">
        <f>'CDM Activity'!U74</f>
        <v>191067.50572841606</v>
      </c>
      <c r="H142" s="18">
        <v>336</v>
      </c>
      <c r="I142" s="37">
        <v>137.30940385330757</v>
      </c>
      <c r="J142" s="218">
        <f>'[11]CoS 2017 Load History'!O180</f>
        <v>505</v>
      </c>
      <c r="K142" s="9">
        <f t="shared" si="0"/>
        <v>22292484.013460852</v>
      </c>
      <c r="L142" s="18"/>
      <c r="M142" s="24"/>
      <c r="N142"/>
      <c r="O142"/>
      <c r="P142"/>
      <c r="Q142"/>
      <c r="R142"/>
      <c r="S142"/>
      <c r="T142"/>
      <c r="U142"/>
      <c r="V142"/>
      <c r="W142"/>
      <c r="X142"/>
      <c r="Y142"/>
      <c r="Z142"/>
      <c r="AA142"/>
      <c r="AB142"/>
    </row>
    <row r="143" spans="1:28" s="35" customFormat="1">
      <c r="A143" s="34">
        <v>40422</v>
      </c>
      <c r="B143" s="90">
        <f>'[11]CoS 2017 Load History'!L181</f>
        <v>21432268.879999973</v>
      </c>
      <c r="C143" s="221">
        <f>'Residential WN'!C143</f>
        <v>176.97</v>
      </c>
      <c r="D143" s="221">
        <f>'Residential WN'!D143</f>
        <v>5.05</v>
      </c>
      <c r="E143" s="18">
        <v>30</v>
      </c>
      <c r="F143" s="18">
        <v>1</v>
      </c>
      <c r="G143" s="18">
        <f>'CDM Activity'!U75</f>
        <v>193881.94724707972</v>
      </c>
      <c r="H143" s="18">
        <v>336</v>
      </c>
      <c r="I143" s="37">
        <v>137.68141108782325</v>
      </c>
      <c r="J143" s="218">
        <f>'[11]CoS 2017 Load History'!O181</f>
        <v>510</v>
      </c>
      <c r="K143" s="9">
        <f t="shared" si="0"/>
        <v>21118981.31823457</v>
      </c>
      <c r="L143" s="18"/>
      <c r="M143" s="24"/>
      <c r="N143"/>
      <c r="O143"/>
      <c r="P143"/>
      <c r="Q143"/>
      <c r="R143"/>
      <c r="S143"/>
      <c r="T143"/>
      <c r="U143"/>
      <c r="V143"/>
      <c r="W143"/>
      <c r="X143"/>
      <c r="Y143"/>
      <c r="Z143"/>
      <c r="AA143"/>
      <c r="AB143"/>
    </row>
    <row r="144" spans="1:28" s="35" customFormat="1">
      <c r="A144" s="34">
        <v>40452</v>
      </c>
      <c r="B144" s="90">
        <f>'[11]CoS 2017 Load History'!L182</f>
        <v>22472903.979999989</v>
      </c>
      <c r="C144" s="221">
        <f>'Residential WN'!C144</f>
        <v>372.15</v>
      </c>
      <c r="D144" s="221">
        <f>'Residential WN'!D144</f>
        <v>0.54</v>
      </c>
      <c r="E144" s="18">
        <v>31</v>
      </c>
      <c r="F144" s="18">
        <v>1</v>
      </c>
      <c r="G144" s="18">
        <f>'CDM Activity'!U76</f>
        <v>196696.38876574338</v>
      </c>
      <c r="H144" s="18">
        <v>320</v>
      </c>
      <c r="I144" s="37">
        <v>138.0544261876318</v>
      </c>
      <c r="J144" s="218">
        <f>'[11]CoS 2017 Load History'!O182</f>
        <v>510</v>
      </c>
      <c r="K144" s="9">
        <f t="shared" si="0"/>
        <v>22950193.158802968</v>
      </c>
      <c r="L144" s="18"/>
      <c r="M144" s="24"/>
      <c r="N144"/>
      <c r="O144"/>
      <c r="P144"/>
      <c r="Q144"/>
      <c r="R144"/>
      <c r="S144"/>
      <c r="T144"/>
      <c r="U144"/>
      <c r="V144"/>
      <c r="W144"/>
      <c r="X144"/>
      <c r="Y144"/>
      <c r="Z144"/>
      <c r="AA144"/>
      <c r="AB144"/>
    </row>
    <row r="145" spans="1:28" s="35" customFormat="1">
      <c r="A145" s="34">
        <v>40483</v>
      </c>
      <c r="B145" s="90">
        <f>'[11]CoS 2017 Load History'!L183</f>
        <v>24030452.420000006</v>
      </c>
      <c r="C145" s="221">
        <f>'Residential WN'!C145</f>
        <v>567.61000000000013</v>
      </c>
      <c r="D145" s="221">
        <f>'Residential WN'!D145</f>
        <v>0</v>
      </c>
      <c r="E145" s="18">
        <v>30</v>
      </c>
      <c r="F145" s="18">
        <v>1</v>
      </c>
      <c r="G145" s="18">
        <f>'CDM Activity'!U77</f>
        <v>199510.83028440704</v>
      </c>
      <c r="H145" s="18">
        <v>336</v>
      </c>
      <c r="I145" s="37">
        <v>138.42845188330503</v>
      </c>
      <c r="J145" s="218">
        <f>'[11]CoS 2017 Load History'!O183</f>
        <v>515</v>
      </c>
      <c r="K145" s="9">
        <f t="shared" si="0"/>
        <v>24263218.236009099</v>
      </c>
      <c r="L145" s="18"/>
      <c r="M145" s="24"/>
      <c r="N145"/>
      <c r="O145"/>
      <c r="P145"/>
      <c r="Q145"/>
      <c r="R145"/>
      <c r="S145"/>
      <c r="T145"/>
      <c r="U145"/>
      <c r="V145"/>
      <c r="W145"/>
      <c r="X145"/>
      <c r="Y145"/>
      <c r="Z145"/>
      <c r="AA145"/>
      <c r="AB145"/>
    </row>
    <row r="146" spans="1:28" s="35" customFormat="1">
      <c r="A146" s="34">
        <v>40513</v>
      </c>
      <c r="B146" s="90">
        <f>'[11]CoS 2017 Load History'!L184</f>
        <v>27767188.379999999</v>
      </c>
      <c r="C146" s="221">
        <f>'Residential WN'!C146</f>
        <v>852.28999999999974</v>
      </c>
      <c r="D146" s="221">
        <f>'Residential WN'!D146</f>
        <v>0</v>
      </c>
      <c r="E146" s="18">
        <v>31</v>
      </c>
      <c r="F146" s="18">
        <v>0</v>
      </c>
      <c r="G146" s="18">
        <f>'CDM Activity'!U78</f>
        <v>202325.2718030707</v>
      </c>
      <c r="H146" s="18">
        <v>368</v>
      </c>
      <c r="I146" s="37">
        <v>138.80349091281266</v>
      </c>
      <c r="J146" s="218">
        <f>'[11]CoS 2017 Load History'!O184</f>
        <v>516</v>
      </c>
      <c r="K146" s="9">
        <f t="shared" si="0"/>
        <v>28156794.094999809</v>
      </c>
      <c r="L146" s="18"/>
      <c r="M146" s="24"/>
      <c r="N146"/>
      <c r="O146"/>
      <c r="P146"/>
      <c r="Q146"/>
      <c r="R146"/>
      <c r="S146"/>
      <c r="T146"/>
      <c r="U146"/>
      <c r="V146"/>
      <c r="W146"/>
      <c r="X146"/>
      <c r="Y146"/>
      <c r="Z146"/>
      <c r="AA146"/>
      <c r="AB146"/>
    </row>
    <row r="147" spans="1:28" s="35" customFormat="1">
      <c r="A147" s="34">
        <v>40544</v>
      </c>
      <c r="B147" s="90">
        <f>'[11]CoS 2017 Load History'!L185</f>
        <v>29631691.289999962</v>
      </c>
      <c r="C147" s="221">
        <f>'Residential WN'!C147</f>
        <v>960.98000000000013</v>
      </c>
      <c r="D147" s="221">
        <f>'Residential WN'!D147</f>
        <v>0</v>
      </c>
      <c r="E147" s="96">
        <v>31</v>
      </c>
      <c r="F147" s="18">
        <v>0</v>
      </c>
      <c r="G147" s="18">
        <f>'CDM Activity'!U79</f>
        <v>199054.10932333182</v>
      </c>
      <c r="H147" s="18">
        <v>336</v>
      </c>
      <c r="I147" s="37">
        <v>139.10070640604135</v>
      </c>
      <c r="J147" s="218">
        <f>'[11]CoS 2017 Load History'!O185</f>
        <v>499</v>
      </c>
      <c r="K147" s="9">
        <f t="shared" si="0"/>
        <v>28843136.90018589</v>
      </c>
      <c r="L147" s="18"/>
      <c r="M147" s="24"/>
      <c r="N147"/>
      <c r="O147"/>
      <c r="P147"/>
      <c r="Q147"/>
      <c r="R147"/>
      <c r="S147"/>
      <c r="T147"/>
      <c r="U147"/>
      <c r="V147"/>
      <c r="W147"/>
      <c r="X147"/>
      <c r="Y147"/>
      <c r="Z147"/>
      <c r="AA147"/>
      <c r="AB147"/>
    </row>
    <row r="148" spans="1:28" s="35" customFormat="1">
      <c r="A148" s="34">
        <v>40575</v>
      </c>
      <c r="B148" s="90">
        <f>'[11]CoS 2017 Load History'!L186</f>
        <v>26046838.789999999</v>
      </c>
      <c r="C148" s="221">
        <f>'Residential WN'!C148</f>
        <v>875.5899999999998</v>
      </c>
      <c r="D148" s="221">
        <f>'Residential WN'!D148</f>
        <v>0</v>
      </c>
      <c r="E148" s="96">
        <v>28</v>
      </c>
      <c r="F148" s="18">
        <v>0</v>
      </c>
      <c r="G148" s="18">
        <f>'CDM Activity'!U80</f>
        <v>195782.94684359294</v>
      </c>
      <c r="H148" s="18">
        <v>304</v>
      </c>
      <c r="I148" s="37">
        <v>139.39855831733732</v>
      </c>
      <c r="J148" s="218">
        <f>'[11]CoS 2017 Load History'!O186</f>
        <v>500</v>
      </c>
      <c r="K148" s="9">
        <f t="shared" si="0"/>
        <v>26411733.639538512</v>
      </c>
      <c r="L148" s="18"/>
      <c r="M148" s="24"/>
      <c r="N148"/>
      <c r="O148"/>
      <c r="P148"/>
      <c r="Q148"/>
      <c r="R148"/>
      <c r="S148"/>
      <c r="T148"/>
      <c r="U148"/>
      <c r="V148"/>
      <c r="W148"/>
      <c r="X148"/>
      <c r="Y148"/>
      <c r="Z148"/>
      <c r="AA148"/>
      <c r="AB148"/>
    </row>
    <row r="149" spans="1:28" s="35" customFormat="1">
      <c r="A149" s="34">
        <v>40603</v>
      </c>
      <c r="B149" s="90">
        <f>'[11]CoS 2017 Load History'!L187</f>
        <v>26570003.080000009</v>
      </c>
      <c r="C149" s="221">
        <f>'Residential WN'!C149</f>
        <v>702.91</v>
      </c>
      <c r="D149" s="221">
        <f>'Residential WN'!D149</f>
        <v>0</v>
      </c>
      <c r="E149" s="96">
        <v>31</v>
      </c>
      <c r="F149" s="18">
        <v>1</v>
      </c>
      <c r="G149" s="18">
        <f>'CDM Activity'!U81</f>
        <v>192511.78436385407</v>
      </c>
      <c r="H149" s="18">
        <v>368</v>
      </c>
      <c r="I149" s="37">
        <v>139.69704800944226</v>
      </c>
      <c r="J149" s="218">
        <f>'[11]CoS 2017 Load History'!O187</f>
        <v>505</v>
      </c>
      <c r="K149" s="9">
        <f t="shared" si="0"/>
        <v>26198047.301744394</v>
      </c>
      <c r="L149" s="18"/>
      <c r="M149" s="24"/>
      <c r="N149"/>
      <c r="O149"/>
      <c r="P149"/>
      <c r="Q149"/>
      <c r="R149"/>
      <c r="S149"/>
      <c r="T149"/>
      <c r="U149"/>
      <c r="V149"/>
      <c r="W149"/>
      <c r="X149"/>
      <c r="Y149"/>
      <c r="Z149"/>
      <c r="AA149"/>
      <c r="AB149"/>
    </row>
    <row r="150" spans="1:28" s="35" customFormat="1">
      <c r="A150" s="34">
        <v>40634</v>
      </c>
      <c r="B150" s="90">
        <f>'[11]CoS 2017 Load History'!L188</f>
        <v>23083598.169999979</v>
      </c>
      <c r="C150" s="221">
        <f>'Residential WN'!C150</f>
        <v>450.5200000000001</v>
      </c>
      <c r="D150" s="221">
        <f>'Residential WN'!D150</f>
        <v>0</v>
      </c>
      <c r="E150" s="96">
        <v>30</v>
      </c>
      <c r="F150" s="18">
        <v>1</v>
      </c>
      <c r="G150" s="18">
        <f>'CDM Activity'!U82</f>
        <v>189240.62188411519</v>
      </c>
      <c r="H150" s="18">
        <v>320</v>
      </c>
      <c r="I150" s="37">
        <v>139.99617684801592</v>
      </c>
      <c r="J150" s="218">
        <f>'[11]CoS 2017 Load History'!O188</f>
        <v>506</v>
      </c>
      <c r="K150" s="9">
        <f t="shared" si="0"/>
        <v>23147399.859205518</v>
      </c>
      <c r="L150" s="18"/>
      <c r="M150" s="24"/>
      <c r="N150"/>
      <c r="O150"/>
      <c r="P150"/>
      <c r="Q150"/>
      <c r="R150"/>
      <c r="S150"/>
      <c r="T150"/>
      <c r="U150"/>
      <c r="V150"/>
      <c r="W150"/>
      <c r="X150"/>
      <c r="Y150"/>
      <c r="Z150"/>
      <c r="AA150"/>
      <c r="AB150"/>
    </row>
    <row r="151" spans="1:28" s="35" customFormat="1">
      <c r="A151" s="34">
        <v>40664</v>
      </c>
      <c r="B151" s="90">
        <f>'[11]CoS 2017 Load History'!L189</f>
        <v>21824619.570000008</v>
      </c>
      <c r="C151" s="221">
        <f>'Residential WN'!C151</f>
        <v>271.46000000000004</v>
      </c>
      <c r="D151" s="221">
        <f>'Residential WN'!D151</f>
        <v>0.47000000000000003</v>
      </c>
      <c r="E151" s="96">
        <v>31</v>
      </c>
      <c r="F151" s="18">
        <v>1</v>
      </c>
      <c r="G151" s="18">
        <f>'CDM Activity'!U83</f>
        <v>185969.45940437631</v>
      </c>
      <c r="H151" s="18">
        <v>336</v>
      </c>
      <c r="I151" s="37">
        <v>140.29594620164227</v>
      </c>
      <c r="J151" s="218">
        <f>'[11]CoS 2017 Load History'!O189</f>
        <v>507</v>
      </c>
      <c r="K151" s="9">
        <f t="shared" si="0"/>
        <v>22238650.914050624</v>
      </c>
      <c r="L151" s="18"/>
      <c r="M151" s="24"/>
      <c r="N151"/>
      <c r="O151"/>
      <c r="P151"/>
      <c r="Q151"/>
      <c r="R151"/>
      <c r="S151"/>
      <c r="T151"/>
      <c r="U151"/>
      <c r="V151"/>
      <c r="W151"/>
      <c r="X151"/>
      <c r="Y151"/>
      <c r="Z151"/>
      <c r="AA151"/>
      <c r="AB151"/>
    </row>
    <row r="152" spans="1:28" s="35" customFormat="1">
      <c r="A152" s="34">
        <v>40695</v>
      </c>
      <c r="B152" s="90">
        <f>'[11]CoS 2017 Load History'!L190</f>
        <v>20701172.160000015</v>
      </c>
      <c r="C152" s="221">
        <f>'Residential WN'!C152</f>
        <v>109.59</v>
      </c>
      <c r="D152" s="221">
        <f>'Residential WN'!D152</f>
        <v>6.7</v>
      </c>
      <c r="E152" s="96">
        <v>30</v>
      </c>
      <c r="F152" s="18">
        <v>0</v>
      </c>
      <c r="G152" s="18">
        <f>'CDM Activity'!U84</f>
        <v>182698.29692463743</v>
      </c>
      <c r="H152" s="18">
        <v>352</v>
      </c>
      <c r="I152" s="37">
        <v>140.59635744183578</v>
      </c>
      <c r="J152" s="218">
        <f>'[11]CoS 2017 Load History'!O190</f>
        <v>507</v>
      </c>
      <c r="K152" s="9">
        <f t="shared" ref="K152:K215" si="1">$O$103+C152*$O$104+D152*$O$105+E152*$O$106+F152*$O$107+G152*$O$108+H152*$O$109</f>
        <v>21466512.150669467</v>
      </c>
      <c r="L152" s="18"/>
      <c r="M152" s="24"/>
      <c r="N152"/>
      <c r="O152"/>
      <c r="P152"/>
      <c r="Q152"/>
      <c r="R152"/>
      <c r="S152"/>
      <c r="T152"/>
      <c r="U152"/>
      <c r="V152"/>
      <c r="W152"/>
      <c r="X152"/>
      <c r="Y152"/>
      <c r="Z152"/>
      <c r="AA152"/>
      <c r="AB152"/>
    </row>
    <row r="153" spans="1:28" s="35" customFormat="1">
      <c r="A153" s="34">
        <v>40725</v>
      </c>
      <c r="B153" s="90">
        <f>'[11]CoS 2017 Load History'!L191</f>
        <v>22583045.949999999</v>
      </c>
      <c r="C153" s="221">
        <f>'Residential WN'!C153</f>
        <v>36.33</v>
      </c>
      <c r="D153" s="221">
        <f>'Residential WN'!D153</f>
        <v>40.369999999999997</v>
      </c>
      <c r="E153" s="96">
        <v>31</v>
      </c>
      <c r="F153" s="18">
        <v>0</v>
      </c>
      <c r="G153" s="18">
        <f>'CDM Activity'!U85</f>
        <v>179427.13444489855</v>
      </c>
      <c r="H153" s="18">
        <v>320</v>
      </c>
      <c r="I153" s="37">
        <v>140.89741194304773</v>
      </c>
      <c r="J153" s="218">
        <f>'[11]CoS 2017 Load History'!O191</f>
        <v>503</v>
      </c>
      <c r="K153" s="9">
        <f t="shared" si="1"/>
        <v>22530884.601515587</v>
      </c>
      <c r="L153" s="18"/>
      <c r="M153" s="24"/>
      <c r="N153"/>
      <c r="O153"/>
      <c r="P153"/>
      <c r="Q153"/>
      <c r="R153"/>
      <c r="S153"/>
      <c r="T153"/>
      <c r="U153"/>
      <c r="V153"/>
      <c r="W153"/>
      <c r="X153"/>
      <c r="Y153"/>
      <c r="Z153"/>
      <c r="AA153"/>
      <c r="AB153"/>
    </row>
    <row r="154" spans="1:28" s="35" customFormat="1">
      <c r="A154" s="34">
        <v>40756</v>
      </c>
      <c r="B154" s="90">
        <f>'[11]CoS 2017 Load History'!L192</f>
        <v>22784484.029999986</v>
      </c>
      <c r="C154" s="221">
        <f>'Residential WN'!C154</f>
        <v>51.55</v>
      </c>
      <c r="D154" s="221">
        <f>'Residential WN'!D154</f>
        <v>29.669999999999998</v>
      </c>
      <c r="E154" s="96">
        <v>31</v>
      </c>
      <c r="F154" s="18">
        <v>0</v>
      </c>
      <c r="G154" s="18">
        <f>'CDM Activity'!U86</f>
        <v>176155.97196515967</v>
      </c>
      <c r="H154" s="18">
        <v>352</v>
      </c>
      <c r="I154" s="37">
        <v>141.19911108267243</v>
      </c>
      <c r="J154" s="218">
        <f>'[11]CoS 2017 Load History'!O192</f>
        <v>507</v>
      </c>
      <c r="K154" s="9">
        <f t="shared" si="1"/>
        <v>22467792.398515332</v>
      </c>
      <c r="L154" s="18"/>
      <c r="M154" s="24"/>
      <c r="N154"/>
      <c r="O154"/>
      <c r="P154"/>
      <c r="Q154"/>
      <c r="R154"/>
      <c r="S154"/>
      <c r="T154"/>
      <c r="U154"/>
      <c r="V154"/>
      <c r="W154"/>
      <c r="X154"/>
      <c r="Y154"/>
      <c r="Z154"/>
      <c r="AA154"/>
      <c r="AB154"/>
    </row>
    <row r="155" spans="1:28" s="35" customFormat="1">
      <c r="A155" s="34">
        <v>40787</v>
      </c>
      <c r="B155" s="90">
        <f>'[11]CoS 2017 Load History'!L193</f>
        <v>21345135.690000005</v>
      </c>
      <c r="C155" s="221">
        <f>'Residential WN'!C155</f>
        <v>176.97</v>
      </c>
      <c r="D155" s="221">
        <f>'Residential WN'!D155</f>
        <v>5.05</v>
      </c>
      <c r="E155" s="96">
        <v>30</v>
      </c>
      <c r="F155" s="18">
        <v>1</v>
      </c>
      <c r="G155" s="18">
        <f>'CDM Activity'!U87</f>
        <v>172884.80948542079</v>
      </c>
      <c r="H155" s="18">
        <v>336</v>
      </c>
      <c r="I155" s="37">
        <v>141.50145624105357</v>
      </c>
      <c r="J155" s="218">
        <f>'[11]CoS 2017 Load History'!O193</f>
        <v>506</v>
      </c>
      <c r="K155" s="9">
        <f t="shared" si="1"/>
        <v>21179932.546158135</v>
      </c>
      <c r="L155" s="18"/>
      <c r="M155" s="24"/>
      <c r="N155"/>
      <c r="O155"/>
      <c r="P155"/>
      <c r="Q155"/>
      <c r="R155"/>
      <c r="S155"/>
      <c r="T155"/>
      <c r="U155"/>
      <c r="V155"/>
      <c r="W155"/>
      <c r="X155"/>
      <c r="Y155"/>
      <c r="Z155"/>
      <c r="AA155"/>
      <c r="AB155"/>
    </row>
    <row r="156" spans="1:28" s="35" customFormat="1">
      <c r="A156" s="34">
        <v>40817</v>
      </c>
      <c r="B156" s="90">
        <f>'[11]CoS 2017 Load History'!L194</f>
        <v>22769113.109999996</v>
      </c>
      <c r="C156" s="221">
        <f>'Residential WN'!C156</f>
        <v>372.15</v>
      </c>
      <c r="D156" s="221">
        <f>'Residential WN'!D156</f>
        <v>0.54</v>
      </c>
      <c r="E156" s="96">
        <v>31</v>
      </c>
      <c r="F156" s="18">
        <v>1</v>
      </c>
      <c r="G156" s="18">
        <f>'CDM Activity'!U88</f>
        <v>169613.64700568191</v>
      </c>
      <c r="H156" s="18">
        <v>320</v>
      </c>
      <c r="I156" s="37">
        <v>141.80444880149057</v>
      </c>
      <c r="J156" s="218">
        <f>'[11]CoS 2017 Load History'!O194</f>
        <v>508</v>
      </c>
      <c r="K156" s="9">
        <f t="shared" si="1"/>
        <v>23028809.891452439</v>
      </c>
      <c r="L156" s="18"/>
      <c r="M156" s="24"/>
      <c r="N156"/>
      <c r="O156"/>
      <c r="P156"/>
      <c r="Q156"/>
      <c r="R156"/>
      <c r="S156"/>
      <c r="T156"/>
      <c r="U156"/>
      <c r="V156"/>
      <c r="W156"/>
      <c r="X156"/>
      <c r="Y156"/>
      <c r="Z156"/>
      <c r="AA156"/>
      <c r="AB156"/>
    </row>
    <row r="157" spans="1:28" s="35" customFormat="1">
      <c r="A157" s="34">
        <v>40848</v>
      </c>
      <c r="B157" s="90">
        <f>'[11]CoS 2017 Load History'!L195</f>
        <v>24230624.479999993</v>
      </c>
      <c r="C157" s="221">
        <f>'Residential WN'!C157</f>
        <v>567.61000000000013</v>
      </c>
      <c r="D157" s="221">
        <f>'Residential WN'!D157</f>
        <v>0</v>
      </c>
      <c r="E157" s="96">
        <v>30</v>
      </c>
      <c r="F157" s="18">
        <v>1</v>
      </c>
      <c r="G157" s="18">
        <f>'CDM Activity'!U89</f>
        <v>166342.48452594303</v>
      </c>
      <c r="H157" s="18">
        <v>352</v>
      </c>
      <c r="I157" s="37">
        <v>142.10809015024478</v>
      </c>
      <c r="J157" s="218">
        <f>'[11]CoS 2017 Load History'!O195</f>
        <v>509</v>
      </c>
      <c r="K157" s="9">
        <f t="shared" si="1"/>
        <v>24491523.1352413</v>
      </c>
      <c r="L157" s="18"/>
      <c r="M157" s="24"/>
      <c r="N157"/>
      <c r="O157"/>
      <c r="P157"/>
      <c r="Q157"/>
      <c r="R157"/>
      <c r="S157"/>
      <c r="T157"/>
      <c r="U157"/>
      <c r="V157"/>
      <c r="W157"/>
      <c r="X157"/>
      <c r="Y157"/>
      <c r="Z157"/>
      <c r="AA157"/>
      <c r="AB157"/>
    </row>
    <row r="158" spans="1:28" s="35" customFormat="1">
      <c r="A158" s="34">
        <v>40878</v>
      </c>
      <c r="B158" s="90">
        <f>'[11]CoS 2017 Load History'!L196</f>
        <v>26954814.169999983</v>
      </c>
      <c r="C158" s="221">
        <f>'Residential WN'!C158</f>
        <v>852.28999999999974</v>
      </c>
      <c r="D158" s="221">
        <f>'Residential WN'!D158</f>
        <v>0</v>
      </c>
      <c r="E158" s="96">
        <v>31</v>
      </c>
      <c r="F158" s="18">
        <v>0</v>
      </c>
      <c r="G158" s="18">
        <f>'CDM Activity'!U90</f>
        <v>163071.32204620415</v>
      </c>
      <c r="H158" s="18">
        <v>336</v>
      </c>
      <c r="I158" s="37">
        <v>142.41238167654581</v>
      </c>
      <c r="J158" s="218">
        <f>'[11]CoS 2017 Load History'!O196</f>
        <v>512</v>
      </c>
      <c r="K158" s="9">
        <f t="shared" si="1"/>
        <v>28006696.513387449</v>
      </c>
      <c r="L158" s="18"/>
      <c r="M158" s="24"/>
      <c r="N158"/>
      <c r="O158"/>
      <c r="P158"/>
      <c r="Q158"/>
      <c r="R158"/>
      <c r="S158"/>
      <c r="T158"/>
      <c r="U158"/>
      <c r="V158"/>
      <c r="W158"/>
      <c r="X158"/>
      <c r="Y158"/>
      <c r="Z158"/>
      <c r="AA158"/>
      <c r="AB158"/>
    </row>
    <row r="159" spans="1:28" s="35" customFormat="1">
      <c r="A159" s="34">
        <v>40909</v>
      </c>
      <c r="B159" s="90">
        <f>'[11]CoS 2017 Load History'!L197</f>
        <v>27978052.340000004</v>
      </c>
      <c r="C159" s="221">
        <f>'Residential WN'!C159</f>
        <v>960.98000000000013</v>
      </c>
      <c r="D159" s="221">
        <f>'Residential WN'!D159</f>
        <v>0</v>
      </c>
      <c r="E159" s="18">
        <v>31</v>
      </c>
      <c r="F159" s="18">
        <v>0</v>
      </c>
      <c r="G159" s="18">
        <f>'CDM Activity'!U91</f>
        <v>175843.44693469186</v>
      </c>
      <c r="H159" s="18">
        <v>336</v>
      </c>
      <c r="I159" s="37">
        <v>142.61257743956915</v>
      </c>
      <c r="J159" s="218">
        <f>'[11]CoS 2017 Load History'!O197</f>
        <v>507</v>
      </c>
      <c r="K159" s="9">
        <f t="shared" si="1"/>
        <v>28910513.625031225</v>
      </c>
      <c r="L159" s="98"/>
      <c r="M159" s="24"/>
      <c r="N159"/>
      <c r="O159"/>
      <c r="P159"/>
      <c r="Q159"/>
      <c r="R159"/>
      <c r="S159"/>
      <c r="T159"/>
      <c r="U159"/>
      <c r="V159"/>
      <c r="W159"/>
      <c r="X159"/>
      <c r="Y159"/>
      <c r="Z159"/>
      <c r="AA159"/>
      <c r="AB159"/>
    </row>
    <row r="160" spans="1:28" s="35" customFormat="1">
      <c r="A160" s="34">
        <v>40940</v>
      </c>
      <c r="B160" s="90">
        <f>'[11]CoS 2017 Load History'!L198</f>
        <v>25273761.339999985</v>
      </c>
      <c r="C160" s="221">
        <f>'Residential WN'!C160</f>
        <v>875.5899999999998</v>
      </c>
      <c r="D160" s="221">
        <f>'Residential WN'!D160</f>
        <v>0</v>
      </c>
      <c r="E160" s="18">
        <v>29</v>
      </c>
      <c r="F160" s="18">
        <v>0</v>
      </c>
      <c r="G160" s="18">
        <f>'CDM Activity'!U92</f>
        <v>188615.57182317961</v>
      </c>
      <c r="H160" s="18">
        <v>320</v>
      </c>
      <c r="I160" s="37">
        <v>142.81305462716429</v>
      </c>
      <c r="J160" s="218">
        <f>'[11]CoS 2017 Load History'!O198</f>
        <v>512</v>
      </c>
      <c r="K160" s="9">
        <f t="shared" si="1"/>
        <v>27043782.442186672</v>
      </c>
      <c r="L160" s="98"/>
      <c r="M160" s="24"/>
      <c r="N160"/>
      <c r="O160"/>
      <c r="P160"/>
      <c r="Q160"/>
      <c r="R160"/>
      <c r="S160"/>
      <c r="T160"/>
      <c r="U160"/>
      <c r="V160"/>
      <c r="W160"/>
      <c r="X160"/>
      <c r="Y160"/>
      <c r="Z160"/>
      <c r="AA160"/>
      <c r="AB160"/>
    </row>
    <row r="161" spans="1:28" s="35" customFormat="1">
      <c r="A161" s="34">
        <v>40969</v>
      </c>
      <c r="B161" s="90">
        <f>'[11]CoS 2017 Load History'!L199</f>
        <v>24803557.269999992</v>
      </c>
      <c r="C161" s="221">
        <f>'Residential WN'!C161</f>
        <v>702.91</v>
      </c>
      <c r="D161" s="221">
        <f>'Residential WN'!D161</f>
        <v>0</v>
      </c>
      <c r="E161" s="18">
        <v>31</v>
      </c>
      <c r="F161" s="18">
        <v>1</v>
      </c>
      <c r="G161" s="18">
        <f>'CDM Activity'!U93</f>
        <v>201387.69671166735</v>
      </c>
      <c r="H161" s="18">
        <v>352</v>
      </c>
      <c r="I161" s="37">
        <v>143.01381363494295</v>
      </c>
      <c r="J161" s="218">
        <f>'[11]CoS 2017 Load History'!O199</f>
        <v>512</v>
      </c>
      <c r="K161" s="9">
        <f t="shared" si="1"/>
        <v>26040259.330220979</v>
      </c>
      <c r="L161" s="98"/>
      <c r="M161" s="24"/>
      <c r="N161"/>
      <c r="O161"/>
      <c r="P161"/>
      <c r="Q161"/>
      <c r="R161"/>
      <c r="S161"/>
      <c r="T161"/>
      <c r="U161"/>
      <c r="V161"/>
      <c r="W161"/>
      <c r="X161"/>
      <c r="Y161"/>
      <c r="Z161"/>
      <c r="AA161"/>
      <c r="AB161"/>
    </row>
    <row r="162" spans="1:28" s="35" customFormat="1">
      <c r="A162" s="34">
        <v>41000</v>
      </c>
      <c r="B162" s="90">
        <f>'[11]CoS 2017 Load History'!L200</f>
        <v>22044979.170000002</v>
      </c>
      <c r="C162" s="221">
        <f>'Residential WN'!C162</f>
        <v>450.5200000000001</v>
      </c>
      <c r="D162" s="221">
        <f>'Residential WN'!D162</f>
        <v>0</v>
      </c>
      <c r="E162" s="18">
        <v>30</v>
      </c>
      <c r="F162" s="18">
        <v>1</v>
      </c>
      <c r="G162" s="18">
        <f>'CDM Activity'!U94</f>
        <v>214159.82160015509</v>
      </c>
      <c r="H162" s="18">
        <v>320</v>
      </c>
      <c r="I162" s="37">
        <v>143.21485485907297</v>
      </c>
      <c r="J162" s="218">
        <f>'[11]CoS 2017 Load History'!O200</f>
        <v>513</v>
      </c>
      <c r="K162" s="9">
        <f t="shared" si="1"/>
        <v>23075063.532282971</v>
      </c>
      <c r="L162" s="98"/>
      <c r="M162" s="24"/>
      <c r="N162"/>
      <c r="O162"/>
      <c r="P162"/>
      <c r="Q162"/>
      <c r="R162"/>
      <c r="S162"/>
      <c r="T162"/>
      <c r="U162"/>
      <c r="V162"/>
      <c r="W162"/>
      <c r="X162"/>
      <c r="Y162"/>
      <c r="Z162"/>
      <c r="AA162"/>
      <c r="AB162"/>
    </row>
    <row r="163" spans="1:28" s="35" customFormat="1">
      <c r="A163" s="34">
        <v>41030</v>
      </c>
      <c r="B163" s="90">
        <f>'[11]CoS 2017 Load History'!L201</f>
        <v>21279302.760000005</v>
      </c>
      <c r="C163" s="221">
        <f>'Residential WN'!C163</f>
        <v>271.46000000000004</v>
      </c>
      <c r="D163" s="221">
        <f>'Residential WN'!D163</f>
        <v>0.47000000000000003</v>
      </c>
      <c r="E163" s="18">
        <v>31</v>
      </c>
      <c r="F163" s="18">
        <v>1</v>
      </c>
      <c r="G163" s="18">
        <f>'CDM Activity'!U95</f>
        <v>226931.94648864283</v>
      </c>
      <c r="H163" s="18">
        <v>352</v>
      </c>
      <c r="I163" s="37">
        <v>143.41617869627913</v>
      </c>
      <c r="J163" s="218">
        <f>'[11]CoS 2017 Load History'!O201</f>
        <v>511</v>
      </c>
      <c r="K163" s="9">
        <f t="shared" si="1"/>
        <v>22251766.231728941</v>
      </c>
      <c r="L163" s="98"/>
      <c r="M163" s="24"/>
      <c r="N163"/>
      <c r="O163"/>
      <c r="P163"/>
      <c r="Q163"/>
      <c r="R163"/>
      <c r="S163"/>
      <c r="T163"/>
      <c r="U163"/>
      <c r="V163"/>
      <c r="W163"/>
      <c r="X163"/>
      <c r="Y163"/>
      <c r="Z163"/>
      <c r="AA163"/>
      <c r="AB163"/>
    </row>
    <row r="164" spans="1:28" s="35" customFormat="1">
      <c r="A164" s="34">
        <v>41061</v>
      </c>
      <c r="B164" s="90">
        <f>'[11]CoS 2017 Load History'!L202</f>
        <v>21429781.859999992</v>
      </c>
      <c r="C164" s="221">
        <f>'Residential WN'!C164</f>
        <v>109.59</v>
      </c>
      <c r="D164" s="221">
        <f>'Residential WN'!D164</f>
        <v>6.7</v>
      </c>
      <c r="E164" s="18">
        <v>30</v>
      </c>
      <c r="F164" s="18">
        <v>0</v>
      </c>
      <c r="G164" s="18">
        <f>'CDM Activity'!U96</f>
        <v>239704.07137713057</v>
      </c>
      <c r="H164" s="18">
        <v>336</v>
      </c>
      <c r="I164" s="37">
        <v>143.61778554384387</v>
      </c>
      <c r="J164" s="218">
        <f>'[11]CoS 2017 Load History'!O202</f>
        <v>515</v>
      </c>
      <c r="K164" s="9">
        <f t="shared" si="1"/>
        <v>21169011.127378181</v>
      </c>
      <c r="L164" s="98"/>
      <c r="M164" s="24"/>
      <c r="N164"/>
      <c r="O164"/>
      <c r="P164"/>
      <c r="Q164"/>
      <c r="R164"/>
      <c r="S164"/>
      <c r="T164"/>
      <c r="U164"/>
      <c r="V164"/>
      <c r="W164"/>
      <c r="X164"/>
      <c r="Y164"/>
      <c r="Z164"/>
      <c r="AA164"/>
      <c r="AB164"/>
    </row>
    <row r="165" spans="1:28" s="35" customFormat="1">
      <c r="A165" s="34">
        <v>41091</v>
      </c>
      <c r="B165" s="90">
        <f>'[11]CoS 2017 Load History'!L203</f>
        <v>23340060.429999981</v>
      </c>
      <c r="C165" s="221">
        <f>'Residential WN'!C165</f>
        <v>36.33</v>
      </c>
      <c r="D165" s="221">
        <f>'Residential WN'!D165</f>
        <v>40.369999999999997</v>
      </c>
      <c r="E165" s="18">
        <v>31</v>
      </c>
      <c r="F165" s="18">
        <v>0</v>
      </c>
      <c r="G165" s="18">
        <f>'CDM Activity'!U97</f>
        <v>252476.19626561832</v>
      </c>
      <c r="H165" s="18">
        <v>336</v>
      </c>
      <c r="I165" s="37">
        <v>143.81967579960809</v>
      </c>
      <c r="J165" s="218">
        <f>'[11]CoS 2017 Load History'!O203</f>
        <v>514</v>
      </c>
      <c r="K165" s="9">
        <f t="shared" si="1"/>
        <v>22450857.884681985</v>
      </c>
      <c r="L165" s="98"/>
      <c r="M165" s="24"/>
      <c r="N165"/>
      <c r="O165"/>
      <c r="P165"/>
      <c r="Q165"/>
      <c r="R165"/>
      <c r="S165"/>
      <c r="T165"/>
      <c r="U165"/>
      <c r="V165"/>
      <c r="W165"/>
      <c r="X165"/>
      <c r="Y165"/>
      <c r="Z165"/>
      <c r="AA165"/>
      <c r="AB165"/>
    </row>
    <row r="166" spans="1:28" s="35" customFormat="1">
      <c r="A166" s="34">
        <v>41122</v>
      </c>
      <c r="B166" s="90">
        <f>'[11]CoS 2017 Load History'!L204</f>
        <v>22638507.330000032</v>
      </c>
      <c r="C166" s="221">
        <f>'Residential WN'!C166</f>
        <v>51.55</v>
      </c>
      <c r="D166" s="221">
        <f>'Residential WN'!D166</f>
        <v>29.669999999999998</v>
      </c>
      <c r="E166" s="18">
        <v>31</v>
      </c>
      <c r="F166" s="18">
        <v>0</v>
      </c>
      <c r="G166" s="18">
        <f>'CDM Activity'!U98</f>
        <v>265248.32115410606</v>
      </c>
      <c r="H166" s="18">
        <v>352</v>
      </c>
      <c r="I166" s="37">
        <v>144.02184986197204</v>
      </c>
      <c r="J166" s="218">
        <f>'[11]CoS 2017 Load History'!O204</f>
        <v>515</v>
      </c>
      <c r="K166" s="9">
        <f t="shared" si="1"/>
        <v>22209172.002568949</v>
      </c>
      <c r="L166" s="98"/>
      <c r="M166" s="24"/>
      <c r="N166"/>
      <c r="O166"/>
      <c r="P166"/>
      <c r="Q166"/>
      <c r="R166"/>
      <c r="S166"/>
      <c r="T166"/>
      <c r="U166"/>
      <c r="V166"/>
      <c r="W166"/>
      <c r="X166"/>
      <c r="Y166"/>
      <c r="Z166"/>
      <c r="AA166"/>
      <c r="AB166"/>
    </row>
    <row r="167" spans="1:28" s="35" customFormat="1">
      <c r="A167" s="34">
        <v>41153</v>
      </c>
      <c r="B167" s="90">
        <f>'[11]CoS 2017 Load History'!L205</f>
        <v>21056351.920000013</v>
      </c>
      <c r="C167" s="221">
        <f>'Residential WN'!C167</f>
        <v>176.97</v>
      </c>
      <c r="D167" s="221">
        <f>'Residential WN'!D167</f>
        <v>5.05</v>
      </c>
      <c r="E167" s="18">
        <v>30</v>
      </c>
      <c r="F167" s="18">
        <v>1</v>
      </c>
      <c r="G167" s="18">
        <f>'CDM Activity'!U99</f>
        <v>278020.4460425938</v>
      </c>
      <c r="H167" s="18">
        <v>304</v>
      </c>
      <c r="I167" s="37">
        <v>144.22430812989595</v>
      </c>
      <c r="J167" s="218">
        <f>'[11]CoS 2017 Load History'!O205</f>
        <v>515</v>
      </c>
      <c r="K167" s="9">
        <f t="shared" si="1"/>
        <v>20610695.809242141</v>
      </c>
      <c r="L167" s="98"/>
      <c r="M167" s="24"/>
      <c r="N167"/>
      <c r="O167"/>
      <c r="P167"/>
      <c r="Q167"/>
      <c r="R167"/>
      <c r="S167"/>
      <c r="T167"/>
      <c r="U167"/>
      <c r="V167"/>
      <c r="W167"/>
      <c r="X167"/>
      <c r="Y167"/>
      <c r="Z167"/>
      <c r="AA167"/>
      <c r="AB167"/>
    </row>
    <row r="168" spans="1:28" s="35" customFormat="1">
      <c r="A168" s="34">
        <v>41183</v>
      </c>
      <c r="B168" s="90">
        <f>'[11]CoS 2017 Load History'!L206</f>
        <v>22591003.560000002</v>
      </c>
      <c r="C168" s="221">
        <f>'Residential WN'!C168</f>
        <v>372.15</v>
      </c>
      <c r="D168" s="221">
        <f>'Residential WN'!D168</f>
        <v>0.54</v>
      </c>
      <c r="E168" s="18">
        <v>31</v>
      </c>
      <c r="F168" s="18">
        <v>1</v>
      </c>
      <c r="G168" s="18">
        <f>'CDM Activity'!U100</f>
        <v>290792.57093108154</v>
      </c>
      <c r="H168" s="18">
        <v>352</v>
      </c>
      <c r="I168" s="37">
        <v>144.42705100290087</v>
      </c>
      <c r="J168" s="218">
        <f>'[11]CoS 2017 Load History'!O206</f>
        <v>516</v>
      </c>
      <c r="K168" s="9">
        <f t="shared" si="1"/>
        <v>22941092.784707788</v>
      </c>
      <c r="L168" s="98"/>
      <c r="M168" s="24"/>
      <c r="N168"/>
      <c r="O168"/>
      <c r="P168"/>
      <c r="Q168"/>
      <c r="R168"/>
      <c r="S168"/>
      <c r="T168"/>
      <c r="U168"/>
      <c r="V168"/>
      <c r="W168"/>
      <c r="X168"/>
      <c r="Y168"/>
      <c r="Z168"/>
      <c r="AA168"/>
      <c r="AB168"/>
    </row>
    <row r="169" spans="1:28" s="35" customFormat="1">
      <c r="A169" s="34">
        <v>41214</v>
      </c>
      <c r="B169" s="90">
        <f>'[11]CoS 2017 Load History'!L207</f>
        <v>24156927.709999982</v>
      </c>
      <c r="C169" s="221">
        <f>'Residential WN'!C169</f>
        <v>567.61000000000013</v>
      </c>
      <c r="D169" s="221">
        <f>'Residential WN'!D169</f>
        <v>0</v>
      </c>
      <c r="E169" s="18">
        <v>30</v>
      </c>
      <c r="F169" s="18">
        <v>1</v>
      </c>
      <c r="G169" s="18">
        <f>'CDM Activity'!U101</f>
        <v>303564.69581956929</v>
      </c>
      <c r="H169" s="18">
        <v>352</v>
      </c>
      <c r="I169" s="37">
        <v>144.63007888106955</v>
      </c>
      <c r="J169" s="218">
        <f>'[11]CoS 2017 Load History'!O207</f>
        <v>515</v>
      </c>
      <c r="K169" s="9">
        <f t="shared" si="1"/>
        <v>24093189.687527042</v>
      </c>
      <c r="L169" s="98"/>
      <c r="M169" s="24"/>
      <c r="N169"/>
      <c r="O169"/>
      <c r="P169"/>
      <c r="Q169"/>
      <c r="R169"/>
      <c r="S169"/>
      <c r="T169"/>
      <c r="U169"/>
      <c r="V169"/>
      <c r="W169"/>
      <c r="X169"/>
      <c r="Y169"/>
      <c r="Z169"/>
      <c r="AA169"/>
      <c r="AB169"/>
    </row>
    <row r="170" spans="1:28" s="35" customFormat="1">
      <c r="A170" s="34">
        <v>41244</v>
      </c>
      <c r="B170" s="90">
        <f>'[11]CoS 2017 Load History'!L208</f>
        <v>26882954.980000008</v>
      </c>
      <c r="C170" s="221">
        <f>'Residential WN'!C170</f>
        <v>852.28999999999974</v>
      </c>
      <c r="D170" s="221">
        <f>'Residential WN'!D170</f>
        <v>0</v>
      </c>
      <c r="E170" s="18">
        <v>31</v>
      </c>
      <c r="F170" s="18">
        <v>0</v>
      </c>
      <c r="G170" s="18">
        <f>'CDM Activity'!U102</f>
        <v>316336.82070805703</v>
      </c>
      <c r="H170" s="18">
        <v>304</v>
      </c>
      <c r="I170" s="37">
        <v>144.83339216504706</v>
      </c>
      <c r="J170" s="218">
        <f>'[11]CoS 2017 Load History'!O208</f>
        <v>517</v>
      </c>
      <c r="K170" s="9">
        <f t="shared" si="1"/>
        <v>27297746.724703576</v>
      </c>
      <c r="L170" s="98"/>
      <c r="M170" s="24"/>
      <c r="N170"/>
      <c r="O170"/>
      <c r="P170"/>
      <c r="Q170"/>
      <c r="R170"/>
      <c r="S170"/>
      <c r="T170"/>
      <c r="U170"/>
      <c r="V170"/>
      <c r="W170"/>
      <c r="X170"/>
      <c r="Y170"/>
      <c r="Z170"/>
      <c r="AA170"/>
      <c r="AB170"/>
    </row>
    <row r="171" spans="1:28" s="35" customFormat="1">
      <c r="A171" s="34">
        <v>41275</v>
      </c>
      <c r="B171" s="90">
        <f>'[11]CoS 2017 Load History'!L209</f>
        <v>28716062.250000019</v>
      </c>
      <c r="C171" s="221">
        <f>'Residential WN'!C171</f>
        <v>960.98000000000013</v>
      </c>
      <c r="D171" s="221">
        <f>'Residential WN'!D171</f>
        <v>0</v>
      </c>
      <c r="E171" s="18">
        <v>31</v>
      </c>
      <c r="F171" s="18">
        <v>0</v>
      </c>
      <c r="G171" s="18">
        <f>'CDM Activity'!U103</f>
        <v>326976.77818381082</v>
      </c>
      <c r="H171" s="18">
        <v>352</v>
      </c>
      <c r="I171" s="37">
        <v>144.98936781896037</v>
      </c>
      <c r="J171" s="218">
        <f>'[11]CoS 2017 Load History'!O209</f>
        <v>516</v>
      </c>
      <c r="K171" s="9">
        <f t="shared" si="1"/>
        <v>28603821.152264651</v>
      </c>
      <c r="L171" s="98"/>
      <c r="M171" s="24"/>
      <c r="N171"/>
      <c r="O171"/>
      <c r="P171"/>
      <c r="Q171"/>
      <c r="R171"/>
      <c r="S171"/>
      <c r="T171"/>
      <c r="U171"/>
      <c r="V171"/>
      <c r="W171"/>
      <c r="X171"/>
      <c r="Y171"/>
      <c r="Z171"/>
      <c r="AA171"/>
      <c r="AB171"/>
    </row>
    <row r="172" spans="1:28" s="35" customFormat="1">
      <c r="A172" s="34">
        <v>41306</v>
      </c>
      <c r="B172" s="90">
        <f>'[11]CoS 2017 Load History'!L210</f>
        <v>25735079.889999986</v>
      </c>
      <c r="C172" s="221">
        <f>'Residential WN'!C172</f>
        <v>875.5899999999998</v>
      </c>
      <c r="D172" s="221">
        <f>'Residential WN'!D172</f>
        <v>0</v>
      </c>
      <c r="E172" s="18">
        <v>28</v>
      </c>
      <c r="F172" s="18">
        <v>0</v>
      </c>
      <c r="G172" s="18">
        <f>'CDM Activity'!U104</f>
        <v>337616.73565956461</v>
      </c>
      <c r="H172" s="18">
        <v>304</v>
      </c>
      <c r="I172" s="37">
        <v>145.14551144798114</v>
      </c>
      <c r="J172" s="218">
        <f>'[11]CoS 2017 Load History'!O210</f>
        <v>516</v>
      </c>
      <c r="K172" s="9">
        <f t="shared" si="1"/>
        <v>26000013.542851318</v>
      </c>
      <c r="L172" s="98"/>
      <c r="M172" s="24"/>
      <c r="N172"/>
      <c r="O172"/>
      <c r="P172"/>
      <c r="Q172"/>
      <c r="R172"/>
      <c r="S172"/>
      <c r="T172"/>
      <c r="U172"/>
      <c r="V172"/>
      <c r="W172"/>
      <c r="X172"/>
      <c r="Y172"/>
      <c r="Z172"/>
      <c r="AA172"/>
      <c r="AB172"/>
    </row>
    <row r="173" spans="1:28" s="35" customFormat="1">
      <c r="A173" s="34">
        <v>41334</v>
      </c>
      <c r="B173" s="90">
        <f>'[11]CoS 2017 Load History'!L211</f>
        <v>26208212.909999989</v>
      </c>
      <c r="C173" s="221">
        <f>'Residential WN'!C173</f>
        <v>702.91</v>
      </c>
      <c r="D173" s="221">
        <f>'Residential WN'!D173</f>
        <v>0</v>
      </c>
      <c r="E173" s="18">
        <v>31</v>
      </c>
      <c r="F173" s="18">
        <v>1</v>
      </c>
      <c r="G173" s="18">
        <f>'CDM Activity'!U105</f>
        <v>348256.6931353184</v>
      </c>
      <c r="H173" s="18">
        <v>320</v>
      </c>
      <c r="I173" s="37">
        <v>145.30182323300707</v>
      </c>
      <c r="J173" s="218">
        <f>'[11]CoS 2017 Load History'!O211</f>
        <v>516</v>
      </c>
      <c r="K173" s="9">
        <f t="shared" si="1"/>
        <v>25349877.532577589</v>
      </c>
      <c r="L173" s="98"/>
      <c r="M173" s="24"/>
      <c r="N173"/>
      <c r="O173"/>
      <c r="P173"/>
      <c r="Q173"/>
      <c r="R173"/>
      <c r="S173"/>
      <c r="T173"/>
      <c r="U173"/>
      <c r="V173"/>
      <c r="W173"/>
      <c r="X173"/>
      <c r="Y173"/>
      <c r="Z173"/>
      <c r="AA173"/>
      <c r="AB173"/>
    </row>
    <row r="174" spans="1:28" s="35" customFormat="1">
      <c r="A174" s="34">
        <v>41365</v>
      </c>
      <c r="B174" s="90">
        <f>'[11]CoS 2017 Load History'!L212</f>
        <v>22900049.009999964</v>
      </c>
      <c r="C174" s="221">
        <f>'Residential WN'!C174</f>
        <v>450.5200000000001</v>
      </c>
      <c r="D174" s="221">
        <f>'Residential WN'!D174</f>
        <v>0</v>
      </c>
      <c r="E174" s="18">
        <v>30</v>
      </c>
      <c r="F174" s="18">
        <v>1</v>
      </c>
      <c r="G174" s="18">
        <f>'CDM Activity'!U106</f>
        <v>358896.6506110722</v>
      </c>
      <c r="H174" s="18">
        <v>352</v>
      </c>
      <c r="I174" s="37">
        <v>145.45830335513068</v>
      </c>
      <c r="J174" s="218">
        <f>'[11]CoS 2017 Load History'!O212</f>
        <v>517</v>
      </c>
      <c r="K174" s="9">
        <f t="shared" si="1"/>
        <v>22918961.712413706</v>
      </c>
      <c r="L174" s="98"/>
      <c r="M174" s="24"/>
      <c r="N174"/>
      <c r="O174"/>
      <c r="P174"/>
      <c r="Q174"/>
      <c r="R174"/>
      <c r="S174"/>
      <c r="T174"/>
      <c r="U174"/>
      <c r="V174"/>
      <c r="W174"/>
      <c r="X174"/>
      <c r="Y174"/>
      <c r="Z174"/>
      <c r="AA174"/>
      <c r="AB174"/>
    </row>
    <row r="175" spans="1:28" s="35" customFormat="1">
      <c r="A175" s="34">
        <v>41395</v>
      </c>
      <c r="B175" s="90">
        <f>'[11]CoS 2017 Load History'!L213</f>
        <v>21368507.77</v>
      </c>
      <c r="C175" s="221">
        <f>'Residential WN'!C175</f>
        <v>271.46000000000004</v>
      </c>
      <c r="D175" s="221">
        <f>'Residential WN'!D175</f>
        <v>0.47000000000000003</v>
      </c>
      <c r="E175" s="18">
        <v>31</v>
      </c>
      <c r="F175" s="18">
        <v>1</v>
      </c>
      <c r="G175" s="18">
        <f>'CDM Activity'!U107</f>
        <v>369536.60808682599</v>
      </c>
      <c r="H175" s="18">
        <v>352</v>
      </c>
      <c r="I175" s="37">
        <v>145.6149519956395</v>
      </c>
      <c r="J175" s="218">
        <f>'[11]CoS 2017 Load History'!O213</f>
        <v>516</v>
      </c>
      <c r="K175" s="9">
        <f t="shared" si="1"/>
        <v>21837808.418492854</v>
      </c>
      <c r="L175" s="98"/>
      <c r="M175" s="24"/>
      <c r="N175"/>
      <c r="O175"/>
      <c r="P175"/>
      <c r="Q175"/>
      <c r="R175"/>
      <c r="S175"/>
      <c r="T175"/>
      <c r="U175"/>
      <c r="V175"/>
      <c r="W175"/>
      <c r="X175"/>
      <c r="Y175"/>
      <c r="Z175"/>
      <c r="AA175"/>
      <c r="AB175"/>
    </row>
    <row r="176" spans="1:28" s="35" customFormat="1">
      <c r="A176" s="34">
        <v>41426</v>
      </c>
      <c r="B176" s="90">
        <f>'[11]CoS 2017 Load History'!L214</f>
        <v>20598949.780000005</v>
      </c>
      <c r="C176" s="221">
        <f>'Residential WN'!C176</f>
        <v>109.59</v>
      </c>
      <c r="D176" s="221">
        <f>'Residential WN'!D176</f>
        <v>6.7</v>
      </c>
      <c r="E176" s="18">
        <v>30</v>
      </c>
      <c r="F176" s="18">
        <v>0</v>
      </c>
      <c r="G176" s="18">
        <f>'CDM Activity'!U108</f>
        <v>380176.56556257978</v>
      </c>
      <c r="H176" s="18">
        <v>320</v>
      </c>
      <c r="I176" s="37">
        <v>145.77176933601632</v>
      </c>
      <c r="J176" s="218">
        <f>'[11]CoS 2017 Load History'!O214</f>
        <v>516</v>
      </c>
      <c r="K176" s="9">
        <f t="shared" si="1"/>
        <v>20629219.982632093</v>
      </c>
      <c r="L176" s="98"/>
      <c r="M176" s="24"/>
      <c r="N176"/>
      <c r="O176"/>
      <c r="P176"/>
      <c r="Q176"/>
      <c r="R176"/>
      <c r="S176"/>
      <c r="T176"/>
      <c r="U176"/>
      <c r="V176"/>
      <c r="W176"/>
      <c r="X176"/>
      <c r="Y176"/>
      <c r="Z176"/>
      <c r="AA176"/>
      <c r="AB176"/>
    </row>
    <row r="177" spans="1:28" s="35" customFormat="1">
      <c r="A177" s="34">
        <v>41456</v>
      </c>
      <c r="B177" s="90">
        <f>'[11]CoS 2017 Load History'!L215</f>
        <v>21754518.050000001</v>
      </c>
      <c r="C177" s="221">
        <f>'Residential WN'!C177</f>
        <v>36.33</v>
      </c>
      <c r="D177" s="221">
        <f>'Residential WN'!D177</f>
        <v>40.369999999999997</v>
      </c>
      <c r="E177" s="18">
        <v>31</v>
      </c>
      <c r="F177" s="18">
        <v>0</v>
      </c>
      <c r="G177" s="18">
        <f>'CDM Activity'!U109</f>
        <v>390816.52303833357</v>
      </c>
      <c r="H177" s="18">
        <v>352</v>
      </c>
      <c r="I177" s="37">
        <v>145.92875555793933</v>
      </c>
      <c r="J177" s="218">
        <f>'[11]CoS 2017 Load History'!O215</f>
        <v>510</v>
      </c>
      <c r="K177" s="9">
        <f t="shared" si="1"/>
        <v>22181301.393996377</v>
      </c>
      <c r="L177" s="98"/>
      <c r="M177" s="24"/>
      <c r="N177"/>
      <c r="O177"/>
      <c r="P177"/>
      <c r="Q177"/>
      <c r="R177"/>
      <c r="S177"/>
      <c r="T177"/>
      <c r="U177"/>
      <c r="V177"/>
      <c r="W177"/>
      <c r="X177"/>
      <c r="Y177"/>
      <c r="Z177"/>
      <c r="AA177"/>
      <c r="AB177"/>
    </row>
    <row r="178" spans="1:28" s="35" customFormat="1">
      <c r="A178" s="34">
        <v>41487</v>
      </c>
      <c r="B178" s="90">
        <f>'[11]CoS 2017 Load History'!L216</f>
        <v>22034828.830000017</v>
      </c>
      <c r="C178" s="221">
        <f>'Residential WN'!C178</f>
        <v>51.55</v>
      </c>
      <c r="D178" s="221">
        <f>'Residential WN'!D178</f>
        <v>29.669999999999998</v>
      </c>
      <c r="E178" s="18">
        <v>31</v>
      </c>
      <c r="F178" s="18">
        <v>0</v>
      </c>
      <c r="G178" s="18">
        <f>'CDM Activity'!U110</f>
        <v>401456.48051408737</v>
      </c>
      <c r="H178" s="18">
        <v>336</v>
      </c>
      <c r="I178" s="37">
        <v>146.08591084328242</v>
      </c>
      <c r="J178" s="218">
        <f>'[11]CoS 2017 Load History'!O216</f>
        <v>507</v>
      </c>
      <c r="K178" s="9">
        <f t="shared" si="1"/>
        <v>21681759.518516518</v>
      </c>
      <c r="L178" s="98"/>
      <c r="M178" s="24"/>
      <c r="N178"/>
      <c r="O178"/>
      <c r="P178"/>
      <c r="Q178"/>
      <c r="R178"/>
      <c r="S178"/>
      <c r="T178"/>
      <c r="U178"/>
      <c r="V178"/>
      <c r="W178"/>
      <c r="X178"/>
      <c r="Y178"/>
      <c r="Z178"/>
      <c r="AA178"/>
      <c r="AB178"/>
    </row>
    <row r="179" spans="1:28" s="35" customFormat="1">
      <c r="A179" s="34">
        <v>41518</v>
      </c>
      <c r="B179" s="90">
        <f>'[11]CoS 2017 Load History'!L217</f>
        <v>20818130.780000005</v>
      </c>
      <c r="C179" s="221">
        <f>'Residential WN'!C179</f>
        <v>176.97</v>
      </c>
      <c r="D179" s="221">
        <f>'Residential WN'!D179</f>
        <v>5.05</v>
      </c>
      <c r="E179" s="18">
        <v>30</v>
      </c>
      <c r="F179" s="18">
        <v>1</v>
      </c>
      <c r="G179" s="18">
        <f>'CDM Activity'!U111</f>
        <v>412096.43798984116</v>
      </c>
      <c r="H179" s="18">
        <v>320</v>
      </c>
      <c r="I179" s="37">
        <v>146.2432353741153</v>
      </c>
      <c r="J179" s="218">
        <f>'[11]CoS 2017 Load History'!O217</f>
        <v>513</v>
      </c>
      <c r="K179" s="9">
        <f t="shared" si="1"/>
        <v>20353517.979250185</v>
      </c>
      <c r="L179" s="98"/>
      <c r="M179" s="24"/>
      <c r="N179"/>
      <c r="O179"/>
      <c r="P179"/>
      <c r="Q179"/>
      <c r="R179"/>
      <c r="S179"/>
      <c r="T179"/>
      <c r="U179"/>
      <c r="V179"/>
      <c r="W179"/>
      <c r="X179"/>
      <c r="Y179"/>
      <c r="Z179"/>
      <c r="AA179"/>
      <c r="AB179"/>
    </row>
    <row r="180" spans="1:28" s="35" customFormat="1">
      <c r="A180" s="34">
        <v>41548</v>
      </c>
      <c r="B180" s="90">
        <f>'[11]CoS 2017 Load History'!L218</f>
        <v>22036269.400000013</v>
      </c>
      <c r="C180" s="221">
        <f>'Residential WN'!C180</f>
        <v>372.15</v>
      </c>
      <c r="D180" s="221">
        <f>'Residential WN'!D180</f>
        <v>0.54</v>
      </c>
      <c r="E180" s="18">
        <v>31</v>
      </c>
      <c r="F180" s="18">
        <v>1</v>
      </c>
      <c r="G180" s="18">
        <f>'CDM Activity'!U112</f>
        <v>422736.39546559495</v>
      </c>
      <c r="H180" s="18">
        <v>352</v>
      </c>
      <c r="I180" s="37">
        <v>146.4007293327038</v>
      </c>
      <c r="J180" s="218">
        <f>'[11]CoS 2017 Load History'!O218</f>
        <v>511</v>
      </c>
      <c r="K180" s="9">
        <f t="shared" si="1"/>
        <v>22558081.623205833</v>
      </c>
      <c r="L180" s="98"/>
      <c r="M180" s="24"/>
      <c r="N180"/>
      <c r="O180"/>
      <c r="P180"/>
      <c r="Q180"/>
      <c r="R180"/>
      <c r="S180"/>
      <c r="T180"/>
      <c r="U180"/>
      <c r="V180"/>
      <c r="W180"/>
      <c r="X180"/>
      <c r="Y180"/>
      <c r="Z180"/>
      <c r="AA180"/>
      <c r="AB180"/>
    </row>
    <row r="181" spans="1:28" s="35" customFormat="1">
      <c r="A181" s="34">
        <v>41579</v>
      </c>
      <c r="B181" s="90">
        <f>'[11]CoS 2017 Load History'!L219</f>
        <v>24280735.420000028</v>
      </c>
      <c r="C181" s="221">
        <f>'Residential WN'!C181</f>
        <v>567.61000000000013</v>
      </c>
      <c r="D181" s="221">
        <f>'Residential WN'!D181</f>
        <v>0</v>
      </c>
      <c r="E181" s="18">
        <v>30</v>
      </c>
      <c r="F181" s="18">
        <v>1</v>
      </c>
      <c r="G181" s="18">
        <f>'CDM Activity'!U113</f>
        <v>433376.35294134874</v>
      </c>
      <c r="H181" s="18">
        <v>336</v>
      </c>
      <c r="I181" s="37">
        <v>146.55839290151005</v>
      </c>
      <c r="J181" s="218">
        <f>'[11]CoS 2017 Load History'!O219</f>
        <v>505</v>
      </c>
      <c r="K181" s="9">
        <f t="shared" si="1"/>
        <v>23584345.194515087</v>
      </c>
      <c r="L181" s="98"/>
      <c r="M181" s="24"/>
      <c r="N181"/>
      <c r="O181"/>
      <c r="P181"/>
      <c r="Q181"/>
      <c r="R181"/>
      <c r="S181"/>
      <c r="T181"/>
      <c r="U181"/>
      <c r="V181"/>
      <c r="W181"/>
      <c r="X181"/>
      <c r="Y181"/>
      <c r="Z181"/>
      <c r="AA181"/>
      <c r="AB181"/>
    </row>
    <row r="182" spans="1:28" s="35" customFormat="1">
      <c r="A182" s="34">
        <v>41609</v>
      </c>
      <c r="B182" s="90">
        <f>'[11]CoS 2017 Load History'!L220</f>
        <v>28617030.289999984</v>
      </c>
      <c r="C182" s="221">
        <f>'Residential WN'!C182</f>
        <v>852.28999999999974</v>
      </c>
      <c r="D182" s="221">
        <f>'Residential WN'!D182</f>
        <v>0</v>
      </c>
      <c r="E182" s="18">
        <v>31</v>
      </c>
      <c r="F182" s="18">
        <v>0</v>
      </c>
      <c r="G182" s="18">
        <f>'CDM Activity'!U114</f>
        <v>444016.31041710253</v>
      </c>
      <c r="H182" s="18">
        <v>320</v>
      </c>
      <c r="I182" s="37">
        <v>146.71622626319265</v>
      </c>
      <c r="J182" s="218">
        <f>'[11]CoS 2017 Load History'!O220</f>
        <v>496</v>
      </c>
      <c r="K182" s="9">
        <f t="shared" si="1"/>
        <v>27059136.885752104</v>
      </c>
      <c r="L182" s="98"/>
      <c r="M182" s="24"/>
      <c r="N182"/>
      <c r="O182"/>
      <c r="P182"/>
      <c r="Q182"/>
      <c r="R182"/>
      <c r="S182"/>
      <c r="T182"/>
      <c r="U182"/>
      <c r="V182"/>
      <c r="W182"/>
      <c r="X182"/>
      <c r="Y182"/>
      <c r="Z182"/>
      <c r="AA182"/>
      <c r="AB182"/>
    </row>
    <row r="183" spans="1:28" s="35" customFormat="1">
      <c r="A183" s="34">
        <v>41640</v>
      </c>
      <c r="B183" s="90">
        <f>'[11]CoS 2017 Load History'!L221</f>
        <v>29731360.839999992</v>
      </c>
      <c r="C183" s="221">
        <f>'Residential WN'!C183</f>
        <v>960.98000000000013</v>
      </c>
      <c r="D183" s="221">
        <f>'Residential WN'!D183</f>
        <v>0</v>
      </c>
      <c r="E183" s="18">
        <v>31</v>
      </c>
      <c r="F183" s="18">
        <v>0</v>
      </c>
      <c r="G183" s="18">
        <f>'CDM Activity'!U115</f>
        <v>465993.07078963402</v>
      </c>
      <c r="H183" s="18">
        <v>352</v>
      </c>
      <c r="I183" s="37">
        <v>147.04232175221028</v>
      </c>
      <c r="J183" s="218">
        <f>'[11]CoS 2017 Load History'!O221</f>
        <v>499</v>
      </c>
      <c r="K183" s="9">
        <f t="shared" si="1"/>
        <v>28200279.782393839</v>
      </c>
      <c r="L183" s="98"/>
      <c r="M183" s="24"/>
      <c r="N183"/>
      <c r="O183"/>
      <c r="P183"/>
      <c r="Q183"/>
      <c r="R183"/>
      <c r="S183"/>
      <c r="T183"/>
      <c r="U183"/>
      <c r="V183"/>
      <c r="W183"/>
      <c r="X183"/>
      <c r="Y183"/>
      <c r="Z183"/>
      <c r="AA183"/>
      <c r="AB183"/>
    </row>
    <row r="184" spans="1:28" s="35" customFormat="1">
      <c r="A184" s="34">
        <v>41671</v>
      </c>
      <c r="B184" s="90">
        <f>'[11]CoS 2017 Load History'!L222</f>
        <v>26524870.020000014</v>
      </c>
      <c r="C184" s="221">
        <f>'Residential WN'!C184</f>
        <v>875.5899999999998</v>
      </c>
      <c r="D184" s="221">
        <f>'Residential WN'!D184</f>
        <v>0</v>
      </c>
      <c r="E184" s="18">
        <v>28</v>
      </c>
      <c r="F184" s="18">
        <v>0</v>
      </c>
      <c r="G184" s="18">
        <f>'CDM Activity'!U116</f>
        <v>487969.8311621655</v>
      </c>
      <c r="H184" s="18">
        <v>304</v>
      </c>
      <c r="I184" s="37">
        <v>147.36914202996238</v>
      </c>
      <c r="J184" s="218">
        <f>'[11]CoS 2017 Load History'!O222</f>
        <v>501.5</v>
      </c>
      <c r="K184" s="9">
        <f t="shared" si="1"/>
        <v>25563563.303917993</v>
      </c>
      <c r="L184" s="98"/>
      <c r="M184" s="24"/>
      <c r="N184"/>
      <c r="O184"/>
      <c r="P184"/>
      <c r="Q184"/>
      <c r="R184"/>
      <c r="S184"/>
      <c r="T184"/>
      <c r="U184"/>
      <c r="V184"/>
      <c r="W184"/>
      <c r="X184"/>
      <c r="Y184"/>
      <c r="Z184"/>
      <c r="AA184"/>
      <c r="AB184"/>
    </row>
    <row r="185" spans="1:28" s="35" customFormat="1">
      <c r="A185" s="34">
        <v>41699</v>
      </c>
      <c r="B185" s="90">
        <f>'[11]CoS 2017 Load History'!L223</f>
        <v>26573892.160000034</v>
      </c>
      <c r="C185" s="221">
        <f>'Residential WN'!C185</f>
        <v>702.91</v>
      </c>
      <c r="D185" s="221">
        <f>'Residential WN'!D185</f>
        <v>0</v>
      </c>
      <c r="E185" s="18">
        <v>31</v>
      </c>
      <c r="F185" s="18">
        <v>1</v>
      </c>
      <c r="G185" s="18">
        <f>'CDM Activity'!U117</f>
        <v>509946.59153469699</v>
      </c>
      <c r="H185" s="18">
        <v>336</v>
      </c>
      <c r="I185" s="37">
        <v>147.69668870738414</v>
      </c>
      <c r="J185" s="218">
        <f>'[11]CoS 2017 Load History'!O223</f>
        <v>503.25</v>
      </c>
      <c r="K185" s="9">
        <f t="shared" si="1"/>
        <v>25012541.086438574</v>
      </c>
      <c r="L185" s="98"/>
      <c r="M185" s="24"/>
      <c r="N185"/>
      <c r="O185"/>
      <c r="P185"/>
      <c r="Q185"/>
      <c r="R185"/>
      <c r="S185"/>
      <c r="T185"/>
      <c r="U185"/>
      <c r="V185"/>
      <c r="W185"/>
      <c r="X185"/>
      <c r="Y185"/>
      <c r="Z185"/>
      <c r="AA185"/>
      <c r="AB185"/>
    </row>
    <row r="186" spans="1:28" s="35" customFormat="1">
      <c r="A186" s="34">
        <v>41730</v>
      </c>
      <c r="B186" s="90">
        <f>'[11]CoS 2017 Load History'!L224</f>
        <v>22785513.130000003</v>
      </c>
      <c r="C186" s="221">
        <f>'Residential WN'!C186</f>
        <v>450.5200000000001</v>
      </c>
      <c r="D186" s="221">
        <f>'Residential WN'!D186</f>
        <v>0</v>
      </c>
      <c r="E186" s="18">
        <v>30</v>
      </c>
      <c r="F186" s="18">
        <v>1</v>
      </c>
      <c r="G186" s="18">
        <f>'CDM Activity'!U118</f>
        <v>531923.35190722847</v>
      </c>
      <c r="H186" s="18">
        <v>320</v>
      </c>
      <c r="I186" s="37">
        <v>148.02496339899133</v>
      </c>
      <c r="J186" s="218">
        <f>'[11]CoS 2017 Load History'!O224</f>
        <v>504.625</v>
      </c>
      <c r="K186" s="9">
        <f t="shared" si="1"/>
        <v>22152648.411641706</v>
      </c>
      <c r="L186" s="98"/>
      <c r="M186" s="24"/>
      <c r="N186"/>
      <c r="O186"/>
      <c r="P186"/>
      <c r="Q186"/>
      <c r="R186"/>
      <c r="S186"/>
      <c r="T186"/>
      <c r="U186"/>
      <c r="V186"/>
      <c r="W186"/>
      <c r="X186"/>
      <c r="Y186"/>
      <c r="Z186"/>
      <c r="AA186"/>
      <c r="AB186"/>
    </row>
    <row r="187" spans="1:28" s="35" customFormat="1">
      <c r="A187" s="34">
        <v>41760</v>
      </c>
      <c r="B187" s="90">
        <f>'[11]CoS 2017 Load History'!L225</f>
        <v>21163181.64999998</v>
      </c>
      <c r="C187" s="221">
        <f>'Residential WN'!C187</f>
        <v>271.46000000000004</v>
      </c>
      <c r="D187" s="221">
        <f>'Residential WN'!D187</f>
        <v>0.47000000000000003</v>
      </c>
      <c r="E187" s="18">
        <v>31</v>
      </c>
      <c r="F187" s="18">
        <v>1</v>
      </c>
      <c r="G187" s="18">
        <f>'CDM Activity'!U119</f>
        <v>553900.11227975995</v>
      </c>
      <c r="H187" s="18">
        <v>336</v>
      </c>
      <c r="I187" s="37">
        <v>148.35396772288814</v>
      </c>
      <c r="J187" s="218">
        <f>'[11]CoS 2017 Load History'!O225</f>
        <v>498.8125</v>
      </c>
      <c r="K187" s="9">
        <f t="shared" si="1"/>
        <v>21170608.910515167</v>
      </c>
      <c r="L187" s="98"/>
      <c r="M187" s="24"/>
      <c r="N187"/>
      <c r="O187"/>
      <c r="P187"/>
      <c r="Q187"/>
      <c r="R187"/>
      <c r="S187"/>
      <c r="T187"/>
      <c r="U187"/>
      <c r="V187"/>
      <c r="W187"/>
      <c r="X187"/>
      <c r="Y187"/>
      <c r="Z187"/>
      <c r="AA187"/>
      <c r="AB187"/>
    </row>
    <row r="188" spans="1:28" s="35" customFormat="1">
      <c r="A188" s="34">
        <v>41791</v>
      </c>
      <c r="B188" s="90">
        <f>'[11]CoS 2017 Load History'!L226</f>
        <v>19864970.560000002</v>
      </c>
      <c r="C188" s="221">
        <f>'Residential WN'!C188</f>
        <v>109.59</v>
      </c>
      <c r="D188" s="221">
        <f>'Residential WN'!D188</f>
        <v>6.7</v>
      </c>
      <c r="E188" s="18">
        <v>30</v>
      </c>
      <c r="F188" s="18">
        <v>0</v>
      </c>
      <c r="G188" s="18">
        <f>'CDM Activity'!U120</f>
        <v>575876.87265229144</v>
      </c>
      <c r="H188" s="18">
        <v>336</v>
      </c>
      <c r="I188" s="37">
        <v>148.68370330077519</v>
      </c>
      <c r="J188" s="218">
        <f>'[11]CoS 2017 Load History'!O226</f>
        <v>496.40625</v>
      </c>
      <c r="K188" s="9">
        <f t="shared" si="1"/>
        <v>20193156.929305539</v>
      </c>
      <c r="L188" s="98"/>
      <c r="M188" s="24"/>
      <c r="N188"/>
      <c r="O188"/>
      <c r="P188"/>
      <c r="Q188"/>
      <c r="R188"/>
      <c r="S188"/>
      <c r="T188"/>
      <c r="U188"/>
      <c r="V188"/>
      <c r="W188"/>
      <c r="X188"/>
      <c r="Y188"/>
      <c r="Z188"/>
      <c r="AA188"/>
      <c r="AB188"/>
    </row>
    <row r="189" spans="1:28" s="35" customFormat="1">
      <c r="A189" s="34">
        <v>41821</v>
      </c>
      <c r="B189" s="90">
        <f>'[11]CoS 2017 Load History'!L227</f>
        <v>20551473.419999994</v>
      </c>
      <c r="C189" s="221">
        <f>'Residential WN'!C189</f>
        <v>36.33</v>
      </c>
      <c r="D189" s="221">
        <f>'Residential WN'!D189</f>
        <v>40.369999999999997</v>
      </c>
      <c r="E189" s="18">
        <v>31</v>
      </c>
      <c r="F189" s="18">
        <v>0</v>
      </c>
      <c r="G189" s="18">
        <f>'CDM Activity'!U121</f>
        <v>597853.63302482292</v>
      </c>
      <c r="H189" s="18">
        <v>352</v>
      </c>
      <c r="I189" s="37">
        <v>149.0141717579576</v>
      </c>
      <c r="J189" s="218">
        <f>'[11]CoS 2017 Load History'!O227</f>
        <v>495.203125</v>
      </c>
      <c r="K189" s="9">
        <f t="shared" si="1"/>
        <v>21580306.809750486</v>
      </c>
      <c r="L189" s="98"/>
      <c r="M189" s="24"/>
      <c r="N189"/>
      <c r="O189"/>
      <c r="P189"/>
      <c r="Q189"/>
      <c r="R189"/>
      <c r="S189"/>
      <c r="T189"/>
      <c r="U189"/>
      <c r="V189"/>
      <c r="W189"/>
      <c r="X189"/>
      <c r="Y189"/>
      <c r="Z189"/>
      <c r="AA189"/>
      <c r="AB189"/>
    </row>
    <row r="190" spans="1:28" s="35" customFormat="1">
      <c r="A190" s="34">
        <v>41852</v>
      </c>
      <c r="B190" s="90">
        <f>'[11]CoS 2017 Load History'!L228</f>
        <v>20809859.190000009</v>
      </c>
      <c r="C190" s="221">
        <f>'Residential WN'!C190</f>
        <v>51.55</v>
      </c>
      <c r="D190" s="221">
        <f>'Residential WN'!D190</f>
        <v>29.669999999999998</v>
      </c>
      <c r="E190" s="18">
        <v>31</v>
      </c>
      <c r="F190" s="18">
        <v>0</v>
      </c>
      <c r="G190" s="18">
        <f>'CDM Activity'!U122</f>
        <v>619830.3933973544</v>
      </c>
      <c r="H190" s="18">
        <v>320</v>
      </c>
      <c r="I190" s="37">
        <v>149.34537472335285</v>
      </c>
      <c r="J190" s="218">
        <f>'[11]CoS 2017 Load History'!O228</f>
        <v>491.1015625</v>
      </c>
      <c r="K190" s="9">
        <f t="shared" si="1"/>
        <v>20915833.403351288</v>
      </c>
      <c r="L190" s="98"/>
      <c r="M190" s="24"/>
      <c r="N190"/>
      <c r="O190"/>
      <c r="P190"/>
      <c r="Q190"/>
      <c r="R190"/>
      <c r="S190"/>
      <c r="T190"/>
      <c r="U190"/>
      <c r="V190"/>
      <c r="W190"/>
      <c r="X190"/>
      <c r="Y190"/>
      <c r="Z190"/>
      <c r="AA190"/>
      <c r="AB190"/>
    </row>
    <row r="191" spans="1:28" s="35" customFormat="1">
      <c r="A191" s="34">
        <v>41883</v>
      </c>
      <c r="B191" s="90">
        <f>'[11]CoS 2017 Load History'!L229</f>
        <v>19978896.649999991</v>
      </c>
      <c r="C191" s="221">
        <f>'Residential WN'!C191</f>
        <v>176.97</v>
      </c>
      <c r="D191" s="221">
        <f>'Residential WN'!D191</f>
        <v>5.05</v>
      </c>
      <c r="E191" s="18">
        <v>30</v>
      </c>
      <c r="F191" s="18">
        <v>1</v>
      </c>
      <c r="G191" s="18">
        <f>'CDM Activity'!U123</f>
        <v>641807.15376988589</v>
      </c>
      <c r="H191" s="18">
        <v>336</v>
      </c>
      <c r="I191" s="37">
        <v>149.67731382949896</v>
      </c>
      <c r="J191" s="218">
        <f>'[11]CoS 2017 Load History'!O229</f>
        <v>490.05078125</v>
      </c>
      <c r="K191" s="9">
        <f t="shared" si="1"/>
        <v>19818728.318736091</v>
      </c>
      <c r="L191" s="98"/>
      <c r="M191" s="24"/>
      <c r="N191"/>
      <c r="O191"/>
      <c r="P191"/>
      <c r="Q191"/>
      <c r="R191"/>
      <c r="S191"/>
      <c r="T191"/>
      <c r="U191"/>
      <c r="V191"/>
      <c r="W191"/>
      <c r="X191"/>
      <c r="Y191"/>
      <c r="Z191"/>
      <c r="AA191"/>
      <c r="AB191"/>
    </row>
    <row r="192" spans="1:28" s="35" customFormat="1">
      <c r="A192" s="34">
        <v>41913</v>
      </c>
      <c r="B192" s="90">
        <f>'[11]CoS 2017 Load History'!L230</f>
        <v>21777286.870000001</v>
      </c>
      <c r="C192" s="221">
        <f>'Residential WN'!C192</f>
        <v>372.15</v>
      </c>
      <c r="D192" s="221">
        <f>'Residential WN'!D192</f>
        <v>0.54</v>
      </c>
      <c r="E192" s="18">
        <v>31</v>
      </c>
      <c r="F192" s="18">
        <v>1</v>
      </c>
      <c r="G192" s="18">
        <f>'CDM Activity'!U124</f>
        <v>663783.91414241737</v>
      </c>
      <c r="H192" s="18">
        <v>352</v>
      </c>
      <c r="I192" s="37">
        <v>150.00999071256246</v>
      </c>
      <c r="J192" s="218">
        <f>'[11]CoS 2017 Load History'!O230</f>
        <v>488.525390625</v>
      </c>
      <c r="K192" s="9">
        <f t="shared" si="1"/>
        <v>21858360.4317724</v>
      </c>
      <c r="L192" s="98"/>
      <c r="M192" s="24"/>
      <c r="N192"/>
      <c r="O192"/>
      <c r="P192"/>
      <c r="Q192"/>
      <c r="R192"/>
      <c r="S192"/>
      <c r="T192"/>
      <c r="U192"/>
      <c r="V192"/>
      <c r="W192"/>
      <c r="X192"/>
      <c r="Y192"/>
      <c r="Z192"/>
      <c r="AA192"/>
      <c r="AB192"/>
    </row>
    <row r="193" spans="1:28" s="35" customFormat="1">
      <c r="A193" s="34">
        <v>41944</v>
      </c>
      <c r="B193" s="90">
        <f>'[11]CoS 2017 Load History'!L231</f>
        <v>24141227.480000012</v>
      </c>
      <c r="C193" s="221">
        <f>'Residential WN'!C193</f>
        <v>567.61000000000013</v>
      </c>
      <c r="D193" s="221">
        <f>'Residential WN'!D193</f>
        <v>0</v>
      </c>
      <c r="E193" s="18">
        <v>30</v>
      </c>
      <c r="F193" s="18">
        <v>1</v>
      </c>
      <c r="G193" s="18">
        <f>'CDM Activity'!U125</f>
        <v>685760.67451494886</v>
      </c>
      <c r="H193" s="18">
        <v>304</v>
      </c>
      <c r="I193" s="37">
        <v>150.34340701234646</v>
      </c>
      <c r="J193" s="218">
        <f>'[11]CoS 2017 Load History'!O231</f>
        <v>487.7626953125</v>
      </c>
      <c r="K193" s="9">
        <f t="shared" si="1"/>
        <v>22587669.810305491</v>
      </c>
      <c r="L193" s="98"/>
      <c r="M193" s="24"/>
      <c r="N193"/>
      <c r="O193"/>
      <c r="P193"/>
      <c r="Q193"/>
      <c r="R193"/>
      <c r="S193"/>
      <c r="T193"/>
      <c r="U193"/>
      <c r="V193"/>
      <c r="W193"/>
      <c r="X193"/>
      <c r="Y193"/>
      <c r="Z193"/>
      <c r="AA193"/>
      <c r="AB193"/>
    </row>
    <row r="194" spans="1:28" s="35" customFormat="1">
      <c r="A194" s="34">
        <v>41974</v>
      </c>
      <c r="B194" s="90">
        <f>'[11]CoS 2017 Load History'!L232</f>
        <v>26134928.269999992</v>
      </c>
      <c r="C194" s="221">
        <f>'Residential WN'!C194</f>
        <v>852.28999999999974</v>
      </c>
      <c r="D194" s="221">
        <f>'Residential WN'!D194</f>
        <v>0</v>
      </c>
      <c r="E194" s="18">
        <v>31</v>
      </c>
      <c r="F194" s="18">
        <v>0</v>
      </c>
      <c r="G194" s="18">
        <f>'CDM Activity'!U126</f>
        <v>707737.43488748034</v>
      </c>
      <c r="H194" s="18">
        <v>336</v>
      </c>
      <c r="I194" s="37">
        <v>150.67756437229883</v>
      </c>
      <c r="J194" s="218">
        <f>'[11]CoS 2017 Load History'!O232</f>
        <v>487.38134765625</v>
      </c>
      <c r="K194" s="9">
        <f t="shared" si="1"/>
        <v>26425620.618050471</v>
      </c>
      <c r="L194" s="98"/>
      <c r="M194" s="24"/>
      <c r="N194"/>
      <c r="O194"/>
      <c r="P194"/>
      <c r="Q194"/>
      <c r="R194"/>
      <c r="S194"/>
      <c r="T194"/>
      <c r="U194"/>
      <c r="V194"/>
      <c r="W194"/>
      <c r="X194"/>
      <c r="Y194"/>
      <c r="Z194"/>
      <c r="AA194"/>
      <c r="AB194"/>
    </row>
    <row r="195" spans="1:28" s="35" customFormat="1">
      <c r="A195" s="34">
        <v>42005</v>
      </c>
      <c r="B195" s="90">
        <f>'[11]CoS 2017 Load History'!L233</f>
        <v>27731660.080000002</v>
      </c>
      <c r="C195" s="221">
        <f>'Residential WN'!C195</f>
        <v>960.98000000000013</v>
      </c>
      <c r="D195" s="221">
        <f>'Residential WN'!D195</f>
        <v>0</v>
      </c>
      <c r="E195" s="18">
        <v>31</v>
      </c>
      <c r="F195" s="18">
        <v>0</v>
      </c>
      <c r="G195" s="18">
        <f>'CDM Activity'!U127</f>
        <v>723269.33626694127</v>
      </c>
      <c r="H195" s="18">
        <v>336</v>
      </c>
      <c r="I195" s="37">
        <v>150.98793548444445</v>
      </c>
      <c r="J195" s="218">
        <f>'[11]CoS 2017 Load History'!O233</f>
        <v>487.190673828125</v>
      </c>
      <c r="K195" s="9">
        <f t="shared" si="1"/>
        <v>27321426.553703077</v>
      </c>
      <c r="L195" s="98"/>
      <c r="M195" s="24"/>
      <c r="N195"/>
      <c r="O195"/>
      <c r="P195"/>
      <c r="Q195"/>
      <c r="R195"/>
      <c r="S195"/>
      <c r="T195"/>
      <c r="U195"/>
      <c r="V195"/>
      <c r="W195"/>
      <c r="X195"/>
      <c r="Y195"/>
      <c r="Z195"/>
      <c r="AA195"/>
      <c r="AB195"/>
    </row>
    <row r="196" spans="1:28" s="35" customFormat="1">
      <c r="A196" s="34">
        <v>42036</v>
      </c>
      <c r="B196" s="90">
        <f>'[11]CoS 2017 Load History'!L234</f>
        <v>25715487.790000014</v>
      </c>
      <c r="C196" s="221">
        <f>'Residential WN'!C196</f>
        <v>875.5899999999998</v>
      </c>
      <c r="D196" s="221">
        <f>'Residential WN'!D196</f>
        <v>0</v>
      </c>
      <c r="E196" s="18">
        <v>28</v>
      </c>
      <c r="F196" s="18">
        <v>0</v>
      </c>
      <c r="G196" s="18">
        <f>'CDM Activity'!U128</f>
        <v>738801.23764640221</v>
      </c>
      <c r="H196" s="18">
        <v>304</v>
      </c>
      <c r="I196" s="37">
        <v>151.298945910264</v>
      </c>
      <c r="J196" s="218">
        <f>'[11]CoS 2017 Load History'!O234</f>
        <v>487.5953369140625</v>
      </c>
      <c r="K196" s="9">
        <f t="shared" si="1"/>
        <v>24835441.099808577</v>
      </c>
      <c r="L196" s="98"/>
      <c r="M196" s="24"/>
      <c r="N196"/>
      <c r="O196"/>
      <c r="P196"/>
      <c r="Q196"/>
      <c r="R196"/>
      <c r="S196"/>
      <c r="T196"/>
      <c r="U196"/>
      <c r="V196"/>
      <c r="W196"/>
      <c r="X196"/>
      <c r="Y196"/>
      <c r="Z196"/>
      <c r="AA196"/>
      <c r="AB196"/>
    </row>
    <row r="197" spans="1:28" s="35" customFormat="1">
      <c r="A197" s="34">
        <v>42064</v>
      </c>
      <c r="B197" s="90">
        <f>'[11]CoS 2017 Load History'!L235</f>
        <v>25051564.360000011</v>
      </c>
      <c r="C197" s="221">
        <f>'Residential WN'!C197</f>
        <v>702.91</v>
      </c>
      <c r="D197" s="221">
        <f>'Residential WN'!D197</f>
        <v>0</v>
      </c>
      <c r="E197" s="18">
        <v>31</v>
      </c>
      <c r="F197" s="18">
        <v>1</v>
      </c>
      <c r="G197" s="18">
        <f>'CDM Activity'!U129</f>
        <v>754333.13902586314</v>
      </c>
      <c r="H197" s="18">
        <v>352</v>
      </c>
      <c r="I197" s="37">
        <v>151.61059696663892</v>
      </c>
      <c r="J197" s="218">
        <f>'[11]CoS 2017 Load History'!O235</f>
        <v>486.79766845703125</v>
      </c>
      <c r="K197" s="9">
        <f t="shared" si="1"/>
        <v>24435149.906910505</v>
      </c>
      <c r="L197" s="98"/>
      <c r="M197" s="24"/>
      <c r="N197"/>
      <c r="O197"/>
      <c r="P197"/>
      <c r="Q197"/>
      <c r="R197"/>
      <c r="S197"/>
      <c r="T197"/>
      <c r="U197"/>
      <c r="V197"/>
      <c r="W197"/>
      <c r="X197"/>
      <c r="Y197"/>
      <c r="Z197"/>
      <c r="AA197"/>
      <c r="AB197"/>
    </row>
    <row r="198" spans="1:28" s="35" customFormat="1">
      <c r="A198" s="34">
        <v>42095</v>
      </c>
      <c r="B198" s="90">
        <f>'[11]CoS 2017 Load History'!L236</f>
        <v>21377518.080000013</v>
      </c>
      <c r="C198" s="221">
        <f>'Residential WN'!C198</f>
        <v>450.5200000000001</v>
      </c>
      <c r="D198" s="221">
        <f>'Residential WN'!D198</f>
        <v>0</v>
      </c>
      <c r="E198" s="18">
        <v>30</v>
      </c>
      <c r="F198" s="18">
        <v>1</v>
      </c>
      <c r="G198" s="18">
        <f>'CDM Activity'!U130</f>
        <v>769865.04040532408</v>
      </c>
      <c r="H198" s="18">
        <v>336</v>
      </c>
      <c r="I198" s="37">
        <v>151.92288997316331</v>
      </c>
      <c r="J198" s="218">
        <f>'[11]CoS 2017 Load History'!O236</f>
        <v>485.89883422851563</v>
      </c>
      <c r="K198" s="9">
        <f t="shared" si="1"/>
        <v>21593965.594838157</v>
      </c>
      <c r="L198" s="98"/>
      <c r="M198" s="24"/>
      <c r="N198"/>
      <c r="O198"/>
      <c r="P198"/>
      <c r="Q198"/>
      <c r="R198"/>
      <c r="S198"/>
      <c r="T198"/>
      <c r="U198"/>
      <c r="V198"/>
      <c r="W198"/>
      <c r="X198"/>
      <c r="Y198"/>
      <c r="Z198"/>
      <c r="AA198"/>
      <c r="AB198"/>
    </row>
    <row r="199" spans="1:28" s="35" customFormat="1">
      <c r="A199" s="34">
        <v>42125</v>
      </c>
      <c r="B199" s="90">
        <f>'[11]CoS 2017 Load History'!L237</f>
        <v>20280334.619999997</v>
      </c>
      <c r="C199" s="221">
        <f>'Residential WN'!C199</f>
        <v>271.46000000000004</v>
      </c>
      <c r="D199" s="221">
        <f>'Residential WN'!D199</f>
        <v>0.47000000000000003</v>
      </c>
      <c r="E199" s="18">
        <v>31</v>
      </c>
      <c r="F199" s="18">
        <v>1</v>
      </c>
      <c r="G199" s="18">
        <f>'CDM Activity'!U131</f>
        <v>785396.94178478501</v>
      </c>
      <c r="H199" s="18">
        <v>320</v>
      </c>
      <c r="I199" s="37">
        <v>152.23582625214937</v>
      </c>
      <c r="J199" s="218">
        <f>'[11]CoS 2017 Load History'!O237</f>
        <v>478.94941711425781</v>
      </c>
      <c r="K199" s="9">
        <f t="shared" si="1"/>
        <v>20366589.132722486</v>
      </c>
      <c r="L199" s="98"/>
      <c r="M199" s="24"/>
      <c r="N199"/>
      <c r="O199"/>
      <c r="P199"/>
      <c r="Q199"/>
      <c r="R199"/>
      <c r="S199"/>
      <c r="T199"/>
      <c r="U199"/>
      <c r="V199"/>
      <c r="W199"/>
      <c r="X199"/>
      <c r="Y199"/>
      <c r="Z199"/>
      <c r="AA199"/>
      <c r="AB199"/>
    </row>
    <row r="200" spans="1:28" s="35" customFormat="1">
      <c r="A200" s="34">
        <v>42156</v>
      </c>
      <c r="B200" s="90">
        <f>'[11]CoS 2017 Load History'!L238</f>
        <v>19371535.930000011</v>
      </c>
      <c r="C200" s="221">
        <f>'Residential WN'!C200</f>
        <v>109.59</v>
      </c>
      <c r="D200" s="221">
        <f>'Residential WN'!D200</f>
        <v>6.7</v>
      </c>
      <c r="E200" s="18">
        <v>30</v>
      </c>
      <c r="F200" s="18">
        <v>0</v>
      </c>
      <c r="G200" s="18">
        <f>'CDM Activity'!U132</f>
        <v>800928.84316424595</v>
      </c>
      <c r="H200" s="18">
        <v>352</v>
      </c>
      <c r="I200" s="37">
        <v>152.54940712863302</v>
      </c>
      <c r="J200" s="218">
        <f>'[11]CoS 2017 Load History'!O238</f>
        <v>469.47470855712891</v>
      </c>
      <c r="K200" s="9">
        <f t="shared" si="1"/>
        <v>19671890.837951031</v>
      </c>
      <c r="L200" s="98"/>
      <c r="M200" s="24"/>
      <c r="N200"/>
      <c r="O200"/>
      <c r="P200"/>
      <c r="Q200"/>
      <c r="R200"/>
      <c r="S200"/>
      <c r="T200"/>
      <c r="U200"/>
      <c r="V200"/>
      <c r="W200"/>
      <c r="X200"/>
      <c r="Y200"/>
      <c r="Z200"/>
      <c r="AA200"/>
      <c r="AB200"/>
    </row>
    <row r="201" spans="1:28" s="35" customFormat="1">
      <c r="A201" s="34">
        <v>42186</v>
      </c>
      <c r="B201" s="90">
        <f>'[11]CoS 2017 Load History'!L239</f>
        <v>20675017.580000002</v>
      </c>
      <c r="C201" s="221">
        <f>'Residential WN'!C201</f>
        <v>36.33</v>
      </c>
      <c r="D201" s="221">
        <f>'Residential WN'!D201</f>
        <v>40.369999999999997</v>
      </c>
      <c r="E201" s="18">
        <v>31</v>
      </c>
      <c r="F201" s="18">
        <v>0</v>
      </c>
      <c r="G201" s="18">
        <f>'CDM Activity'!U133</f>
        <v>816460.74454370688</v>
      </c>
      <c r="H201" s="18">
        <v>352</v>
      </c>
      <c r="I201" s="37">
        <v>152.86363393037959</v>
      </c>
      <c r="J201" s="218">
        <f>'[11]CoS 2017 Load History'!O239</f>
        <v>463.73735427856445</v>
      </c>
      <c r="K201" s="9">
        <f t="shared" si="1"/>
        <v>20945726.419263676</v>
      </c>
      <c r="L201" s="98"/>
      <c r="M201" s="24"/>
      <c r="N201"/>
      <c r="O201"/>
      <c r="P201"/>
      <c r="Q201"/>
      <c r="R201"/>
      <c r="S201"/>
      <c r="T201"/>
      <c r="U201"/>
      <c r="V201"/>
      <c r="W201"/>
      <c r="X201"/>
      <c r="Y201"/>
      <c r="Z201"/>
      <c r="AA201"/>
      <c r="AB201"/>
    </row>
    <row r="202" spans="1:28" s="35" customFormat="1">
      <c r="A202" s="34">
        <v>42217</v>
      </c>
      <c r="B202" s="90">
        <f>'[11]CoS 2017 Load History'!L240</f>
        <v>20614734.829999994</v>
      </c>
      <c r="C202" s="221">
        <f>'Residential WN'!C202</f>
        <v>51.55</v>
      </c>
      <c r="D202" s="221">
        <f>'Residential WN'!D202</f>
        <v>29.669999999999998</v>
      </c>
      <c r="E202" s="18">
        <v>31</v>
      </c>
      <c r="F202" s="18">
        <v>0</v>
      </c>
      <c r="G202" s="18">
        <f>'CDM Activity'!U134</f>
        <v>831992.64592316782</v>
      </c>
      <c r="H202" s="18">
        <v>320</v>
      </c>
      <c r="I202" s="37">
        <v>153.17850798788936</v>
      </c>
      <c r="J202" s="218">
        <f>'[11]CoS 2017 Load History'!O240</f>
        <v>460.86867713928223</v>
      </c>
      <c r="K202" s="9">
        <f t="shared" si="1"/>
        <v>20299961.375588998</v>
      </c>
      <c r="L202" s="98"/>
      <c r="M202" s="24"/>
      <c r="N202"/>
      <c r="O202"/>
      <c r="P202"/>
      <c r="Q202"/>
      <c r="R202"/>
      <c r="S202"/>
      <c r="T202"/>
      <c r="U202"/>
      <c r="V202"/>
      <c r="W202"/>
      <c r="X202"/>
      <c r="Y202"/>
      <c r="Z202"/>
      <c r="AA202"/>
      <c r="AB202"/>
    </row>
    <row r="203" spans="1:28" s="35" customFormat="1">
      <c r="A203" s="34">
        <v>42248</v>
      </c>
      <c r="B203" s="90">
        <f>'[11]CoS 2017 Load History'!L241</f>
        <v>19939072.719999995</v>
      </c>
      <c r="C203" s="221">
        <f>'Residential WN'!C203</f>
        <v>176.97</v>
      </c>
      <c r="D203" s="221">
        <f>'Residential WN'!D203</f>
        <v>5.05</v>
      </c>
      <c r="E203" s="18">
        <v>30</v>
      </c>
      <c r="F203" s="18">
        <v>1</v>
      </c>
      <c r="G203" s="18">
        <f>'CDM Activity'!U135</f>
        <v>847524.54730262875</v>
      </c>
      <c r="H203" s="18">
        <v>336</v>
      </c>
      <c r="I203" s="37">
        <v>153.4940306344032</v>
      </c>
      <c r="J203" s="218">
        <f>'[11]CoS 2017 Load History'!O241</f>
        <v>459.93433856964111</v>
      </c>
      <c r="K203" s="9">
        <f t="shared" si="1"/>
        <v>19221564.653698325</v>
      </c>
      <c r="L203" s="98"/>
      <c r="M203" s="24"/>
      <c r="N203"/>
      <c r="O203"/>
      <c r="P203"/>
      <c r="Q203"/>
      <c r="R203"/>
      <c r="S203"/>
      <c r="T203"/>
      <c r="U203"/>
      <c r="V203"/>
      <c r="W203"/>
      <c r="X203"/>
      <c r="Y203"/>
      <c r="Z203"/>
      <c r="AA203"/>
      <c r="AB203"/>
    </row>
    <row r="204" spans="1:28" s="35" customFormat="1">
      <c r="A204" s="34">
        <v>42278</v>
      </c>
      <c r="B204" s="90">
        <f>'[11]CoS 2017 Load History'!L242</f>
        <v>20726132.169999994</v>
      </c>
      <c r="C204" s="221">
        <f>'Residential WN'!C204</f>
        <v>372.15</v>
      </c>
      <c r="D204" s="221">
        <f>'Residential WN'!D204</f>
        <v>0.54</v>
      </c>
      <c r="E204" s="18">
        <v>31</v>
      </c>
      <c r="F204" s="18">
        <v>1</v>
      </c>
      <c r="G204" s="18">
        <f>'CDM Activity'!U136</f>
        <v>863056.44868208969</v>
      </c>
      <c r="H204" s="18">
        <v>336</v>
      </c>
      <c r="I204" s="37">
        <v>153.81020320590829</v>
      </c>
      <c r="J204" s="218">
        <f>'[11]CoS 2017 Load History'!O242</f>
        <v>459.46716928482056</v>
      </c>
      <c r="K204" s="9">
        <f t="shared" si="1"/>
        <v>21147882.467602327</v>
      </c>
      <c r="L204" s="98"/>
      <c r="M204" s="24"/>
      <c r="N204"/>
      <c r="O204"/>
      <c r="P204"/>
      <c r="Q204"/>
      <c r="R204"/>
      <c r="S204"/>
      <c r="T204"/>
      <c r="U204"/>
      <c r="V204"/>
      <c r="W204"/>
      <c r="X204"/>
      <c r="Y204"/>
      <c r="Z204"/>
      <c r="AA204"/>
      <c r="AB204"/>
    </row>
    <row r="205" spans="1:28" s="35" customFormat="1">
      <c r="A205" s="34">
        <v>42309</v>
      </c>
      <c r="B205" s="90">
        <f>'[11]CoS 2017 Load History'!L243</f>
        <v>21470151.140000004</v>
      </c>
      <c r="C205" s="221">
        <f>'Residential WN'!C205</f>
        <v>567.61000000000013</v>
      </c>
      <c r="D205" s="221">
        <f>'Residential WN'!D205</f>
        <v>0</v>
      </c>
      <c r="E205" s="18">
        <v>30</v>
      </c>
      <c r="F205" s="18">
        <v>1</v>
      </c>
      <c r="G205" s="18">
        <f>'CDM Activity'!U137</f>
        <v>878588.35006155062</v>
      </c>
      <c r="H205" s="18">
        <v>320</v>
      </c>
      <c r="I205" s="37">
        <v>154.12702704114372</v>
      </c>
      <c r="J205" s="218">
        <f>'[11]CoS 2017 Load History'!O243</f>
        <v>459.73358464241028</v>
      </c>
      <c r="K205" s="9">
        <f t="shared" si="1"/>
        <v>22159945.532573592</v>
      </c>
      <c r="L205" s="98"/>
      <c r="M205" s="24"/>
      <c r="N205"/>
      <c r="O205"/>
      <c r="P205"/>
      <c r="Q205"/>
      <c r="R205"/>
      <c r="S205"/>
      <c r="T205"/>
      <c r="U205"/>
      <c r="V205"/>
      <c r="W205"/>
      <c r="X205"/>
      <c r="Y205"/>
      <c r="Z205"/>
      <c r="AA205"/>
      <c r="AB205"/>
    </row>
    <row r="206" spans="1:28" s="35" customFormat="1">
      <c r="A206" s="34">
        <v>42339</v>
      </c>
      <c r="B206" s="90">
        <f>'[11]CoS 2017 Load History'!L244</f>
        <v>23595138.619999997</v>
      </c>
      <c r="C206" s="221">
        <f>'Residential WN'!C206</f>
        <v>852.28999999999974</v>
      </c>
      <c r="D206" s="221">
        <f>'Residential WN'!D206</f>
        <v>0</v>
      </c>
      <c r="E206" s="18">
        <v>31</v>
      </c>
      <c r="F206" s="18">
        <v>0</v>
      </c>
      <c r="G206" s="18">
        <f>'CDM Activity'!U138</f>
        <v>894120.25144101155</v>
      </c>
      <c r="H206" s="18">
        <v>352</v>
      </c>
      <c r="I206" s="37">
        <v>154.44450348160629</v>
      </c>
      <c r="J206" s="218">
        <f>'[11]CoS 2017 Load History'!O244</f>
        <v>459.86679232120514</v>
      </c>
      <c r="K206" s="9">
        <f t="shared" si="1"/>
        <v>26016604.703043088</v>
      </c>
      <c r="L206" s="98"/>
      <c r="M206" s="24"/>
      <c r="N206"/>
      <c r="O206"/>
      <c r="P206"/>
      <c r="Q206"/>
      <c r="R206"/>
      <c r="S206"/>
      <c r="T206"/>
      <c r="U206"/>
      <c r="V206"/>
      <c r="W206"/>
      <c r="X206"/>
      <c r="Y206"/>
      <c r="Z206"/>
      <c r="AA206"/>
      <c r="AB206"/>
    </row>
    <row r="207" spans="1:28" s="35" customFormat="1">
      <c r="A207" s="34">
        <v>42370</v>
      </c>
      <c r="B207" s="90"/>
      <c r="C207" s="221">
        <f>'Residential WN'!C207</f>
        <v>960.98000000000013</v>
      </c>
      <c r="D207" s="221">
        <f>'Residential WN'!D207</f>
        <v>0</v>
      </c>
      <c r="E207" s="18">
        <v>31</v>
      </c>
      <c r="F207" s="18">
        <v>0</v>
      </c>
      <c r="G207" s="18">
        <f>'CDM Activity'!U139</f>
        <v>896297.09873074619</v>
      </c>
      <c r="H207" s="18">
        <v>320</v>
      </c>
      <c r="I207" s="37">
        <v>154.72483615659849</v>
      </c>
      <c r="J207" s="18"/>
      <c r="K207" s="9">
        <f t="shared" si="1"/>
        <v>26687132.834393229</v>
      </c>
      <c r="L207" s="98"/>
      <c r="M207" s="24"/>
      <c r="N207"/>
      <c r="O207"/>
      <c r="P207"/>
      <c r="Q207"/>
      <c r="R207"/>
      <c r="S207"/>
      <c r="T207"/>
      <c r="U207"/>
      <c r="V207"/>
      <c r="W207"/>
      <c r="X207"/>
      <c r="Y207"/>
      <c r="Z207"/>
      <c r="AA207"/>
      <c r="AB207"/>
    </row>
    <row r="208" spans="1:28" s="35" customFormat="1">
      <c r="A208" s="34">
        <v>42401</v>
      </c>
      <c r="B208" s="90"/>
      <c r="C208" s="221">
        <f>'Residential WN'!C208</f>
        <v>875.5899999999998</v>
      </c>
      <c r="D208" s="221">
        <f>'Residential WN'!D208</f>
        <v>0</v>
      </c>
      <c r="E208" s="18">
        <v>29</v>
      </c>
      <c r="F208" s="18">
        <v>0</v>
      </c>
      <c r="G208" s="18">
        <f>'CDM Activity'!U140</f>
        <v>898473.94602048083</v>
      </c>
      <c r="H208" s="18">
        <v>320</v>
      </c>
      <c r="I208" s="37">
        <v>155.00567766425806</v>
      </c>
      <c r="J208" s="18"/>
      <c r="K208" s="9">
        <f t="shared" si="1"/>
        <v>24983180.656825524</v>
      </c>
      <c r="L208" s="98"/>
      <c r="M208" s="24"/>
      <c r="N208"/>
      <c r="O208"/>
      <c r="P208"/>
      <c r="Q208"/>
      <c r="R208"/>
      <c r="S208"/>
      <c r="T208"/>
      <c r="U208"/>
      <c r="V208"/>
      <c r="W208"/>
      <c r="X208"/>
      <c r="Y208"/>
      <c r="Z208"/>
      <c r="AA208"/>
      <c r="AB208"/>
    </row>
    <row r="209" spans="1:28" s="35" customFormat="1">
      <c r="A209" s="34">
        <v>42430</v>
      </c>
      <c r="B209" s="90"/>
      <c r="C209" s="221">
        <f>'Residential WN'!C209</f>
        <v>702.91</v>
      </c>
      <c r="D209" s="221">
        <f>'Residential WN'!D209</f>
        <v>0</v>
      </c>
      <c r="E209" s="18">
        <v>31</v>
      </c>
      <c r="F209" s="18">
        <v>1</v>
      </c>
      <c r="G209" s="18">
        <f>'CDM Activity'!U141</f>
        <v>900650.79331021546</v>
      </c>
      <c r="H209" s="18">
        <v>352</v>
      </c>
      <c r="I209" s="37">
        <v>155.2870289281687</v>
      </c>
      <c r="J209" s="18"/>
      <c r="K209" s="9">
        <f t="shared" si="1"/>
        <v>24010413.888279848</v>
      </c>
      <c r="L209" s="98"/>
      <c r="M209" s="24"/>
      <c r="N209"/>
      <c r="O209"/>
      <c r="P209"/>
      <c r="Q209"/>
      <c r="R209"/>
      <c r="S209"/>
      <c r="T209"/>
      <c r="U209"/>
      <c r="V209"/>
      <c r="W209"/>
      <c r="X209"/>
      <c r="Y209"/>
      <c r="Z209"/>
      <c r="AA209"/>
      <c r="AB209"/>
    </row>
    <row r="210" spans="1:28" s="35" customFormat="1">
      <c r="A210" s="34">
        <v>42461</v>
      </c>
      <c r="B210" s="90"/>
      <c r="C210" s="221">
        <f>'Residential WN'!C210</f>
        <v>450.5200000000001</v>
      </c>
      <c r="D210" s="221">
        <f>'Residential WN'!D210</f>
        <v>0</v>
      </c>
      <c r="E210" s="18">
        <v>30</v>
      </c>
      <c r="F210" s="18">
        <v>1</v>
      </c>
      <c r="G210" s="18">
        <f>'CDM Activity'!U142</f>
        <v>902827.6405999501</v>
      </c>
      <c r="H210" s="18">
        <v>336</v>
      </c>
      <c r="I210" s="37">
        <v>155.56889087359048</v>
      </c>
      <c r="J210" s="18"/>
      <c r="K210" s="9">
        <f t="shared" si="1"/>
        <v>21207997.09561868</v>
      </c>
      <c r="L210" s="98"/>
      <c r="M210" s="24"/>
      <c r="N210"/>
      <c r="O210"/>
      <c r="P210"/>
      <c r="Q210"/>
      <c r="R210"/>
      <c r="S210"/>
      <c r="T210"/>
      <c r="U210"/>
      <c r="V210"/>
      <c r="W210"/>
      <c r="X210"/>
      <c r="Y210"/>
      <c r="Z210"/>
      <c r="AA210"/>
      <c r="AB210"/>
    </row>
    <row r="211" spans="1:28" s="35" customFormat="1">
      <c r="A211" s="34">
        <v>42491</v>
      </c>
      <c r="B211" s="90"/>
      <c r="C211" s="221">
        <f>'Residential WN'!C211</f>
        <v>271.46000000000004</v>
      </c>
      <c r="D211" s="221">
        <f>'Residential WN'!D211</f>
        <v>0.47000000000000003</v>
      </c>
      <c r="E211" s="18">
        <v>31</v>
      </c>
      <c r="F211" s="18">
        <v>1</v>
      </c>
      <c r="G211" s="18">
        <f>'CDM Activity'!U143</f>
        <v>905004.48788968474</v>
      </c>
      <c r="H211" s="18">
        <v>336</v>
      </c>
      <c r="I211" s="37">
        <v>155.85126442746289</v>
      </c>
      <c r="J211" s="18"/>
      <c r="K211" s="9">
        <f t="shared" si="1"/>
        <v>20151410.814771019</v>
      </c>
      <c r="L211" s="98"/>
      <c r="M211" s="24"/>
      <c r="N211"/>
      <c r="O211"/>
      <c r="P211"/>
      <c r="Q211"/>
      <c r="R211"/>
      <c r="S211"/>
      <c r="T211"/>
      <c r="U211"/>
      <c r="V211"/>
      <c r="W211"/>
      <c r="X211"/>
      <c r="Y211"/>
      <c r="Z211"/>
      <c r="AA211"/>
      <c r="AB211"/>
    </row>
    <row r="212" spans="1:28" s="35" customFormat="1">
      <c r="A212" s="34">
        <v>42522</v>
      </c>
      <c r="B212" s="90"/>
      <c r="C212" s="221">
        <f>'Residential WN'!C212</f>
        <v>109.59</v>
      </c>
      <c r="D212" s="221">
        <f>'Residential WN'!D212</f>
        <v>6.7</v>
      </c>
      <c r="E212" s="18">
        <v>30</v>
      </c>
      <c r="F212" s="18">
        <v>0</v>
      </c>
      <c r="G212" s="18">
        <f>'CDM Activity'!U144</f>
        <v>907181.33517941937</v>
      </c>
      <c r="H212" s="18">
        <v>352</v>
      </c>
      <c r="I212" s="37">
        <v>156.13415051840798</v>
      </c>
      <c r="J212" s="18"/>
      <c r="K212" s="9">
        <f t="shared" si="1"/>
        <v>19363457.377553925</v>
      </c>
      <c r="L212" s="98"/>
      <c r="M212" s="24"/>
      <c r="N212"/>
      <c r="O212"/>
      <c r="P212"/>
      <c r="Q212"/>
      <c r="R212"/>
      <c r="S212"/>
      <c r="T212"/>
      <c r="U212"/>
      <c r="V212"/>
      <c r="W212"/>
      <c r="X212"/>
      <c r="Y212"/>
      <c r="Z212"/>
      <c r="AA212"/>
      <c r="AB212"/>
    </row>
    <row r="213" spans="1:28" s="35" customFormat="1">
      <c r="A213" s="34">
        <v>42552</v>
      </c>
      <c r="B213" s="90"/>
      <c r="C213" s="221">
        <f>'Residential WN'!C213</f>
        <v>36.33</v>
      </c>
      <c r="D213" s="221">
        <f>'Residential WN'!D213</f>
        <v>40.369999999999997</v>
      </c>
      <c r="E213" s="18">
        <v>31</v>
      </c>
      <c r="F213" s="18">
        <v>0</v>
      </c>
      <c r="G213" s="18">
        <f>'CDM Activity'!U145</f>
        <v>909358.18246915401</v>
      </c>
      <c r="H213" s="18">
        <v>320</v>
      </c>
      <c r="I213" s="37">
        <v>156.41755007673331</v>
      </c>
      <c r="J213" s="18"/>
      <c r="K213" s="9">
        <f t="shared" si="1"/>
        <v>20412015.154564101</v>
      </c>
      <c r="L213" s="98"/>
      <c r="M213" s="24"/>
      <c r="N213"/>
      <c r="O213"/>
      <c r="P213"/>
      <c r="Q213"/>
      <c r="R213"/>
      <c r="S213"/>
      <c r="T213"/>
      <c r="U213"/>
      <c r="V213"/>
      <c r="W213"/>
      <c r="X213"/>
      <c r="Y213"/>
      <c r="Z213"/>
      <c r="AA213"/>
      <c r="AB213"/>
    </row>
    <row r="214" spans="1:28" s="35" customFormat="1">
      <c r="A214" s="34">
        <v>42583</v>
      </c>
      <c r="B214" s="90"/>
      <c r="C214" s="221">
        <f>'Residential WN'!C214</f>
        <v>51.55</v>
      </c>
      <c r="D214" s="221">
        <f>'Residential WN'!D214</f>
        <v>29.669999999999998</v>
      </c>
      <c r="E214" s="18">
        <v>31</v>
      </c>
      <c r="F214" s="18">
        <v>0</v>
      </c>
      <c r="G214" s="18">
        <f>'CDM Activity'!U146</f>
        <v>911535.02975888865</v>
      </c>
      <c r="H214" s="18">
        <v>352</v>
      </c>
      <c r="I214" s="37">
        <v>156.70146403443502</v>
      </c>
      <c r="J214" s="18"/>
      <c r="K214" s="9">
        <f t="shared" si="1"/>
        <v>20333108.277727906</v>
      </c>
      <c r="L214" s="98"/>
      <c r="M214" s="24"/>
      <c r="N214"/>
      <c r="O214"/>
      <c r="P214"/>
      <c r="Q214"/>
      <c r="R214"/>
      <c r="S214"/>
      <c r="T214"/>
      <c r="U214"/>
      <c r="V214"/>
      <c r="W214"/>
      <c r="X214"/>
      <c r="Y214"/>
      <c r="Z214"/>
      <c r="AA214"/>
      <c r="AB214"/>
    </row>
    <row r="215" spans="1:28" s="35" customFormat="1">
      <c r="A215" s="34">
        <v>42614</v>
      </c>
      <c r="B215" s="90"/>
      <c r="C215" s="221">
        <f>'Residential WN'!C215</f>
        <v>176.97</v>
      </c>
      <c r="D215" s="221">
        <f>'Residential WN'!D215</f>
        <v>5.05</v>
      </c>
      <c r="E215" s="18">
        <v>30</v>
      </c>
      <c r="F215" s="18">
        <v>1</v>
      </c>
      <c r="G215" s="18">
        <f>'CDM Activity'!U147</f>
        <v>913711.87704862328</v>
      </c>
      <c r="H215" s="18">
        <v>336</v>
      </c>
      <c r="I215" s="37">
        <v>156.98589332520095</v>
      </c>
      <c r="J215" s="18"/>
      <c r="K215" s="9">
        <f t="shared" si="1"/>
        <v>19029433.751534767</v>
      </c>
      <c r="L215" s="98"/>
      <c r="M215" s="24"/>
      <c r="N215"/>
      <c r="O215"/>
      <c r="P215"/>
      <c r="Q215"/>
      <c r="R215"/>
      <c r="S215"/>
      <c r="T215"/>
      <c r="U215"/>
      <c r="V215"/>
      <c r="W215"/>
      <c r="X215"/>
      <c r="Y215"/>
      <c r="Z215"/>
      <c r="AA215"/>
      <c r="AB215"/>
    </row>
    <row r="216" spans="1:28" s="35" customFormat="1">
      <c r="A216" s="34">
        <v>42644</v>
      </c>
      <c r="B216" s="90"/>
      <c r="C216" s="221">
        <f>'Residential WN'!C216</f>
        <v>372.15</v>
      </c>
      <c r="D216" s="221">
        <f>'Residential WN'!D216</f>
        <v>0.54</v>
      </c>
      <c r="E216" s="18">
        <v>31</v>
      </c>
      <c r="F216" s="18">
        <v>1</v>
      </c>
      <c r="G216" s="18">
        <f>'CDM Activity'!U148</f>
        <v>915888.72433835792</v>
      </c>
      <c r="H216" s="18">
        <v>320</v>
      </c>
      <c r="I216" s="37">
        <v>157.27083888441365</v>
      </c>
      <c r="J216" s="18"/>
      <c r="K216" s="9">
        <f t="shared" ref="K216:K230" si="2">$O$103+C216*$O$104+D216*$O$105+E216*$O$106+F216*$O$107+G216*$O$108+H216*$O$109</f>
        <v>20862496.422993131</v>
      </c>
      <c r="L216" s="98"/>
      <c r="M216" s="24"/>
      <c r="N216"/>
      <c r="O216"/>
      <c r="P216"/>
      <c r="Q216"/>
      <c r="R216"/>
      <c r="S216"/>
      <c r="T216"/>
      <c r="U216"/>
      <c r="V216"/>
      <c r="W216"/>
      <c r="X216"/>
      <c r="Y216"/>
      <c r="Z216"/>
      <c r="AA216"/>
      <c r="AB216"/>
    </row>
    <row r="217" spans="1:28" s="35" customFormat="1">
      <c r="A217" s="34">
        <v>42675</v>
      </c>
      <c r="B217" s="90"/>
      <c r="C217" s="221">
        <f>'Residential WN'!C217</f>
        <v>567.61000000000013</v>
      </c>
      <c r="D217" s="221">
        <f>'Residential WN'!D217</f>
        <v>0</v>
      </c>
      <c r="E217" s="18">
        <v>30</v>
      </c>
      <c r="F217" s="18">
        <v>1</v>
      </c>
      <c r="G217" s="18">
        <f>'CDM Activity'!U149</f>
        <v>918065.57162809256</v>
      </c>
      <c r="H217" s="18">
        <v>336</v>
      </c>
      <c r="I217" s="37">
        <v>157.55630164915351</v>
      </c>
      <c r="J217" s="18"/>
      <c r="K217" s="9">
        <f t="shared" si="2"/>
        <v>22177372.331089228</v>
      </c>
      <c r="L217" s="98"/>
      <c r="M217" s="24"/>
      <c r="N217"/>
      <c r="O217"/>
      <c r="P217"/>
      <c r="Q217"/>
      <c r="R217"/>
      <c r="S217"/>
      <c r="T217"/>
      <c r="U217"/>
      <c r="V217"/>
      <c r="W217"/>
      <c r="X217"/>
      <c r="Y217"/>
      <c r="Z217"/>
      <c r="AA217"/>
      <c r="AB217"/>
    </row>
    <row r="218" spans="1:28" s="35" customFormat="1">
      <c r="A218" s="34">
        <v>42705</v>
      </c>
      <c r="B218" s="90"/>
      <c r="C218" s="221">
        <f>'Residential WN'!C218</f>
        <v>852.28999999999974</v>
      </c>
      <c r="D218" s="221">
        <f>'Residential WN'!D218</f>
        <v>0</v>
      </c>
      <c r="E218" s="18">
        <v>31</v>
      </c>
      <c r="F218" s="18">
        <v>0</v>
      </c>
      <c r="G218" s="18">
        <f>'CDM Activity'!U150</f>
        <v>920242.41891782719</v>
      </c>
      <c r="H218" s="18">
        <v>336</v>
      </c>
      <c r="I218" s="37">
        <v>157.84228255820162</v>
      </c>
      <c r="J218" s="18"/>
      <c r="K218" s="9">
        <f t="shared" si="2"/>
        <v>25808753.69725626</v>
      </c>
      <c r="L218" s="98"/>
      <c r="M218" s="24"/>
      <c r="N218"/>
      <c r="O218"/>
      <c r="P218"/>
      <c r="Q218"/>
      <c r="R218"/>
      <c r="S218"/>
      <c r="T218"/>
      <c r="U218"/>
      <c r="V218"/>
      <c r="W218"/>
      <c r="X218"/>
      <c r="Y218"/>
      <c r="Z218"/>
      <c r="AA218"/>
      <c r="AB218"/>
    </row>
    <row r="219" spans="1:28" s="35" customFormat="1">
      <c r="A219" s="34">
        <v>42736</v>
      </c>
      <c r="B219" s="90"/>
      <c r="C219" s="221">
        <f>'Residential WN'!C219</f>
        <v>960.98000000000013</v>
      </c>
      <c r="D219" s="221">
        <f>'Residential WN'!D219</f>
        <v>0</v>
      </c>
      <c r="E219" s="18">
        <v>31</v>
      </c>
      <c r="F219" s="18">
        <v>0</v>
      </c>
      <c r="G219" s="18">
        <f>'CDM Activity'!U151</f>
        <v>913677.17952835921</v>
      </c>
      <c r="H219" s="18">
        <v>336</v>
      </c>
      <c r="I219" s="37">
        <v>158.15454692394951</v>
      </c>
      <c r="J219" s="18"/>
      <c r="K219" s="9">
        <f t="shared" si="2"/>
        <v>26768703.988142148</v>
      </c>
      <c r="L219" s="18"/>
      <c r="M219" s="24"/>
      <c r="N219"/>
      <c r="O219"/>
      <c r="P219"/>
      <c r="Q219"/>
      <c r="R219"/>
      <c r="S219"/>
      <c r="T219"/>
      <c r="U219"/>
      <c r="V219"/>
      <c r="W219"/>
      <c r="X219"/>
      <c r="Y219"/>
      <c r="Z219"/>
      <c r="AA219"/>
      <c r="AB219"/>
    </row>
    <row r="220" spans="1:28" s="35" customFormat="1">
      <c r="A220" s="34">
        <v>42767</v>
      </c>
      <c r="B220" s="90"/>
      <c r="C220" s="221">
        <f>'Residential WN'!C220</f>
        <v>875.5899999999998</v>
      </c>
      <c r="D220" s="221">
        <f>'Residential WN'!D220</f>
        <v>0</v>
      </c>
      <c r="E220" s="18">
        <v>28</v>
      </c>
      <c r="F220" s="18">
        <v>0</v>
      </c>
      <c r="G220" s="18">
        <f>'CDM Activity'!U152</f>
        <v>907111.94013889122</v>
      </c>
      <c r="H220" s="18">
        <v>304</v>
      </c>
      <c r="I220" s="37">
        <v>158.46742905214063</v>
      </c>
      <c r="J220" s="18"/>
      <c r="K220" s="9">
        <f t="shared" si="2"/>
        <v>24346862.889480926</v>
      </c>
      <c r="L220" s="18"/>
      <c r="M220" s="24"/>
      <c r="N220"/>
      <c r="O220"/>
      <c r="P220"/>
      <c r="Q220"/>
      <c r="R220"/>
      <c r="S220"/>
      <c r="T220"/>
      <c r="U220"/>
      <c r="V220"/>
      <c r="W220"/>
      <c r="X220"/>
      <c r="Y220"/>
      <c r="Z220"/>
      <c r="AA220"/>
      <c r="AB220"/>
    </row>
    <row r="221" spans="1:28" s="35" customFormat="1">
      <c r="A221" s="34">
        <v>42795</v>
      </c>
      <c r="B221" s="90"/>
      <c r="C221" s="221">
        <f>'Residential WN'!C221</f>
        <v>702.91</v>
      </c>
      <c r="D221" s="221">
        <f>'Residential WN'!D221</f>
        <v>0</v>
      </c>
      <c r="E221" s="18">
        <v>31</v>
      </c>
      <c r="F221" s="18">
        <v>1</v>
      </c>
      <c r="G221" s="18">
        <f>'CDM Activity'!U153</f>
        <v>900546.70074942324</v>
      </c>
      <c r="H221" s="18">
        <v>368</v>
      </c>
      <c r="I221" s="37">
        <v>158.78093016491388</v>
      </c>
      <c r="J221" s="18"/>
      <c r="K221" s="9">
        <f t="shared" si="2"/>
        <v>24142738.713672962</v>
      </c>
      <c r="L221" s="18"/>
      <c r="M221" s="24"/>
      <c r="N221"/>
      <c r="O221"/>
      <c r="P221"/>
      <c r="Q221"/>
      <c r="R221"/>
      <c r="S221"/>
      <c r="T221"/>
      <c r="U221"/>
      <c r="V221"/>
      <c r="W221"/>
      <c r="X221"/>
      <c r="Y221"/>
      <c r="Z221"/>
      <c r="AA221"/>
      <c r="AB221"/>
    </row>
    <row r="222" spans="1:28" s="35" customFormat="1">
      <c r="A222" s="34">
        <v>42826</v>
      </c>
      <c r="B222" s="90"/>
      <c r="C222" s="221">
        <f>'Residential WN'!C222</f>
        <v>450.5200000000001</v>
      </c>
      <c r="D222" s="221">
        <f>'Residential WN'!D222</f>
        <v>0</v>
      </c>
      <c r="E222" s="18">
        <v>30</v>
      </c>
      <c r="F222" s="18">
        <v>1</v>
      </c>
      <c r="G222" s="18">
        <f>'CDM Activity'!U154</f>
        <v>893981.46135995525</v>
      </c>
      <c r="H222" s="18">
        <v>304</v>
      </c>
      <c r="I222" s="37">
        <v>159.09505148682601</v>
      </c>
      <c r="J222" s="18"/>
      <c r="K222" s="9">
        <f t="shared" si="2"/>
        <v>20969630.771263421</v>
      </c>
      <c r="L222" s="18"/>
      <c r="M222" s="24"/>
      <c r="N222"/>
      <c r="O222"/>
      <c r="P222"/>
      <c r="Q222"/>
      <c r="R222"/>
      <c r="S222"/>
      <c r="T222"/>
      <c r="U222"/>
      <c r="V222"/>
      <c r="W222"/>
      <c r="X222"/>
      <c r="Y222"/>
      <c r="Z222"/>
      <c r="AA222"/>
      <c r="AB222"/>
    </row>
    <row r="223" spans="1:28" s="35" customFormat="1">
      <c r="A223" s="34">
        <v>42856</v>
      </c>
      <c r="B223" s="90"/>
      <c r="C223" s="221">
        <f>'Residential WN'!C223</f>
        <v>271.46000000000004</v>
      </c>
      <c r="D223" s="221">
        <f>'Residential WN'!D223</f>
        <v>0.47000000000000003</v>
      </c>
      <c r="E223" s="18">
        <v>31</v>
      </c>
      <c r="F223" s="18">
        <v>1</v>
      </c>
      <c r="G223" s="18">
        <f>'CDM Activity'!U155</f>
        <v>887416.22197048727</v>
      </c>
      <c r="H223" s="18">
        <v>352</v>
      </c>
      <c r="I223" s="37">
        <v>159.4097942448563</v>
      </c>
      <c r="J223" s="18"/>
      <c r="K223" s="9">
        <f t="shared" si="2"/>
        <v>20334489.311808333</v>
      </c>
      <c r="L223" s="18"/>
      <c r="M223" s="24"/>
      <c r="N223"/>
      <c r="O223"/>
      <c r="P223"/>
      <c r="Q223"/>
      <c r="R223"/>
      <c r="S223"/>
      <c r="T223"/>
      <c r="U223"/>
      <c r="V223"/>
      <c r="W223"/>
      <c r="X223"/>
      <c r="Y223"/>
      <c r="Z223"/>
      <c r="AA223"/>
      <c r="AB223"/>
    </row>
    <row r="224" spans="1:28">
      <c r="A224" s="34">
        <v>42887</v>
      </c>
      <c r="C224" s="221">
        <f>'Residential WN'!C224</f>
        <v>109.59</v>
      </c>
      <c r="D224" s="221">
        <f>'Residential WN'!D224</f>
        <v>6.7</v>
      </c>
      <c r="E224" s="18">
        <v>30</v>
      </c>
      <c r="F224" s="18">
        <v>0</v>
      </c>
      <c r="G224" s="18">
        <f>'CDM Activity'!U156</f>
        <v>880850.98258101929</v>
      </c>
      <c r="H224" s="18">
        <v>352</v>
      </c>
      <c r="I224" s="38">
        <v>159.72515966841141</v>
      </c>
      <c r="K224" s="9">
        <f t="shared" si="2"/>
        <v>19439890.04855651</v>
      </c>
      <c r="L224" s="18"/>
    </row>
    <row r="225" spans="1:16">
      <c r="A225" s="34">
        <v>42917</v>
      </c>
      <c r="C225" s="221">
        <f>'Residential WN'!C225</f>
        <v>36.33</v>
      </c>
      <c r="D225" s="221">
        <f>'Residential WN'!D225</f>
        <v>40.369999999999997</v>
      </c>
      <c r="E225" s="18">
        <v>31</v>
      </c>
      <c r="F225" s="18">
        <v>0</v>
      </c>
      <c r="G225" s="18">
        <f>'CDM Activity'!U157</f>
        <v>874285.7431915513</v>
      </c>
      <c r="H225" s="18">
        <v>320</v>
      </c>
      <c r="I225" s="38">
        <v>160.0411489893302</v>
      </c>
      <c r="K225" s="9">
        <f t="shared" si="2"/>
        <v>20513824.661388785</v>
      </c>
      <c r="L225" s="18"/>
    </row>
    <row r="226" spans="1:16">
      <c r="A226" s="34">
        <v>42948</v>
      </c>
      <c r="C226" s="221">
        <f>'Residential WN'!C226</f>
        <v>51.55</v>
      </c>
      <c r="D226" s="221">
        <f>'Residential WN'!D226</f>
        <v>29.669999999999998</v>
      </c>
      <c r="E226" s="18">
        <v>31</v>
      </c>
      <c r="F226" s="18">
        <v>0</v>
      </c>
      <c r="G226" s="18">
        <f>'CDM Activity'!U158</f>
        <v>867720.50380208332</v>
      </c>
      <c r="H226" s="18">
        <v>352</v>
      </c>
      <c r="I226" s="38">
        <v>160.35776344188849</v>
      </c>
      <c r="K226" s="9">
        <f t="shared" si="2"/>
        <v>20460294.620374687</v>
      </c>
      <c r="L226" s="18"/>
    </row>
    <row r="227" spans="1:16">
      <c r="A227" s="34">
        <v>42979</v>
      </c>
      <c r="B227"/>
      <c r="C227" s="221">
        <f>'Residential WN'!C227</f>
        <v>176.97</v>
      </c>
      <c r="D227" s="221">
        <f>'Residential WN'!D227</f>
        <v>5.05</v>
      </c>
      <c r="E227" s="18">
        <v>30</v>
      </c>
      <c r="F227" s="18">
        <v>1</v>
      </c>
      <c r="G227" s="18">
        <f>'CDM Activity'!U159</f>
        <v>861155.26441261533</v>
      </c>
      <c r="H227" s="18">
        <v>320</v>
      </c>
      <c r="I227" s="38">
        <v>160.67500426280395</v>
      </c>
      <c r="J227"/>
      <c r="K227" s="9">
        <f t="shared" si="2"/>
        <v>19049974.26814682</v>
      </c>
      <c r="L227" s="18"/>
      <c r="M227"/>
    </row>
    <row r="228" spans="1:16">
      <c r="A228" s="34">
        <v>43009</v>
      </c>
      <c r="B228"/>
      <c r="C228" s="221">
        <f>'Residential WN'!C228</f>
        <v>372.15</v>
      </c>
      <c r="D228" s="221">
        <f>'Residential WN'!D228</f>
        <v>0.54</v>
      </c>
      <c r="E228" s="18">
        <v>31</v>
      </c>
      <c r="F228" s="18">
        <v>1</v>
      </c>
      <c r="G228" s="18">
        <f>'CDM Activity'!U160</f>
        <v>854590.02502314735</v>
      </c>
      <c r="H228" s="18">
        <v>336</v>
      </c>
      <c r="I228" s="38">
        <v>160.99287269124085</v>
      </c>
      <c r="J228"/>
      <c r="K228" s="9">
        <f t="shared" si="2"/>
        <v>21172459.099140935</v>
      </c>
      <c r="L228" s="18"/>
      <c r="M228"/>
    </row>
    <row r="229" spans="1:16">
      <c r="A229" s="34">
        <v>43040</v>
      </c>
      <c r="B229"/>
      <c r="C229" s="221">
        <f>'Residential WN'!C229</f>
        <v>567.61000000000013</v>
      </c>
      <c r="D229" s="221">
        <f>'Residential WN'!D229</f>
        <v>0</v>
      </c>
      <c r="E229" s="18">
        <v>30</v>
      </c>
      <c r="F229" s="18">
        <v>1</v>
      </c>
      <c r="G229" s="18">
        <f>'CDM Activity'!U161</f>
        <v>848024.78563367936</v>
      </c>
      <c r="H229" s="18">
        <v>352</v>
      </c>
      <c r="I229" s="38">
        <v>161.31136996881492</v>
      </c>
      <c r="J229"/>
      <c r="K229" s="9">
        <f t="shared" si="2"/>
        <v>22512711.84305913</v>
      </c>
      <c r="L229" s="18"/>
      <c r="M229"/>
    </row>
    <row r="230" spans="1:16">
      <c r="A230" s="34">
        <v>43070</v>
      </c>
      <c r="B230"/>
      <c r="C230" s="221">
        <f>'Residential WN'!C230</f>
        <v>852.28999999999974</v>
      </c>
      <c r="D230" s="221">
        <f>'Residential WN'!D230</f>
        <v>0</v>
      </c>
      <c r="E230" s="18">
        <v>31</v>
      </c>
      <c r="F230" s="18">
        <v>0</v>
      </c>
      <c r="G230" s="18">
        <f>'CDM Activity'!U162</f>
        <v>841459.54624421138</v>
      </c>
      <c r="H230" s="18">
        <v>304</v>
      </c>
      <c r="I230" s="38">
        <v>161.63049733959846</v>
      </c>
      <c r="J230"/>
      <c r="K230" s="9">
        <f t="shared" si="2"/>
        <v>25773402.059477784</v>
      </c>
      <c r="L230" s="18"/>
      <c r="M230"/>
    </row>
    <row r="231" spans="1:16">
      <c r="B231"/>
      <c r="C231"/>
      <c r="D231"/>
      <c r="E231"/>
      <c r="F231"/>
      <c r="G231" s="18"/>
      <c r="H231"/>
      <c r="I231"/>
      <c r="J231"/>
      <c r="K231"/>
      <c r="L231"/>
      <c r="M231"/>
    </row>
    <row r="232" spans="1:16">
      <c r="A232" s="2"/>
      <c r="C232" s="17"/>
      <c r="D232"/>
      <c r="H232" s="38"/>
      <c r="I232" s="228"/>
      <c r="K232" s="49">
        <f>SUM(K87:K230)</f>
        <v>3405765747.91712</v>
      </c>
    </row>
    <row r="233" spans="1:16">
      <c r="A233" s="2"/>
      <c r="C233" s="219"/>
      <c r="H233" s="38"/>
      <c r="I233" s="228"/>
      <c r="N233" s="228"/>
      <c r="O233" s="606"/>
      <c r="P233" s="606"/>
    </row>
    <row r="234" spans="1:16">
      <c r="A234">
        <v>2006</v>
      </c>
      <c r="B234" s="5">
        <f>SUM(B87:B98)</f>
        <v>299216792.75999993</v>
      </c>
      <c r="K234" s="5">
        <f>SUM(K87:K98)</f>
        <v>296189936.24199629</v>
      </c>
      <c r="L234" s="41">
        <f>K234-B234</f>
        <v>-3026856.5180036426</v>
      </c>
      <c r="M234" s="4">
        <f>L234/B234</f>
        <v>-1.0115931295445262E-2</v>
      </c>
      <c r="N234" s="5"/>
      <c r="O234" s="25"/>
    </row>
    <row r="235" spans="1:16">
      <c r="A235" s="17">
        <v>2007</v>
      </c>
      <c r="B235" s="5">
        <f>SUM(B99:B110)</f>
        <v>298981716.29999995</v>
      </c>
      <c r="K235" s="5">
        <f>SUM(K99:K110)</f>
        <v>296317074.06536442</v>
      </c>
      <c r="L235" s="41">
        <f t="shared" ref="L235:L243" si="3">K235-B235</f>
        <v>-2664642.2346355319</v>
      </c>
      <c r="M235" s="4">
        <f t="shared" ref="M235:M243" si="4">L235/B235</f>
        <v>-8.9123919268756045E-3</v>
      </c>
      <c r="N235" s="5"/>
      <c r="O235" s="25"/>
    </row>
    <row r="236" spans="1:16">
      <c r="A236">
        <v>2008</v>
      </c>
      <c r="B236" s="5">
        <f>SUM(B111:B122)</f>
        <v>297548976.91999996</v>
      </c>
      <c r="K236" s="5">
        <f>SUM(K111:K122)</f>
        <v>296156659.36501795</v>
      </c>
      <c r="L236" s="41">
        <f t="shared" si="3"/>
        <v>-1392317.5549820065</v>
      </c>
      <c r="M236" s="4">
        <f t="shared" si="4"/>
        <v>-4.6792886649929559E-3</v>
      </c>
      <c r="N236" s="5"/>
      <c r="O236" s="25"/>
    </row>
    <row r="237" spans="1:16">
      <c r="A237" s="17">
        <v>2009</v>
      </c>
      <c r="B237" s="5">
        <f>SUM(B123:B134)</f>
        <v>290804126.80000007</v>
      </c>
      <c r="K237" s="5">
        <f>SUM(K123:K134)</f>
        <v>292555094.00684202</v>
      </c>
      <c r="L237" s="41">
        <f t="shared" si="3"/>
        <v>1750967.2068419456</v>
      </c>
      <c r="M237" s="4">
        <f t="shared" si="4"/>
        <v>6.0211222794859772E-3</v>
      </c>
      <c r="N237" s="5"/>
      <c r="O237" s="25"/>
    </row>
    <row r="238" spans="1:16">
      <c r="A238">
        <v>2010</v>
      </c>
      <c r="B238" s="5">
        <f>SUM(B135:B146)</f>
        <v>285047816.86000013</v>
      </c>
      <c r="K238" s="5">
        <f>SUM(K135:K146)</f>
        <v>289677647.59650236</v>
      </c>
      <c r="L238" s="41">
        <f t="shared" si="3"/>
        <v>4629830.7365022302</v>
      </c>
      <c r="M238" s="4">
        <f t="shared" si="4"/>
        <v>1.624229502089521E-2</v>
      </c>
      <c r="N238" s="5"/>
      <c r="O238" s="25"/>
    </row>
    <row r="239" spans="1:16">
      <c r="A239">
        <v>2011</v>
      </c>
      <c r="B239" s="5">
        <f>SUM(B147:B158)</f>
        <v>288525140.48999989</v>
      </c>
      <c r="K239" s="5">
        <f>SUM(K147:K158)</f>
        <v>290011119.85166466</v>
      </c>
      <c r="L239" s="41">
        <f t="shared" si="3"/>
        <v>1485979.361664772</v>
      </c>
      <c r="M239" s="4">
        <f t="shared" si="4"/>
        <v>5.1502595549945676E-3</v>
      </c>
      <c r="N239" s="5"/>
      <c r="O239" s="25"/>
    </row>
    <row r="240" spans="1:16">
      <c r="A240">
        <v>2012</v>
      </c>
      <c r="B240" s="5">
        <f>SUM(B159:B170)</f>
        <v>283475240.67000002</v>
      </c>
      <c r="K240" s="5">
        <f>SUM(K159:K170)</f>
        <v>288093151.18226045</v>
      </c>
      <c r="L240" s="41">
        <f t="shared" si="3"/>
        <v>4617910.512260437</v>
      </c>
      <c r="M240" s="4">
        <f t="shared" si="4"/>
        <v>1.629034867858619E-2</v>
      </c>
      <c r="N240" s="5"/>
      <c r="O240" s="25"/>
    </row>
    <row r="241" spans="1:15">
      <c r="A241">
        <v>2013</v>
      </c>
      <c r="B241" s="5">
        <f>SUM(B171:B182)</f>
        <v>285068374.38</v>
      </c>
      <c r="K241" s="5">
        <f>SUM(K171:K182)</f>
        <v>282757844.9364683</v>
      </c>
      <c r="L241" s="41">
        <f t="shared" si="3"/>
        <v>-2310529.443531692</v>
      </c>
      <c r="M241" s="4">
        <f t="shared" si="4"/>
        <v>-8.10517634078807E-3</v>
      </c>
      <c r="N241" s="5"/>
      <c r="O241" s="25"/>
    </row>
    <row r="242" spans="1:15">
      <c r="A242">
        <v>2014</v>
      </c>
      <c r="B242" s="5">
        <f>SUM(B183:B194)</f>
        <v>280037460.24000001</v>
      </c>
      <c r="K242" s="5">
        <f>SUM(K183:K194)</f>
        <v>275479317.81617904</v>
      </c>
      <c r="L242" s="41">
        <f t="shared" si="3"/>
        <v>-4558142.4238209724</v>
      </c>
      <c r="M242" s="4">
        <f t="shared" si="4"/>
        <v>-1.6276902454102089E-2</v>
      </c>
      <c r="N242" s="5"/>
      <c r="O242" s="25"/>
    </row>
    <row r="243" spans="1:15">
      <c r="A243" s="17">
        <v>2015</v>
      </c>
      <c r="B243" s="5">
        <f>SUM(B195:B206)</f>
        <v>266548347.92000005</v>
      </c>
      <c r="K243" s="5">
        <f>SUM(K195:K206)</f>
        <v>268016148.27770382</v>
      </c>
      <c r="L243" s="41">
        <f t="shared" si="3"/>
        <v>1467800.3577037752</v>
      </c>
      <c r="M243" s="4">
        <f t="shared" si="4"/>
        <v>5.5066946359176479E-3</v>
      </c>
      <c r="N243" s="5"/>
      <c r="O243" s="25"/>
    </row>
    <row r="244" spans="1:15">
      <c r="A244">
        <v>2016</v>
      </c>
      <c r="K244" s="5">
        <f>SUM(K207:K218)</f>
        <v>265026772.3026076</v>
      </c>
      <c r="N244" s="5"/>
      <c r="O244" s="25"/>
    </row>
    <row r="245" spans="1:15">
      <c r="A245" s="17">
        <v>2017</v>
      </c>
      <c r="K245" s="5">
        <f>SUM(K219:K230)</f>
        <v>265484982.27451241</v>
      </c>
      <c r="N245" s="5"/>
      <c r="O245" s="25"/>
    </row>
    <row r="246" spans="1:15">
      <c r="K246" s="5"/>
    </row>
    <row r="247" spans="1:15">
      <c r="A247" s="72" t="s">
        <v>261</v>
      </c>
      <c r="B247" s="5">
        <f>SUM(B234:B243)</f>
        <v>2875253993.3400002</v>
      </c>
      <c r="K247" s="5">
        <f>SUM(K234:K243)</f>
        <v>2875253993.3399987</v>
      </c>
      <c r="L247" s="5">
        <f>K247-B247</f>
        <v>0</v>
      </c>
    </row>
    <row r="249" spans="1:15">
      <c r="K249" s="5">
        <f>SUM(K234:K245)</f>
        <v>3405765747.9171185</v>
      </c>
      <c r="L249" s="49">
        <f>K232-K249</f>
        <v>0</v>
      </c>
    </row>
    <row r="250" spans="1:15">
      <c r="K250" s="19"/>
      <c r="L250" s="19" t="s">
        <v>47</v>
      </c>
      <c r="M250" s="19"/>
    </row>
    <row r="251" spans="1:15">
      <c r="B251"/>
      <c r="C251"/>
      <c r="D251"/>
      <c r="E251"/>
      <c r="F251"/>
      <c r="G251"/>
      <c r="H251"/>
      <c r="I251"/>
      <c r="J251"/>
      <c r="K251"/>
      <c r="L251"/>
      <c r="M251"/>
    </row>
    <row r="252" spans="1:15">
      <c r="B252"/>
      <c r="C252"/>
      <c r="D252"/>
      <c r="E252"/>
      <c r="F252"/>
      <c r="G252"/>
      <c r="H252"/>
      <c r="I252"/>
      <c r="J252"/>
      <c r="K252"/>
      <c r="L252"/>
      <c r="M252"/>
    </row>
    <row r="253" spans="1:15">
      <c r="B253"/>
      <c r="C253"/>
      <c r="D253"/>
      <c r="E253"/>
      <c r="F253"/>
      <c r="G253"/>
      <c r="H253"/>
      <c r="I253"/>
      <c r="J253"/>
      <c r="K253"/>
      <c r="L253"/>
      <c r="M253"/>
    </row>
    <row r="254" spans="1:15">
      <c r="B254" s="90" t="s">
        <v>143</v>
      </c>
      <c r="M254"/>
    </row>
    <row r="255" spans="1:15">
      <c r="A255" s="2">
        <v>42736</v>
      </c>
      <c r="C255" s="62">
        <f>'Weather Analysis - Thunder Bay'!AA8</f>
        <v>981.22443609022571</v>
      </c>
      <c r="D255" s="62">
        <f>'Weather Analysis - Thunder Bay'!AA28</f>
        <v>0</v>
      </c>
      <c r="E255" s="62">
        <f>E219</f>
        <v>31</v>
      </c>
      <c r="F255" s="18">
        <f t="shared" ref="F255:G255" si="5">F219</f>
        <v>0</v>
      </c>
      <c r="G255" s="18">
        <f t="shared" si="5"/>
        <v>913677.17952835921</v>
      </c>
      <c r="H255" s="18">
        <f>H219</f>
        <v>336</v>
      </c>
      <c r="I255" s="18">
        <v>143.1291789570798</v>
      </c>
      <c r="J255" s="9">
        <v>352</v>
      </c>
      <c r="K255" s="9">
        <f t="shared" ref="K255:K266" si="6">$O$103+C255*$O$104+D255*$O$105+E255*$O$106+F255*$O$107+G255*$O$108+H255*$O$109</f>
        <v>26943953.208443344</v>
      </c>
      <c r="M255"/>
    </row>
    <row r="256" spans="1:15">
      <c r="A256" s="2">
        <v>42767</v>
      </c>
      <c r="C256" s="62">
        <f>'Weather Analysis - Thunder Bay'!AA9</f>
        <v>920.49842105263269</v>
      </c>
      <c r="D256" s="62">
        <f>'Weather Analysis - Thunder Bay'!AA29</f>
        <v>0</v>
      </c>
      <c r="E256" s="62">
        <f t="shared" ref="E256:H266" si="7">E220</f>
        <v>28</v>
      </c>
      <c r="F256" s="18">
        <f t="shared" si="7"/>
        <v>0</v>
      </c>
      <c r="G256" s="18">
        <f t="shared" si="7"/>
        <v>907111.94013889122</v>
      </c>
      <c r="H256" s="18">
        <f t="shared" si="7"/>
        <v>304</v>
      </c>
      <c r="I256" s="18">
        <v>143.42400163116841</v>
      </c>
      <c r="J256" s="9">
        <v>304</v>
      </c>
      <c r="K256" s="9">
        <f t="shared" si="6"/>
        <v>24735619.866427865</v>
      </c>
      <c r="M256"/>
    </row>
    <row r="257" spans="1:13">
      <c r="A257" s="2">
        <v>42795</v>
      </c>
      <c r="C257" s="62">
        <f>'Weather Analysis - Thunder Bay'!AA10</f>
        <v>728.65676691729323</v>
      </c>
      <c r="D257" s="62">
        <f>'Weather Analysis - Thunder Bay'!AA30</f>
        <v>0</v>
      </c>
      <c r="E257" s="62">
        <f t="shared" si="7"/>
        <v>31</v>
      </c>
      <c r="F257" s="18">
        <f t="shared" si="7"/>
        <v>1</v>
      </c>
      <c r="G257" s="18">
        <f t="shared" si="7"/>
        <v>900546.70074942324</v>
      </c>
      <c r="H257" s="18">
        <f t="shared" si="7"/>
        <v>368</v>
      </c>
      <c r="I257" s="18">
        <v>143.71943159169427</v>
      </c>
      <c r="J257" s="9">
        <v>320</v>
      </c>
      <c r="K257" s="9">
        <f t="shared" si="6"/>
        <v>24365619.746635433</v>
      </c>
      <c r="M257"/>
    </row>
    <row r="258" spans="1:13">
      <c r="A258" s="2">
        <v>42826</v>
      </c>
      <c r="C258" s="62">
        <f>'Weather Analysis - Thunder Bay'!AA11</f>
        <v>457.84511278195487</v>
      </c>
      <c r="D258" s="62">
        <f>'Weather Analysis - Thunder Bay'!AA31</f>
        <v>0</v>
      </c>
      <c r="E258" s="62">
        <f t="shared" si="7"/>
        <v>30</v>
      </c>
      <c r="F258" s="18">
        <f t="shared" si="7"/>
        <v>1</v>
      </c>
      <c r="G258" s="18">
        <f t="shared" si="7"/>
        <v>893981.46135995525</v>
      </c>
      <c r="H258" s="18">
        <f t="shared" si="7"/>
        <v>304</v>
      </c>
      <c r="I258" s="18">
        <v>144.01547008956803</v>
      </c>
      <c r="J258" s="9">
        <v>352</v>
      </c>
      <c r="K258" s="9">
        <f t="shared" si="6"/>
        <v>21033041.789378941</v>
      </c>
      <c r="M258"/>
    </row>
    <row r="259" spans="1:13">
      <c r="A259" s="2">
        <v>42856</v>
      </c>
      <c r="C259" s="62">
        <f>'Weather Analysis - Thunder Bay'!AA12</f>
        <v>271.64563909774438</v>
      </c>
      <c r="D259" s="62">
        <f>'Weather Analysis - Thunder Bay'!AA32</f>
        <v>0.20857142857142463</v>
      </c>
      <c r="E259" s="62">
        <f t="shared" si="7"/>
        <v>31</v>
      </c>
      <c r="F259" s="18">
        <f t="shared" si="7"/>
        <v>1</v>
      </c>
      <c r="G259" s="18">
        <f t="shared" si="7"/>
        <v>887416.22197048727</v>
      </c>
      <c r="H259" s="18">
        <f t="shared" si="7"/>
        <v>352</v>
      </c>
      <c r="I259" s="18">
        <v>144.31211837827698</v>
      </c>
      <c r="J259" s="9">
        <v>352</v>
      </c>
      <c r="K259" s="9">
        <f t="shared" si="6"/>
        <v>20324652.411717031</v>
      </c>
      <c r="M259"/>
    </row>
    <row r="260" spans="1:13">
      <c r="A260" s="2">
        <v>42887</v>
      </c>
      <c r="C260" s="62">
        <f>'Weather Analysis - Thunder Bay'!AA13</f>
        <v>115.80518796992476</v>
      </c>
      <c r="D260" s="62">
        <f>'Weather Analysis - Thunder Bay'!AA33</f>
        <v>4.1052631578947967</v>
      </c>
      <c r="E260" s="62">
        <f t="shared" si="7"/>
        <v>30</v>
      </c>
      <c r="F260" s="18">
        <f t="shared" si="7"/>
        <v>0</v>
      </c>
      <c r="G260" s="18">
        <f t="shared" si="7"/>
        <v>880850.98258101929</v>
      </c>
      <c r="H260" s="18">
        <f t="shared" si="7"/>
        <v>352</v>
      </c>
      <c r="I260" s="18">
        <v>144.60937771389038</v>
      </c>
      <c r="J260" s="9">
        <v>320</v>
      </c>
      <c r="K260" s="9">
        <f t="shared" si="6"/>
        <v>19380109.418400768</v>
      </c>
      <c r="M260"/>
    </row>
    <row r="261" spans="1:13">
      <c r="A261" s="2">
        <v>42917</v>
      </c>
      <c r="C261" s="62">
        <f>'Weather Analysis - Thunder Bay'!AA14</f>
        <v>34.996616541353319</v>
      </c>
      <c r="D261" s="62">
        <f>'Weather Analysis - Thunder Bay'!AA34</f>
        <v>41.516616541353415</v>
      </c>
      <c r="E261" s="62">
        <f t="shared" si="7"/>
        <v>31</v>
      </c>
      <c r="F261" s="18">
        <f t="shared" si="7"/>
        <v>0</v>
      </c>
      <c r="G261" s="18">
        <f t="shared" si="7"/>
        <v>874285.7431915513</v>
      </c>
      <c r="H261" s="18">
        <f t="shared" si="7"/>
        <v>320</v>
      </c>
      <c r="I261" s="18">
        <v>144.90724935506483</v>
      </c>
      <c r="J261" s="9">
        <v>352</v>
      </c>
      <c r="K261" s="9">
        <f t="shared" si="6"/>
        <v>20552474.621704351</v>
      </c>
    </row>
    <row r="262" spans="1:13">
      <c r="A262" s="2">
        <v>42948</v>
      </c>
      <c r="C262" s="62">
        <f>'Weather Analysis - Thunder Bay'!AA15</f>
        <v>48.162481203007474</v>
      </c>
      <c r="D262" s="62">
        <f>'Weather Analysis - Thunder Bay'!AA35</f>
        <v>33.181729323308446</v>
      </c>
      <c r="E262" s="62">
        <f t="shared" si="7"/>
        <v>31</v>
      </c>
      <c r="F262" s="18">
        <f t="shared" si="7"/>
        <v>0</v>
      </c>
      <c r="G262" s="18">
        <f t="shared" si="7"/>
        <v>867720.50380208332</v>
      </c>
      <c r="H262" s="18">
        <f t="shared" si="7"/>
        <v>352</v>
      </c>
      <c r="I262" s="18">
        <v>145.20573456304953</v>
      </c>
      <c r="J262" s="9">
        <v>336</v>
      </c>
      <c r="K262" s="9">
        <f t="shared" si="6"/>
        <v>20584694.34581317</v>
      </c>
    </row>
    <row r="263" spans="1:13">
      <c r="A263" s="2">
        <v>42979</v>
      </c>
      <c r="C263" s="62">
        <f>'Weather Analysis - Thunder Bay'!AA16</f>
        <v>175.57706766917295</v>
      </c>
      <c r="D263" s="62">
        <f>'Weather Analysis - Thunder Bay'!AA36</f>
        <v>5.6842857142857071</v>
      </c>
      <c r="E263" s="62">
        <f t="shared" si="7"/>
        <v>30</v>
      </c>
      <c r="F263" s="18">
        <f t="shared" si="7"/>
        <v>1</v>
      </c>
      <c r="G263" s="18">
        <f t="shared" si="7"/>
        <v>861155.26441261533</v>
      </c>
      <c r="H263" s="18">
        <f t="shared" si="7"/>
        <v>320</v>
      </c>
      <c r="I263" s="18">
        <v>145.50483460169167</v>
      </c>
      <c r="J263" s="9">
        <v>320</v>
      </c>
      <c r="K263" s="9">
        <f t="shared" si="6"/>
        <v>19065681.689013056</v>
      </c>
    </row>
    <row r="264" spans="1:13">
      <c r="A264" s="2">
        <v>43009</v>
      </c>
      <c r="C264" s="62">
        <f>'Weather Analysis - Thunder Bay'!AA17</f>
        <v>357.9927819548875</v>
      </c>
      <c r="D264" s="62">
        <f>'Weather Analysis - Thunder Bay'!AA37</f>
        <v>0.78360902255639076</v>
      </c>
      <c r="E264" s="62">
        <f t="shared" si="7"/>
        <v>31</v>
      </c>
      <c r="F264" s="18">
        <f t="shared" si="7"/>
        <v>1</v>
      </c>
      <c r="G264" s="18">
        <f t="shared" si="7"/>
        <v>854590.02502314735</v>
      </c>
      <c r="H264" s="18">
        <f t="shared" si="7"/>
        <v>336</v>
      </c>
      <c r="I264" s="18">
        <v>145.8045507374417</v>
      </c>
      <c r="J264" s="9">
        <v>352</v>
      </c>
      <c r="K264" s="9">
        <f t="shared" si="6"/>
        <v>21060568.734185085</v>
      </c>
    </row>
    <row r="265" spans="1:13">
      <c r="A265" s="2">
        <v>43040</v>
      </c>
      <c r="C265" s="62">
        <f>'Weather Analysis - Thunder Bay'!AA18</f>
        <v>558.62721804511284</v>
      </c>
      <c r="D265" s="62">
        <f>'Weather Analysis - Thunder Bay'!AA38</f>
        <v>0</v>
      </c>
      <c r="E265" s="62">
        <f t="shared" si="7"/>
        <v>30</v>
      </c>
      <c r="F265" s="18">
        <f t="shared" si="7"/>
        <v>1</v>
      </c>
      <c r="G265" s="18">
        <f t="shared" si="7"/>
        <v>848024.78563367936</v>
      </c>
      <c r="H265" s="18">
        <f t="shared" si="7"/>
        <v>352</v>
      </c>
      <c r="I265" s="18">
        <v>146.1048842393588</v>
      </c>
      <c r="J265" s="9">
        <v>336</v>
      </c>
      <c r="K265" s="9">
        <f t="shared" si="6"/>
        <v>22434950.944868952</v>
      </c>
    </row>
    <row r="266" spans="1:13">
      <c r="A266" s="2">
        <v>43070</v>
      </c>
      <c r="C266" s="62">
        <f>'Weather Analysis - Thunder Bay'!AA19</f>
        <v>843.2869924812029</v>
      </c>
      <c r="D266" s="62">
        <f>'Weather Analysis - Thunder Bay'!AA39</f>
        <v>0</v>
      </c>
      <c r="E266" s="62">
        <f t="shared" si="7"/>
        <v>31</v>
      </c>
      <c r="F266" s="18">
        <f t="shared" si="7"/>
        <v>0</v>
      </c>
      <c r="G266" s="18">
        <f t="shared" si="7"/>
        <v>841459.54624421138</v>
      </c>
      <c r="H266" s="18">
        <f t="shared" si="7"/>
        <v>304</v>
      </c>
      <c r="I266" s="18">
        <v>146.40583637911641</v>
      </c>
      <c r="J266" s="9">
        <v>320</v>
      </c>
      <c r="K266" s="9">
        <f t="shared" si="6"/>
        <v>25695466.075437374</v>
      </c>
      <c r="L266" s="49">
        <f>SUM(K255:K266)</f>
        <v>266176832.85202536</v>
      </c>
    </row>
    <row r="267" spans="1:13">
      <c r="B267"/>
      <c r="C267"/>
      <c r="D267"/>
      <c r="E267"/>
      <c r="F267"/>
      <c r="G267"/>
      <c r="H267"/>
      <c r="I267"/>
      <c r="J267"/>
      <c r="K267"/>
      <c r="L267"/>
    </row>
    <row r="268" spans="1:13">
      <c r="B268"/>
      <c r="C268"/>
      <c r="D268"/>
      <c r="E268"/>
      <c r="F268"/>
      <c r="G268"/>
      <c r="H268"/>
      <c r="I268"/>
      <c r="J268"/>
      <c r="K268"/>
      <c r="L268"/>
    </row>
    <row r="269" spans="1:13">
      <c r="B269"/>
      <c r="C269"/>
      <c r="D269"/>
      <c r="E269"/>
      <c r="F269"/>
      <c r="G269"/>
      <c r="H269"/>
      <c r="I269"/>
      <c r="J269"/>
      <c r="K269"/>
      <c r="L269"/>
    </row>
    <row r="270" spans="1:13">
      <c r="B270"/>
      <c r="C270"/>
      <c r="D270"/>
      <c r="E270"/>
      <c r="F270"/>
      <c r="G270"/>
      <c r="H270"/>
      <c r="I270"/>
      <c r="J270"/>
      <c r="K270"/>
      <c r="L270"/>
    </row>
    <row r="271" spans="1:13">
      <c r="B271"/>
      <c r="C271"/>
      <c r="D271"/>
      <c r="E271"/>
      <c r="F271"/>
      <c r="G271"/>
      <c r="H271"/>
      <c r="I271"/>
      <c r="J271"/>
      <c r="K271"/>
      <c r="L271"/>
    </row>
    <row r="272" spans="1:13">
      <c r="B272"/>
      <c r="C272"/>
      <c r="D272"/>
      <c r="E272"/>
      <c r="F272"/>
      <c r="G272"/>
      <c r="H272"/>
      <c r="I272"/>
      <c r="J272"/>
      <c r="K272"/>
      <c r="L272"/>
    </row>
    <row r="273" spans="2:12">
      <c r="B273"/>
      <c r="C273"/>
      <c r="D273"/>
      <c r="E273"/>
      <c r="F273"/>
      <c r="G273"/>
      <c r="H273"/>
      <c r="I273"/>
      <c r="J273"/>
      <c r="K273"/>
      <c r="L273"/>
    </row>
    <row r="274" spans="2:12">
      <c r="B274"/>
      <c r="C274"/>
      <c r="D274"/>
      <c r="E274"/>
      <c r="F274"/>
      <c r="G274"/>
      <c r="H274"/>
      <c r="I274"/>
      <c r="J274"/>
      <c r="K274"/>
      <c r="L274"/>
    </row>
  </sheetData>
  <mergeCells count="1">
    <mergeCell ref="O233:P233"/>
  </mergeCells>
  <pageMargins left="0.38" right="0.75" top="0.73" bottom="0.74" header="0.5" footer="0.5"/>
  <pageSetup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12</vt:i4>
      </vt:variant>
    </vt:vector>
  </HeadingPairs>
  <TitlesOfParts>
    <vt:vector size="30" baseType="lpstr">
      <vt:lpstr>Exhibit 3 Tables</vt:lpstr>
      <vt:lpstr>Summary</vt:lpstr>
      <vt:lpstr>Purchased Power Model </vt:lpstr>
      <vt:lpstr>Residential</vt:lpstr>
      <vt:lpstr>Residential WN</vt:lpstr>
      <vt:lpstr>GS &lt; 50 kW</vt:lpstr>
      <vt:lpstr>GS &lt; 50 kW WN</vt:lpstr>
      <vt:lpstr>GS &gt; 50 kW</vt:lpstr>
      <vt:lpstr>GS &gt; 50 kW WN</vt:lpstr>
      <vt:lpstr>GS &gt; 1000  kW</vt:lpstr>
      <vt:lpstr>Rate Class Energy Model</vt:lpstr>
      <vt:lpstr>Rate Class Customer Model</vt:lpstr>
      <vt:lpstr>Rate Class Load Model</vt:lpstr>
      <vt:lpstr>CDM Activity</vt:lpstr>
      <vt:lpstr>5. Static CDM Result by Program</vt:lpstr>
      <vt:lpstr>Weather Data</vt:lpstr>
      <vt:lpstr>Weather Analysis - Thunder Bay</vt:lpstr>
      <vt:lpstr>Sheet1</vt:lpstr>
      <vt:lpstr>'5. Static CDM Result by Program'!Print_Area</vt:lpstr>
      <vt:lpstr>'GS &lt; 50 kW'!Print_Area</vt:lpstr>
      <vt:lpstr>'GS &lt; 50 kW WN'!Print_Area</vt:lpstr>
      <vt:lpstr>'GS &gt; 1000  kW'!Print_Area</vt:lpstr>
      <vt:lpstr>'GS &gt; 50 kW'!Print_Area</vt:lpstr>
      <vt:lpstr>'GS &gt; 50 kW WN'!Print_Area</vt:lpstr>
      <vt:lpstr>'Purchased Power Model '!Print_Area</vt:lpstr>
      <vt:lpstr>'Rate Class Customer Model'!Print_Area</vt:lpstr>
      <vt:lpstr>'Rate Class Energy Model'!Print_Area</vt:lpstr>
      <vt:lpstr>'Rate Class Load Model'!Print_Area</vt:lpstr>
      <vt:lpstr>Residential!Print_Area</vt:lpstr>
      <vt:lpstr>'Residential WN'!Print_Area</vt:lpstr>
    </vt:vector>
  </TitlesOfParts>
  <Company>London Hydro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Bacon</dc:creator>
  <cp:lastModifiedBy>Brittany Ashby</cp:lastModifiedBy>
  <cp:lastPrinted>2017-03-20T16:18:32Z</cp:lastPrinted>
  <dcterms:created xsi:type="dcterms:W3CDTF">2008-02-06T18:24:44Z</dcterms:created>
  <dcterms:modified xsi:type="dcterms:W3CDTF">2017-03-20T16:20:58Z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307958618</vt:i4>
  </property>
  <property fmtid="{D5CDD505-2E9C-101B-9397-08002B2CF9AE}" pid="3" name="_EmailSubject">
    <vt:lpwstr>Follow-Up - London Hydro Rate Application</vt:lpwstr>
  </property>
  <property fmtid="{D5CDD505-2E9C-101B-9397-08002B2CF9AE}" pid="4" name="_AuthorEmail">
    <vt:lpwstr>cascians@LondonHydro.com</vt:lpwstr>
  </property>
  <property fmtid="{D5CDD505-2E9C-101B-9397-08002B2CF9AE}" pid="5" name="_AuthorEmailDisplayName">
    <vt:lpwstr>Casciano, Susan</vt:lpwstr>
  </property>
  <property fmtid="{D5CDD505-2E9C-101B-9397-08002B2CF9AE}" pid="6" name="DM_Links_Updated">
    <vt:bool>true</vt:bool>
  </property>
  <property fmtid="{D5CDD505-2E9C-101B-9397-08002B2CF9AE}" pid="7" name="_ReviewingToolsShownOnce">
    <vt:lpwstr/>
  </property>
</Properties>
</file>