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540" yWindow="345" windowWidth="23130" windowHeight="9780"/>
  </bookViews>
  <sheets>
    <sheet name="VA Rider" sheetId="35" r:id="rId1"/>
  </sheets>
  <definedNames>
    <definedName name="_xlnm.Print_Area" localSheetId="0">'VA Rider'!$A$1:$S$72</definedName>
  </definedNames>
  <calcPr calcId="145621"/>
</workbook>
</file>

<file path=xl/calcChain.xml><?xml version="1.0" encoding="utf-8"?>
<calcChain xmlns="http://schemas.openxmlformats.org/spreadsheetml/2006/main">
  <c r="I37" i="35" l="1"/>
  <c r="L37" i="35"/>
  <c r="F37" i="35"/>
  <c r="G37" i="35"/>
  <c r="J37" i="35"/>
  <c r="H37" i="35"/>
  <c r="C7" i="35"/>
  <c r="Q16" i="35" l="1"/>
  <c r="P16" i="35"/>
  <c r="O16" i="35"/>
  <c r="N16" i="35"/>
  <c r="M16" i="35"/>
  <c r="L16" i="35"/>
  <c r="K16" i="35"/>
  <c r="J16" i="35"/>
  <c r="I16" i="35"/>
  <c r="H16" i="35"/>
  <c r="G16" i="35"/>
  <c r="F16" i="35" l="1"/>
  <c r="C16" i="35" l="1"/>
  <c r="G26" i="35" l="1"/>
  <c r="G56" i="35" s="1"/>
  <c r="I26" i="35"/>
  <c r="I56" i="35" s="1"/>
  <c r="I60" i="35" s="1"/>
  <c r="I66" i="35" s="1"/>
  <c r="J26" i="35"/>
  <c r="J56" i="35" s="1"/>
  <c r="J60" i="35" s="1"/>
  <c r="J66" i="35" s="1"/>
  <c r="H26" i="35"/>
  <c r="H56" i="35" s="1"/>
  <c r="H60" i="35" s="1"/>
  <c r="H66" i="35" s="1"/>
  <c r="O26" i="35"/>
  <c r="O56" i="35" s="1"/>
  <c r="O60" i="35" s="1"/>
  <c r="O66" i="35" s="1"/>
  <c r="Q26" i="35"/>
  <c r="Q56" i="35" s="1"/>
  <c r="Q60" i="35" s="1"/>
  <c r="Q66" i="35" s="1"/>
  <c r="L26" i="35"/>
  <c r="L56" i="35" s="1"/>
  <c r="L60" i="35" s="1"/>
  <c r="L66" i="35" s="1"/>
  <c r="N26" i="35"/>
  <c r="N56" i="35" s="1"/>
  <c r="N60" i="35" s="1"/>
  <c r="N66" i="35" s="1"/>
  <c r="R26" i="35"/>
  <c r="R56" i="35" s="1"/>
  <c r="R60" i="35" s="1"/>
  <c r="P26" i="35"/>
  <c r="P56" i="35" s="1"/>
  <c r="P60" i="35" s="1"/>
  <c r="P66" i="35" s="1"/>
  <c r="M26" i="35"/>
  <c r="M56" i="35" s="1"/>
  <c r="M60" i="35" s="1"/>
  <c r="M66" i="35" s="1"/>
  <c r="K26" i="35"/>
  <c r="K56" i="35" s="1"/>
  <c r="K60" i="35" s="1"/>
  <c r="K66" i="35" s="1"/>
  <c r="F26" i="35"/>
  <c r="F56" i="35" l="1"/>
  <c r="F60" i="35" s="1"/>
  <c r="F66" i="35" s="1"/>
  <c r="G60" i="35"/>
  <c r="C9" i="35"/>
  <c r="D56" i="35" l="1"/>
  <c r="D60" i="35"/>
  <c r="G66" i="35"/>
  <c r="C8" i="35"/>
  <c r="F20" i="35" s="1"/>
  <c r="C6" i="35"/>
  <c r="N27" i="35" l="1"/>
  <c r="N53" i="35" s="1"/>
  <c r="G25" i="35"/>
  <c r="K25" i="35"/>
  <c r="O25" i="35"/>
  <c r="F25" i="35"/>
  <c r="J25" i="35"/>
  <c r="N25" i="35"/>
  <c r="R25" i="35"/>
  <c r="I25" i="35"/>
  <c r="M25" i="35"/>
  <c r="Q25" i="35"/>
  <c r="H25" i="35"/>
  <c r="L25" i="35"/>
  <c r="P25" i="35"/>
  <c r="R22" i="35"/>
  <c r="N20" i="35"/>
  <c r="I20" i="35"/>
  <c r="J20" i="35"/>
  <c r="R20" i="35"/>
  <c r="M20" i="35"/>
  <c r="Q20" i="35"/>
  <c r="K22" i="35"/>
  <c r="G22" i="35"/>
  <c r="O22" i="35"/>
  <c r="I22" i="35"/>
  <c r="M22" i="35"/>
  <c r="F22" i="35"/>
  <c r="K36" i="35"/>
  <c r="G36" i="35"/>
  <c r="R27" i="35"/>
  <c r="G21" i="35"/>
  <c r="I21" i="35"/>
  <c r="K21" i="35"/>
  <c r="M21" i="35"/>
  <c r="O21" i="35"/>
  <c r="F21" i="35"/>
  <c r="I36" i="35"/>
  <c r="M36" i="35"/>
  <c r="F36" i="35"/>
  <c r="H20" i="35"/>
  <c r="L20" i="35"/>
  <c r="P20" i="35"/>
  <c r="G20" i="35"/>
  <c r="K20" i="35"/>
  <c r="O20" i="35"/>
  <c r="G27" i="35"/>
  <c r="I27" i="35"/>
  <c r="K27" i="35"/>
  <c r="M27" i="35"/>
  <c r="P27" i="35"/>
  <c r="P53" i="35" s="1"/>
  <c r="R36" i="35"/>
  <c r="F27" i="35"/>
  <c r="G30" i="35"/>
  <c r="G23" i="35"/>
  <c r="I30" i="35"/>
  <c r="I23" i="35"/>
  <c r="K30" i="35"/>
  <c r="K23" i="35"/>
  <c r="M30" i="35"/>
  <c r="M23" i="35"/>
  <c r="O30" i="35"/>
  <c r="O23" i="35"/>
  <c r="F30" i="35"/>
  <c r="F23" i="35"/>
  <c r="J36" i="35"/>
  <c r="Q27" i="35"/>
  <c r="H23" i="35"/>
  <c r="J23" i="35"/>
  <c r="L23" i="35"/>
  <c r="N23" i="35"/>
  <c r="P23" i="35"/>
  <c r="Q21" i="35"/>
  <c r="R23" i="35"/>
  <c r="H27" i="35"/>
  <c r="L36" i="35"/>
  <c r="H30" i="35"/>
  <c r="J30" i="35"/>
  <c r="L30" i="35"/>
  <c r="N30" i="35"/>
  <c r="P30" i="35"/>
  <c r="Q22" i="35"/>
  <c r="R30" i="35"/>
  <c r="H36" i="35"/>
  <c r="J27" i="35"/>
  <c r="L27" i="35"/>
  <c r="O27" i="35"/>
  <c r="O53" i="35" s="1"/>
  <c r="Q36" i="35"/>
  <c r="H21" i="35"/>
  <c r="H22" i="35"/>
  <c r="J21" i="35"/>
  <c r="J22" i="35"/>
  <c r="L21" i="35"/>
  <c r="L22" i="35"/>
  <c r="N21" i="35"/>
  <c r="N22" i="35"/>
  <c r="P21" i="35"/>
  <c r="P22" i="35"/>
  <c r="Q30" i="35"/>
  <c r="Q23" i="35"/>
  <c r="R21" i="35"/>
  <c r="F72" i="35" l="1"/>
  <c r="Q54" i="35"/>
  <c r="F54" i="35"/>
  <c r="R54" i="35"/>
  <c r="J54" i="35"/>
  <c r="M54" i="35"/>
  <c r="G54" i="35"/>
  <c r="P54" i="35"/>
  <c r="L54" i="35"/>
  <c r="I54" i="35"/>
  <c r="H54" i="35"/>
  <c r="N54" i="35"/>
  <c r="O54" i="35"/>
  <c r="K54" i="35"/>
  <c r="H53" i="35"/>
  <c r="Q53" i="35"/>
  <c r="G53" i="35"/>
  <c r="R53" i="35"/>
  <c r="I53" i="35"/>
  <c r="L53" i="35"/>
  <c r="M53" i="35"/>
  <c r="J53" i="35"/>
  <c r="F53" i="35"/>
  <c r="K53" i="35"/>
  <c r="H72" i="35" l="1"/>
  <c r="D53" i="35"/>
  <c r="D54" i="35"/>
  <c r="G31" i="35" l="1"/>
  <c r="J31" i="35"/>
  <c r="K31" i="35"/>
  <c r="I31" i="35"/>
  <c r="L31" i="35"/>
  <c r="O31" i="35"/>
  <c r="P31" i="35"/>
  <c r="R31" i="35"/>
  <c r="M31" i="35"/>
  <c r="Q31" i="35"/>
  <c r="H31" i="35"/>
  <c r="N31" i="35"/>
  <c r="F31" i="35" l="1"/>
  <c r="C12" i="35"/>
  <c r="O28" i="35" l="1"/>
  <c r="O32" i="35"/>
  <c r="O34" i="35"/>
  <c r="I34" i="35"/>
  <c r="I32" i="35"/>
  <c r="I28" i="35"/>
  <c r="G28" i="35"/>
  <c r="G34" i="35"/>
  <c r="G32" i="35"/>
  <c r="R34" i="35"/>
  <c r="R32" i="35"/>
  <c r="R28" i="35"/>
  <c r="H28" i="35"/>
  <c r="H34" i="35"/>
  <c r="H32" i="35"/>
  <c r="Q34" i="35"/>
  <c r="Q28" i="35"/>
  <c r="Q32" i="35"/>
  <c r="F34" i="35"/>
  <c r="F28" i="35"/>
  <c r="F32" i="35"/>
  <c r="C11" i="35"/>
  <c r="P28" i="35"/>
  <c r="P32" i="35"/>
  <c r="P34" i="35"/>
  <c r="N34" i="35"/>
  <c r="N32" i="35"/>
  <c r="N28" i="35"/>
  <c r="K32" i="35"/>
  <c r="K34" i="35"/>
  <c r="K28" i="35"/>
  <c r="J28" i="35"/>
  <c r="J34" i="35"/>
  <c r="J32" i="35"/>
  <c r="M34" i="35"/>
  <c r="M28" i="35"/>
  <c r="M32" i="35"/>
  <c r="L32" i="35"/>
  <c r="L28" i="35"/>
  <c r="L34" i="35"/>
  <c r="C43" i="35" l="1"/>
  <c r="O24" i="35"/>
  <c r="K24" i="35"/>
  <c r="L24" i="35"/>
  <c r="Q24" i="35"/>
  <c r="N24" i="35"/>
  <c r="I24" i="35"/>
  <c r="I55" i="35" s="1"/>
  <c r="I59" i="35" s="1"/>
  <c r="I65" i="35" s="1"/>
  <c r="H24" i="35"/>
  <c r="G24" i="35"/>
  <c r="R24" i="35"/>
  <c r="J24" i="35"/>
  <c r="M24" i="35"/>
  <c r="M55" i="35" s="1"/>
  <c r="M59" i="35" s="1"/>
  <c r="M65" i="35" s="1"/>
  <c r="P24" i="35"/>
  <c r="P55" i="35" s="1"/>
  <c r="P59" i="35" s="1"/>
  <c r="P65" i="35" s="1"/>
  <c r="F24" i="35"/>
  <c r="Q55" i="35" l="1"/>
  <c r="Q59" i="35" s="1"/>
  <c r="Q65" i="35" s="1"/>
  <c r="R55" i="35"/>
  <c r="R59" i="35" s="1"/>
  <c r="R65" i="35" s="1"/>
  <c r="J55" i="35"/>
  <c r="J59" i="35" s="1"/>
  <c r="J65" i="35" s="1"/>
  <c r="F55" i="35"/>
  <c r="F59" i="35" s="1"/>
  <c r="G55" i="35"/>
  <c r="G59" i="35" s="1"/>
  <c r="G65" i="35" s="1"/>
  <c r="K55" i="35"/>
  <c r="K59" i="35" s="1"/>
  <c r="K65" i="35" s="1"/>
  <c r="H55" i="35"/>
  <c r="H59" i="35" s="1"/>
  <c r="H65" i="35" s="1"/>
  <c r="O55" i="35"/>
  <c r="O59" i="35" s="1"/>
  <c r="O65" i="35" s="1"/>
  <c r="N55" i="35"/>
  <c r="N59" i="35" s="1"/>
  <c r="N65" i="35" s="1"/>
  <c r="L55" i="35"/>
  <c r="L59" i="35" s="1"/>
  <c r="L65" i="35" s="1"/>
  <c r="F65" i="35" l="1"/>
  <c r="D59" i="35"/>
  <c r="D55" i="35"/>
  <c r="C10" i="35" l="1"/>
  <c r="C14" i="35" l="1"/>
  <c r="C15" i="35" l="1"/>
  <c r="C13" i="35" l="1"/>
  <c r="Q35" i="35" s="1"/>
  <c r="H39" i="35" l="1"/>
  <c r="M38" i="35"/>
  <c r="G39" i="35"/>
  <c r="H38" i="35"/>
  <c r="G38" i="35"/>
  <c r="F33" i="35"/>
  <c r="K35" i="35"/>
  <c r="N29" i="35"/>
  <c r="F39" i="35"/>
  <c r="R38" i="35"/>
  <c r="J33" i="35"/>
  <c r="K39" i="35"/>
  <c r="I35" i="35"/>
  <c r="I33" i="35"/>
  <c r="P39" i="35"/>
  <c r="Q39" i="35"/>
  <c r="H33" i="35"/>
  <c r="H35" i="35"/>
  <c r="M35" i="35"/>
  <c r="J39" i="35"/>
  <c r="G29" i="35"/>
  <c r="O39" i="35"/>
  <c r="P35" i="35"/>
  <c r="O33" i="35"/>
  <c r="Q38" i="35"/>
  <c r="L33" i="35"/>
  <c r="L39" i="35"/>
  <c r="H29" i="35"/>
  <c r="L35" i="35"/>
  <c r="N35" i="35"/>
  <c r="R39" i="35"/>
  <c r="M33" i="35"/>
  <c r="N33" i="35"/>
  <c r="N38" i="35"/>
  <c r="M39" i="35"/>
  <c r="N39" i="35"/>
  <c r="P29" i="35"/>
  <c r="O29" i="35"/>
  <c r="I38" i="35"/>
  <c r="I39" i="35"/>
  <c r="L38" i="35"/>
  <c r="F35" i="35"/>
  <c r="J29" i="35"/>
  <c r="G35" i="35"/>
  <c r="R29" i="35"/>
  <c r="J35" i="35"/>
  <c r="P38" i="35"/>
  <c r="Q29" i="35"/>
  <c r="Q33" i="35"/>
  <c r="F38" i="35"/>
  <c r="F29" i="35"/>
  <c r="L29" i="35"/>
  <c r="G33" i="35"/>
  <c r="K33" i="35"/>
  <c r="J38" i="35"/>
  <c r="R35" i="35"/>
  <c r="K29" i="35"/>
  <c r="M29" i="35"/>
  <c r="R33" i="35"/>
  <c r="K38" i="35"/>
  <c r="O35" i="35"/>
  <c r="O38" i="35"/>
  <c r="P33" i="35"/>
  <c r="I29" i="35"/>
  <c r="G49" i="35" l="1"/>
  <c r="P49" i="35"/>
  <c r="P51" i="35" s="1"/>
  <c r="P58" i="35" s="1"/>
  <c r="P63" i="35" s="1"/>
  <c r="Q45" i="35"/>
  <c r="Q47" i="35" s="1"/>
  <c r="P45" i="35"/>
  <c r="P47" i="35" s="1"/>
  <c r="N45" i="35"/>
  <c r="N47" i="35" s="1"/>
  <c r="G45" i="35"/>
  <c r="G47" i="35" s="1"/>
  <c r="J49" i="35"/>
  <c r="J51" i="35" s="1"/>
  <c r="J58" i="35" s="1"/>
  <c r="J63" i="35" s="1"/>
  <c r="F45" i="35"/>
  <c r="F47" i="35" s="1"/>
  <c r="M45" i="35"/>
  <c r="M47" i="35" s="1"/>
  <c r="I45" i="35"/>
  <c r="I47" i="35" s="1"/>
  <c r="K45" i="35"/>
  <c r="K47" i="35" s="1"/>
  <c r="R45" i="35"/>
  <c r="R47" i="35" s="1"/>
  <c r="L45" i="35"/>
  <c r="L47" i="35" s="1"/>
  <c r="N49" i="35"/>
  <c r="N51" i="35" s="1"/>
  <c r="N58" i="35" s="1"/>
  <c r="N63" i="35" s="1"/>
  <c r="M49" i="35"/>
  <c r="M50" i="35" s="1"/>
  <c r="M57" i="35" s="1"/>
  <c r="M62" i="35" s="1"/>
  <c r="H45" i="35"/>
  <c r="H47" i="35" s="1"/>
  <c r="O49" i="35"/>
  <c r="O51" i="35" s="1"/>
  <c r="O58" i="35" s="1"/>
  <c r="O63" i="35" s="1"/>
  <c r="I49" i="35"/>
  <c r="I51" i="35" s="1"/>
  <c r="I58" i="35" s="1"/>
  <c r="I63" i="35" s="1"/>
  <c r="R49" i="35"/>
  <c r="R51" i="35" s="1"/>
  <c r="F71" i="35" s="1"/>
  <c r="F49" i="35"/>
  <c r="F51" i="35" s="1"/>
  <c r="F58" i="35" s="1"/>
  <c r="J45" i="35"/>
  <c r="J47" i="35" s="1"/>
  <c r="O45" i="35"/>
  <c r="O47" i="35" s="1"/>
  <c r="H49" i="35"/>
  <c r="L49" i="35"/>
  <c r="L50" i="35" s="1"/>
  <c r="L57" i="35" s="1"/>
  <c r="L62" i="35" s="1"/>
  <c r="Q49" i="35"/>
  <c r="Q50" i="35" s="1"/>
  <c r="Q57" i="35" s="1"/>
  <c r="Q62" i="35" s="1"/>
  <c r="K49" i="35"/>
  <c r="K51" i="35" s="1"/>
  <c r="K58" i="35" s="1"/>
  <c r="K64" i="35" s="1"/>
  <c r="J50" i="35"/>
  <c r="J57" i="35" s="1"/>
  <c r="J62" i="35" s="1"/>
  <c r="P50" i="35"/>
  <c r="P57" i="35" s="1"/>
  <c r="P62" i="35" s="1"/>
  <c r="G50" i="35"/>
  <c r="G57" i="35" s="1"/>
  <c r="G62" i="35" s="1"/>
  <c r="G51" i="35"/>
  <c r="G58" i="35" s="1"/>
  <c r="G63" i="35" s="1"/>
  <c r="L51" i="35" l="1"/>
  <c r="L58" i="35" s="1"/>
  <c r="L63" i="35" s="1"/>
  <c r="F50" i="35"/>
  <c r="F57" i="35" s="1"/>
  <c r="Q51" i="35"/>
  <c r="Q58" i="35" s="1"/>
  <c r="Q64" i="35" s="1"/>
  <c r="D49" i="35"/>
  <c r="M51" i="35"/>
  <c r="M58" i="35" s="1"/>
  <c r="M64" i="35" s="1"/>
  <c r="R50" i="35"/>
  <c r="R57" i="35" s="1"/>
  <c r="R62" i="35" s="1"/>
  <c r="I50" i="35"/>
  <c r="I57" i="35" s="1"/>
  <c r="I62" i="35" s="1"/>
  <c r="D47" i="35"/>
  <c r="D45" i="35" s="1"/>
  <c r="N50" i="35"/>
  <c r="N57" i="35" s="1"/>
  <c r="N62" i="35" s="1"/>
  <c r="K50" i="35"/>
  <c r="K57" i="35" s="1"/>
  <c r="K62" i="35" s="1"/>
  <c r="O50" i="35"/>
  <c r="O57" i="35" s="1"/>
  <c r="O62" i="35" s="1"/>
  <c r="C45" i="35"/>
  <c r="H51" i="35"/>
  <c r="H58" i="35" s="1"/>
  <c r="H63" i="35" s="1"/>
  <c r="H50" i="35"/>
  <c r="H57" i="35" s="1"/>
  <c r="H62" i="35" s="1"/>
  <c r="F73" i="35"/>
  <c r="R58" i="35"/>
  <c r="D50" i="35" l="1"/>
  <c r="D51" i="35"/>
  <c r="D57" i="35"/>
  <c r="F62" i="35"/>
  <c r="F63" i="35"/>
  <c r="D58" i="35"/>
  <c r="H71" i="35"/>
</calcChain>
</file>

<file path=xl/comments1.xml><?xml version="1.0" encoding="utf-8"?>
<comments xmlns="http://schemas.openxmlformats.org/spreadsheetml/2006/main">
  <authors>
    <author>Clement Li</author>
  </authors>
  <commentList>
    <comment ref="B34" authorId="0">
      <text>
        <r>
          <rPr>
            <b/>
            <sz val="8"/>
            <color indexed="81"/>
            <rFont val="Tahoma"/>
            <family val="2"/>
          </rPr>
          <t>Clement Li:</t>
        </r>
        <r>
          <rPr>
            <sz val="8"/>
            <color indexed="81"/>
            <rFont val="Tahoma"/>
            <family val="2"/>
          </rPr>
          <t xml:space="preserve">
Regulatory asset balance 2015 - 2017 (1595)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Clement Li:</t>
        </r>
        <r>
          <rPr>
            <sz val="8"/>
            <color indexed="81"/>
            <rFont val="Tahoma"/>
            <family val="2"/>
          </rPr>
          <t xml:space="preserve">
Regulatory asset balance 2015 - 2017 (1595)</t>
        </r>
      </text>
    </comment>
  </commentList>
</comments>
</file>

<file path=xl/sharedStrings.xml><?xml version="1.0" encoding="utf-8"?>
<sst xmlns="http://schemas.openxmlformats.org/spreadsheetml/2006/main" count="136" uniqueCount="86">
  <si>
    <t>OM&amp;A</t>
  </si>
  <si>
    <t>UR</t>
  </si>
  <si>
    <t>R1</t>
  </si>
  <si>
    <t>R2</t>
  </si>
  <si>
    <t>Seasonal</t>
  </si>
  <si>
    <t>GSe</t>
  </si>
  <si>
    <t>GSd</t>
  </si>
  <si>
    <t>Dgen</t>
  </si>
  <si>
    <t>ST</t>
  </si>
  <si>
    <t>St Lgt</t>
  </si>
  <si>
    <t>Sen Lgt</t>
  </si>
  <si>
    <t>UGe</t>
  </si>
  <si>
    <t>UGd</t>
  </si>
  <si>
    <t>Billing kWs</t>
  </si>
  <si>
    <t>Allocator</t>
  </si>
  <si>
    <t>Total Regulatory Assets for Approval</t>
  </si>
  <si>
    <t xml:space="preserve"> </t>
  </si>
  <si>
    <t>USL</t>
  </si>
  <si>
    <t>kWh</t>
  </si>
  <si>
    <t>NFA</t>
  </si>
  <si>
    <t>Number of customers</t>
  </si>
  <si>
    <t>kWh Exc WMP</t>
  </si>
  <si>
    <t xml:space="preserve">kWh </t>
  </si>
  <si>
    <t>kWh excl WMP</t>
  </si>
  <si>
    <t>Rider ($/kW)</t>
  </si>
  <si>
    <t>Number of Customers</t>
  </si>
  <si>
    <t>Allocators</t>
  </si>
  <si>
    <t>Value</t>
  </si>
  <si>
    <t>Source</t>
  </si>
  <si>
    <t>Recovery per year</t>
  </si>
  <si>
    <t>Rider Development</t>
  </si>
  <si>
    <t xml:space="preserve">Fixed Revenue Requirement </t>
  </si>
  <si>
    <t xml:space="preserve">Volumetric Revenue Requirement </t>
  </si>
  <si>
    <t>Final Rate Rider Amounts</t>
  </si>
  <si>
    <t>Volumetric Rider-GA</t>
  </si>
  <si>
    <t>Volumetric Rider-General (kWh)</t>
  </si>
  <si>
    <t>Volumetric Rider-General (kW)</t>
  </si>
  <si>
    <t>*see ST rider derivation below</t>
  </si>
  <si>
    <t>Monthly Fixed Rider</t>
  </si>
  <si>
    <t>ST Volumetric Rider Derivation</t>
  </si>
  <si>
    <t>Revenue From Rates</t>
  </si>
  <si>
    <t>Rider Revenue ($)</t>
  </si>
  <si>
    <t>Charge Determinant (kW)</t>
  </si>
  <si>
    <t>Number of customers excluding unmetered</t>
  </si>
  <si>
    <t xml:space="preserve">Volumetric GA Rider Revenue Account (Row 20) </t>
  </si>
  <si>
    <t xml:space="preserve">Fixed Portion (Row43*(Row10 / (Row10+11))) </t>
  </si>
  <si>
    <t xml:space="preserve">Volumetric Portion (Row43*(Row11 / (Row10+11))) </t>
  </si>
  <si>
    <t xml:space="preserve">TOTAL FIXED RIDER REVENUE                                                   
 (ROWS 44+47) </t>
  </si>
  <si>
    <t xml:space="preserve">GA RIDER REVENUE (ROW 49) </t>
  </si>
  <si>
    <t xml:space="preserve">TOTAL VOLUMETRIC RIDER REVENUE (ROWS 45+48) </t>
  </si>
  <si>
    <t>2018 Load Forecast</t>
  </si>
  <si>
    <t>2018 Cost Allocation Model: E2 Allocators sheet</t>
  </si>
  <si>
    <t>RSVA - Wholesale Market Service Charge</t>
  </si>
  <si>
    <t>RSVA - Retail Transmission Network Charge</t>
  </si>
  <si>
    <t>RSVA - Retail Transmission Connection Charge</t>
  </si>
  <si>
    <t>LV Variance Account</t>
  </si>
  <si>
    <t>RSVA - Power - Sub-Account - Global Adjustment</t>
  </si>
  <si>
    <t>RSVA - Power - Sub-Account -Power</t>
  </si>
  <si>
    <t xml:space="preserve">RCVA </t>
  </si>
  <si>
    <t>Pension Cost Differential Account</t>
  </si>
  <si>
    <t>Microfit Connection Charge Variance Account</t>
  </si>
  <si>
    <t>Tax Rate Changes Account</t>
  </si>
  <si>
    <t>OEB Cost Differential Account</t>
  </si>
  <si>
    <t>DSC Exemption Deferral Account</t>
  </si>
  <si>
    <t>kWh for Non WMP, Non-RPP, Non-LDC, and Class B customers</t>
  </si>
  <si>
    <t>Revenue Requirement Share</t>
  </si>
  <si>
    <t>Recovery Period: Years</t>
  </si>
  <si>
    <t>DG - Other Costs - HONI - Variance Account</t>
  </si>
  <si>
    <t>Smart Grid Variance Account</t>
  </si>
  <si>
    <t>Smart Meter Entity Charge Variance Account</t>
  </si>
  <si>
    <t>Bill Impact Mitigation Variance Account</t>
  </si>
  <si>
    <t>Revenue Offset Difference Account - Pole Attachment Charge</t>
  </si>
  <si>
    <t>leave as placeholder</t>
  </si>
  <si>
    <t xml:space="preserve">Volumetric Rider Revenue Def/Var Accounts (Rows 16, 17, 18, 19, 21) </t>
  </si>
  <si>
    <t>Determination of Deferral/Variance Account Rate Rider Amounts by Rate Class (2018-2022)</t>
  </si>
  <si>
    <t>RSVA - Wholesale Market Service Charge - Class B</t>
  </si>
  <si>
    <t xml:space="preserve">Fixed and Volumetric Rider Revenue Def/Var Accounts (Rows 24, 25, 26, 27, 28, 29, 30, 32, 33) </t>
  </si>
  <si>
    <t xml:space="preserve">Fixed Rider Revenue Def/Var Accounts (Rows 23, 31) </t>
  </si>
  <si>
    <t>Amount to be  collected/refunded (Forecast Balance as at Dec 31, 2018)</t>
  </si>
  <si>
    <t xml:space="preserve">Volumetric WMSC Class B Rider Revenue Account (Row 22) </t>
  </si>
  <si>
    <t xml:space="preserve">RSVA WMSC CLASS B RIDER REVENUE (ROW 50) </t>
  </si>
  <si>
    <t>kWh excl WMP Class B customers</t>
  </si>
  <si>
    <t>Volumetric Rider-Non WMP Class B (kWh/kW)</t>
  </si>
  <si>
    <t>Number of customers (Res, GSe, UGe)</t>
  </si>
  <si>
    <t xml:space="preserve">General (All volumetric rider revenue excluding RSVA-WMSC and RSVA-Power) </t>
  </si>
  <si>
    <t>Excluding WMP (Rider revenue for RSVA - WMSC and RSVA -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</si>
</sst>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* #,##0.0_);_(* \(#,##0.0\);_(* &quot;-&quot;??_);_(@_)"/>
    <numFmt numFmtId="166" formatCode="_(* #,##0_);_(* \(#,##0\);_(* &quot;-&quot;??_);_(@_)"/>
    <numFmt numFmtId="167" formatCode="#,##0.000"/>
    <numFmt numFmtId="168" formatCode="#,##0.0_);\(#,##0.0\)"/>
    <numFmt numFmtId="169" formatCode="_(&quot;$&quot;* #,##0_);_(&quot;$&quot;* \(#,##0\);_(&quot;$&quot;* &quot;-&quot;??_);_(@_)"/>
    <numFmt numFmtId="170" formatCode="#,##0.00000_);\(#,##0.00000\)"/>
    <numFmt numFmtId="171" formatCode="0.0\x"/>
    <numFmt numFmtId="172" formatCode="#,##0.000_);\(#,##0.000\)"/>
    <numFmt numFmtId="173" formatCode="0.00\x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#,##0;&quot;\&quot;&quot;\&quot;&quot;\&quot;&quot;\&quot;\(#,##0&quot;\&quot;&quot;\&quot;&quot;\&quot;&quot;\&quot;\)"/>
    <numFmt numFmtId="177" formatCode="_(* #,##0.000_);_(* \(#,##0.000\);_(* &quot;-&quot;??_);_(@_)"/>
    <numFmt numFmtId="178" formatCode="_(* #,##0.0000_);_(* \(#,##0.0000\);_(* &quot;-&quot;??_);_(@_)"/>
    <numFmt numFmtId="179" formatCode="0.0000"/>
    <numFmt numFmtId="180" formatCode="#,##0.0000_);\(#,##0.0000\)"/>
    <numFmt numFmtId="181" formatCode="&quot;$&quot;#,##0"/>
    <numFmt numFmtId="182" formatCode="_(&quot;$&quot;* #,##0.0000_);_(&quot;$&quot;* \(#,##0.0000\);_(&quot;$&quot;* &quot;-&quot;??_);_(@_)"/>
    <numFmt numFmtId="183" formatCode="_(&quot;$&quot;* #,##0.00000000_);_(&quot;$&quot;* \(#,##0.00000000\);_(&quot;$&quot;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sz val="10"/>
      <name val="Arial"/>
      <family val="2"/>
    </font>
    <font>
      <u val="singleAccounting"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 applyFont="0" applyFill="0" applyBorder="0" applyAlignment="0" applyProtection="0"/>
    <xf numFmtId="166" fontId="1" fillId="0" borderId="0"/>
    <xf numFmtId="166" fontId="1" fillId="0" borderId="0"/>
    <xf numFmtId="166" fontId="1" fillId="0" borderId="0"/>
    <xf numFmtId="169" fontId="5" fillId="0" borderId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>
      <alignment vertical="top"/>
    </xf>
    <xf numFmtId="0" fontId="1" fillId="0" borderId="0">
      <alignment vertical="top"/>
    </xf>
    <xf numFmtId="43" fontId="1" fillId="0" borderId="0" applyFont="0" applyFill="0" applyBorder="0" applyAlignment="0" applyProtection="0"/>
    <xf numFmtId="176" fontId="11" fillId="0" borderId="0"/>
    <xf numFmtId="44" fontId="1" fillId="0" borderId="0" applyFont="0" applyFill="0" applyBorder="0" applyAlignment="0" applyProtection="0"/>
    <xf numFmtId="174" fontId="11" fillId="0" borderId="0"/>
    <xf numFmtId="175" fontId="11" fillId="0" borderId="0"/>
    <xf numFmtId="38" fontId="6" fillId="2" borderId="0" applyNumberFormat="0" applyBorder="0" applyAlignment="0" applyProtection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10" fontId="6" fillId="3" borderId="3" applyNumberFormat="0" applyBorder="0" applyAlignment="0" applyProtection="0"/>
    <xf numFmtId="164" fontId="5" fillId="0" borderId="0"/>
    <xf numFmtId="167" fontId="1" fillId="0" borderId="0"/>
    <xf numFmtId="0" fontId="1" fillId="0" borderId="0"/>
    <xf numFmtId="7" fontId="7" fillId="0" borderId="0"/>
    <xf numFmtId="37" fontId="8" fillId="4" borderId="0">
      <alignment horizontal="right"/>
    </xf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4">
      <alignment horizontal="center"/>
    </xf>
    <xf numFmtId="3" fontId="9" fillId="0" borderId="0" applyFont="0" applyFill="0" applyBorder="0" applyAlignment="0" applyProtection="0"/>
    <xf numFmtId="0" fontId="9" fillId="5" borderId="0" applyNumberFormat="0" applyFont="0" applyBorder="0" applyAlignment="0" applyProtection="0"/>
    <xf numFmtId="1" fontId="1" fillId="0" borderId="0"/>
    <xf numFmtId="173" fontId="1" fillId="0" borderId="0"/>
    <xf numFmtId="173" fontId="1" fillId="0" borderId="0"/>
    <xf numFmtId="173" fontId="1" fillId="0" borderId="0"/>
    <xf numFmtId="0" fontId="1" fillId="0" borderId="0"/>
  </cellStyleXfs>
  <cellXfs count="165">
    <xf numFmtId="0" fontId="0" fillId="0" borderId="0" xfId="0"/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/>
    <xf numFmtId="43" fontId="12" fillId="0" borderId="0" xfId="0" applyNumberFormat="1" applyFont="1"/>
    <xf numFmtId="166" fontId="12" fillId="0" borderId="0" xfId="17" applyNumberFormat="1" applyFont="1"/>
    <xf numFmtId="166" fontId="12" fillId="0" borderId="0" xfId="0" applyNumberFormat="1" applyFont="1"/>
    <xf numFmtId="43" fontId="12" fillId="0" borderId="0" xfId="17" applyNumberFormat="1" applyFont="1"/>
    <xf numFmtId="0" fontId="12" fillId="0" borderId="5" xfId="0" applyFont="1" applyBorder="1"/>
    <xf numFmtId="0" fontId="12" fillId="0" borderId="0" xfId="0" applyFont="1" applyBorder="1"/>
    <xf numFmtId="43" fontId="12" fillId="0" borderId="0" xfId="17" applyNumberFormat="1" applyFont="1" applyBorder="1"/>
    <xf numFmtId="43" fontId="12" fillId="0" borderId="6" xfId="17" applyNumberFormat="1" applyFont="1" applyBorder="1"/>
    <xf numFmtId="0" fontId="12" fillId="0" borderId="4" xfId="0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17" applyNumberFormat="1" applyFont="1" applyBorder="1" applyAlignment="1">
      <alignment horizontal="center" vertical="center" wrapText="1"/>
    </xf>
    <xf numFmtId="166" fontId="2" fillId="0" borderId="13" xfId="17" applyNumberFormat="1" applyFont="1" applyBorder="1" applyAlignment="1">
      <alignment horizontal="center" vertical="center"/>
    </xf>
    <xf numFmtId="166" fontId="12" fillId="0" borderId="0" xfId="17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169" fontId="2" fillId="6" borderId="0" xfId="19" applyNumberFormat="1" applyFont="1" applyFill="1" applyBorder="1" applyAlignment="1">
      <alignment vertical="center" wrapText="1"/>
    </xf>
    <xf numFmtId="169" fontId="2" fillId="6" borderId="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69" fontId="2" fillId="6" borderId="0" xfId="19" applyNumberFormat="1" applyFont="1" applyFill="1" applyBorder="1" applyAlignment="1">
      <alignment vertical="center"/>
    </xf>
    <xf numFmtId="169" fontId="2" fillId="6" borderId="6" xfId="19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66" fontId="12" fillId="0" borderId="8" xfId="17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3" fontId="12" fillId="0" borderId="0" xfId="17" applyFont="1" applyAlignment="1">
      <alignment vertical="center"/>
    </xf>
    <xf numFmtId="43" fontId="12" fillId="0" borderId="0" xfId="17" applyFont="1" applyFill="1" applyAlignment="1">
      <alignment vertical="center"/>
    </xf>
    <xf numFmtId="9" fontId="12" fillId="0" borderId="0" xfId="3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/>
    </xf>
    <xf numFmtId="9" fontId="12" fillId="0" borderId="0" xfId="31" applyFont="1" applyFill="1" applyAlignment="1">
      <alignment vertical="center"/>
    </xf>
    <xf numFmtId="10" fontId="12" fillId="0" borderId="0" xfId="31" applyNumberFormat="1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5" fontId="12" fillId="0" borderId="8" xfId="19" applyNumberFormat="1" applyFont="1" applyFill="1" applyBorder="1" applyAlignment="1">
      <alignment vertical="center"/>
    </xf>
    <xf numFmtId="5" fontId="12" fillId="0" borderId="9" xfId="19" applyNumberFormat="1" applyFont="1" applyFill="1" applyBorder="1" applyAlignment="1">
      <alignment vertical="center"/>
    </xf>
    <xf numFmtId="5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5" fontId="12" fillId="0" borderId="0" xfId="19" applyNumberFormat="1" applyFont="1" applyFill="1" applyBorder="1" applyAlignment="1">
      <alignment vertical="center"/>
    </xf>
    <xf numFmtId="5" fontId="12" fillId="0" borderId="6" xfId="19" applyNumberFormat="1" applyFont="1" applyFill="1" applyBorder="1" applyAlignment="1">
      <alignment vertical="center"/>
    </xf>
    <xf numFmtId="44" fontId="12" fillId="0" borderId="0" xfId="19" applyFont="1" applyFill="1" applyBorder="1" applyAlignment="1">
      <alignment vertical="center"/>
    </xf>
    <xf numFmtId="43" fontId="12" fillId="0" borderId="0" xfId="0" applyNumberFormat="1" applyFont="1" applyFill="1" applyAlignment="1">
      <alignment vertical="center"/>
    </xf>
    <xf numFmtId="169" fontId="13" fillId="0" borderId="0" xfId="19" applyNumberFormat="1" applyFont="1" applyFill="1" applyBorder="1" applyAlignment="1">
      <alignment vertical="center"/>
    </xf>
    <xf numFmtId="43" fontId="12" fillId="0" borderId="0" xfId="0" applyNumberFormat="1" applyFont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43" fontId="12" fillId="0" borderId="0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9" fontId="12" fillId="0" borderId="6" xfId="0" applyNumberFormat="1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6" borderId="5" xfId="0" applyFont="1" applyFill="1" applyBorder="1" applyAlignment="1">
      <alignment horizontal="right" vertical="center"/>
    </xf>
    <xf numFmtId="169" fontId="2" fillId="6" borderId="12" xfId="0" applyNumberFormat="1" applyFont="1" applyFill="1" applyBorder="1" applyAlignment="1">
      <alignment horizontal="center" vertical="center"/>
    </xf>
    <xf numFmtId="169" fontId="2" fillId="6" borderId="13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169" fontId="12" fillId="6" borderId="0" xfId="19" applyNumberFormat="1" applyFont="1" applyFill="1" applyBorder="1" applyAlignment="1">
      <alignment vertical="center"/>
    </xf>
    <xf numFmtId="169" fontId="12" fillId="6" borderId="0" xfId="0" applyNumberFormat="1" applyFont="1" applyFill="1" applyBorder="1" applyAlignment="1">
      <alignment vertical="center"/>
    </xf>
    <xf numFmtId="169" fontId="12" fillId="6" borderId="6" xfId="19" applyNumberFormat="1" applyFont="1" applyFill="1" applyBorder="1" applyAlignment="1">
      <alignment vertical="center"/>
    </xf>
    <xf numFmtId="169" fontId="1" fillId="6" borderId="0" xfId="19" applyNumberFormat="1" applyFont="1" applyFill="1" applyBorder="1" applyAlignment="1">
      <alignment vertical="center" wrapText="1"/>
    </xf>
    <xf numFmtId="169" fontId="1" fillId="6" borderId="0" xfId="19" applyNumberFormat="1" applyFont="1" applyFill="1" applyBorder="1" applyAlignment="1">
      <alignment horizontal="left" vertical="center"/>
    </xf>
    <xf numFmtId="169" fontId="1" fillId="6" borderId="0" xfId="19" applyNumberFormat="1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169" fontId="12" fillId="6" borderId="4" xfId="19" applyNumberFormat="1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178" fontId="2" fillId="2" borderId="8" xfId="0" applyNumberFormat="1" applyFont="1" applyFill="1" applyBorder="1" applyAlignment="1">
      <alignment horizontal="center" vertical="center"/>
    </xf>
    <xf numFmtId="177" fontId="2" fillId="7" borderId="9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vertical="center"/>
    </xf>
    <xf numFmtId="177" fontId="2" fillId="7" borderId="6" xfId="0" applyNumberFormat="1" applyFont="1" applyFill="1" applyBorder="1" applyAlignment="1">
      <alignment vertical="center"/>
    </xf>
    <xf numFmtId="177" fontId="2" fillId="7" borderId="6" xfId="0" applyNumberFormat="1" applyFont="1" applyFill="1" applyBorder="1" applyAlignment="1">
      <alignment horizontal="center" vertical="center" wrapText="1"/>
    </xf>
    <xf numFmtId="180" fontId="2" fillId="2" borderId="6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39" fontId="2" fillId="2" borderId="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7" xfId="0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5" fontId="12" fillId="0" borderId="0" xfId="17" applyNumberFormat="1" applyFont="1" applyFill="1" applyBorder="1" applyAlignment="1">
      <alignment vertical="center"/>
    </xf>
    <xf numFmtId="44" fontId="12" fillId="0" borderId="0" xfId="0" applyNumberFormat="1" applyFont="1"/>
    <xf numFmtId="182" fontId="12" fillId="0" borderId="0" xfId="0" applyNumberFormat="1" applyFont="1"/>
    <xf numFmtId="0" fontId="12" fillId="0" borderId="0" xfId="0" applyNumberFormat="1" applyFont="1"/>
    <xf numFmtId="179" fontId="12" fillId="0" borderId="0" xfId="0" applyNumberFormat="1" applyFont="1"/>
    <xf numFmtId="169" fontId="12" fillId="0" borderId="9" xfId="0" applyNumberFormat="1" applyFont="1" applyFill="1" applyBorder="1" applyAlignment="1">
      <alignment vertical="center"/>
    </xf>
    <xf numFmtId="169" fontId="12" fillId="0" borderId="11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center"/>
    </xf>
    <xf numFmtId="10" fontId="12" fillId="0" borderId="0" xfId="31" applyNumberFormat="1" applyFont="1" applyFill="1" applyBorder="1" applyAlignment="1">
      <alignment horizontal="right" vertical="center"/>
    </xf>
    <xf numFmtId="10" fontId="12" fillId="0" borderId="6" xfId="31" applyNumberFormat="1" applyFont="1" applyFill="1" applyBorder="1" applyAlignment="1">
      <alignment horizontal="right" vertical="center"/>
    </xf>
    <xf numFmtId="181" fontId="12" fillId="0" borderId="0" xfId="31" applyNumberFormat="1" applyFont="1" applyFill="1" applyBorder="1" applyAlignment="1">
      <alignment horizontal="right" vertical="center"/>
    </xf>
    <xf numFmtId="181" fontId="12" fillId="0" borderId="6" xfId="31" applyNumberFormat="1" applyFont="1" applyFill="1" applyBorder="1" applyAlignment="1">
      <alignment horizontal="right" vertical="center"/>
    </xf>
    <xf numFmtId="166" fontId="12" fillId="0" borderId="8" xfId="17" applyNumberFormat="1" applyFont="1" applyFill="1" applyBorder="1" applyAlignment="1">
      <alignment horizontal="right" vertical="center"/>
    </xf>
    <xf numFmtId="166" fontId="12" fillId="0" borderId="9" xfId="17" applyNumberFormat="1" applyFont="1" applyFill="1" applyBorder="1" applyAlignment="1">
      <alignment horizontal="right" vertical="center"/>
    </xf>
    <xf numFmtId="166" fontId="12" fillId="0" borderId="0" xfId="17" applyNumberFormat="1" applyFont="1" applyFill="1" applyBorder="1" applyAlignment="1">
      <alignment horizontal="right" vertical="center"/>
    </xf>
    <xf numFmtId="166" fontId="12" fillId="0" borderId="6" xfId="17" applyNumberFormat="1" applyFont="1" applyFill="1" applyBorder="1" applyAlignment="1">
      <alignment horizontal="right" vertical="center"/>
    </xf>
    <xf numFmtId="183" fontId="12" fillId="0" borderId="0" xfId="0" applyNumberFormat="1" applyFont="1"/>
    <xf numFmtId="166" fontId="2" fillId="2" borderId="0" xfId="0" applyNumberFormat="1" applyFont="1" applyFill="1" applyBorder="1" applyAlignment="1">
      <alignment vertical="center"/>
    </xf>
    <xf numFmtId="169" fontId="1" fillId="6" borderId="0" xfId="19" applyNumberFormat="1" applyFont="1" applyFill="1" applyBorder="1" applyAlignment="1">
      <alignment horizontal="left" vertical="center" wrapText="1"/>
    </xf>
    <xf numFmtId="43" fontId="1" fillId="0" borderId="0" xfId="17" applyFont="1" applyFill="1" applyBorder="1" applyAlignment="1">
      <alignment vertical="center"/>
    </xf>
    <xf numFmtId="0" fontId="2" fillId="8" borderId="10" xfId="0" applyFont="1" applyFill="1" applyBorder="1" applyAlignment="1">
      <alignment horizontal="center" vertical="center"/>
    </xf>
    <xf numFmtId="44" fontId="2" fillId="6" borderId="0" xfId="19" applyNumberFormat="1" applyFont="1" applyFill="1" applyBorder="1" applyAlignment="1">
      <alignment vertical="center"/>
    </xf>
    <xf numFmtId="0" fontId="1" fillId="10" borderId="0" xfId="0" applyFont="1" applyFill="1" applyBorder="1" applyAlignment="1">
      <alignment vertical="center"/>
    </xf>
    <xf numFmtId="43" fontId="1" fillId="10" borderId="0" xfId="17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5" fontId="12" fillId="10" borderId="0" xfId="19" applyNumberFormat="1" applyFont="1" applyFill="1" applyBorder="1" applyAlignment="1">
      <alignment vertical="center"/>
    </xf>
    <xf numFmtId="5" fontId="12" fillId="10" borderId="6" xfId="19" applyNumberFormat="1" applyFont="1" applyFill="1" applyBorder="1" applyAlignment="1">
      <alignment vertical="center"/>
    </xf>
    <xf numFmtId="5" fontId="12" fillId="10" borderId="0" xfId="0" applyNumberFormat="1" applyFont="1" applyFill="1" applyAlignment="1">
      <alignment vertical="center"/>
    </xf>
    <xf numFmtId="169" fontId="12" fillId="10" borderId="0" xfId="0" applyNumberFormat="1" applyFont="1" applyFill="1" applyAlignment="1">
      <alignment vertical="center"/>
    </xf>
    <xf numFmtId="43" fontId="12" fillId="10" borderId="0" xfId="0" applyNumberFormat="1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1" fillId="10" borderId="5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6" fontId="1" fillId="11" borderId="4" xfId="17" applyNumberFormat="1" applyFont="1" applyFill="1" applyBorder="1" applyAlignment="1">
      <alignment vertical="center"/>
    </xf>
    <xf numFmtId="181" fontId="1" fillId="11" borderId="0" xfId="31" applyNumberFormat="1" applyFont="1" applyFill="1" applyBorder="1" applyAlignment="1">
      <alignment horizontal="right" vertical="center"/>
    </xf>
    <xf numFmtId="5" fontId="1" fillId="11" borderId="0" xfId="19" applyNumberFormat="1" applyFont="1" applyFill="1" applyBorder="1" applyAlignment="1">
      <alignment vertical="center"/>
    </xf>
    <xf numFmtId="5" fontId="1" fillId="11" borderId="6" xfId="19" applyNumberFormat="1" applyFont="1" applyFill="1" applyBorder="1" applyAlignment="1">
      <alignment vertical="center"/>
    </xf>
    <xf numFmtId="180" fontId="2" fillId="2" borderId="4" xfId="0" applyNumberFormat="1" applyFont="1" applyFill="1" applyBorder="1" applyAlignment="1">
      <alignment horizontal="center" vertical="center"/>
    </xf>
    <xf numFmtId="180" fontId="2" fillId="2" borderId="1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12" fillId="0" borderId="0" xfId="0" applyNumberFormat="1" applyFont="1" applyFill="1" applyBorder="1" applyAlignment="1">
      <alignment vertical="center"/>
    </xf>
    <xf numFmtId="44" fontId="12" fillId="0" borderId="6" xfId="19" applyFont="1" applyFill="1" applyBorder="1" applyAlignment="1">
      <alignment vertical="center"/>
    </xf>
    <xf numFmtId="44" fontId="2" fillId="6" borderId="6" xfId="19" applyNumberFormat="1" applyFont="1" applyFill="1" applyBorder="1" applyAlignment="1">
      <alignment vertical="center"/>
    </xf>
    <xf numFmtId="169" fontId="12" fillId="6" borderId="11" xfId="19" applyNumberFormat="1" applyFont="1" applyFill="1" applyBorder="1" applyAlignment="1">
      <alignment vertical="center"/>
    </xf>
    <xf numFmtId="3" fontId="12" fillId="0" borderId="4" xfId="31" applyNumberFormat="1" applyFont="1" applyFill="1" applyBorder="1" applyAlignment="1">
      <alignment horizontal="right" vertical="center"/>
    </xf>
    <xf numFmtId="3" fontId="12" fillId="0" borderId="11" xfId="31" applyNumberFormat="1" applyFont="1" applyFill="1" applyBorder="1" applyAlignment="1">
      <alignment horizontal="right" vertical="center"/>
    </xf>
    <xf numFmtId="179" fontId="12" fillId="0" borderId="1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</cellXfs>
  <cellStyles count="44">
    <cellStyle name="$" xfId="2"/>
    <cellStyle name="$_CCA-Request_H11bps" xfId="3"/>
    <cellStyle name="$_CCA-Request_H11bps July 9" xfId="4"/>
    <cellStyle name="$comma" xfId="5"/>
    <cellStyle name="_Comma" xfId="6"/>
    <cellStyle name="_Currency" xfId="7"/>
    <cellStyle name="_CurrencySpace" xfId="8"/>
    <cellStyle name="_Multiple" xfId="9"/>
    <cellStyle name="_MultipleSpace" xfId="10"/>
    <cellStyle name="_Percent" xfId="11"/>
    <cellStyle name="_PercentSpace" xfId="12"/>
    <cellStyle name="_PercentSpace_AR Analysis 061207" xfId="13"/>
    <cellStyle name="_PercentSpace_RMDx BP050513a 051212a" xfId="14"/>
    <cellStyle name="Comma" xfId="17" builtinId="3"/>
    <cellStyle name="comma zerodec" xfId="18"/>
    <cellStyle name="Currency" xfId="19" builtinId="4"/>
    <cellStyle name="Currency1" xfId="20"/>
    <cellStyle name="Dollar (zero dec)" xfId="21"/>
    <cellStyle name="Grey" xfId="22"/>
    <cellStyle name="Header1" xfId="23"/>
    <cellStyle name="Header2" xfId="24"/>
    <cellStyle name="Input [yellow]" xfId="25"/>
    <cellStyle name="multiple" xfId="26"/>
    <cellStyle name="Normal" xfId="0" builtinId="0"/>
    <cellStyle name="Normal - Style1" xfId="27"/>
    <cellStyle name="Normal 2" xfId="43"/>
    <cellStyle name="Number" xfId="28"/>
    <cellStyle name="OH01" xfId="29"/>
    <cellStyle name="OHnplode" xfId="30"/>
    <cellStyle name="Percent" xfId="31" builtinId="5"/>
    <cellStyle name="Percent [2]" xfId="32"/>
    <cellStyle name="PSChar" xfId="33"/>
    <cellStyle name="PSDate" xfId="34"/>
    <cellStyle name="PSDec" xfId="35"/>
    <cellStyle name="PSHeading" xfId="36"/>
    <cellStyle name="PSInt" xfId="37"/>
    <cellStyle name="PSSpacer" xfId="38"/>
    <cellStyle name="ShOut" xfId="39"/>
    <cellStyle name="Style 1" xfId="1"/>
    <cellStyle name="Style 2" xfId="15"/>
    <cellStyle name="Style 3" xfId="16"/>
    <cellStyle name="x" xfId="40"/>
    <cellStyle name="x_CCA-Request_H11bps" xfId="41"/>
    <cellStyle name="x_CCA-Request_H11bps July 9" xfId="42"/>
  </cellStyles>
  <dxfs count="0"/>
  <tableStyles count="0" defaultTableStyle="TableStyleMedium2" defaultPivotStyle="PivotStyleLight16"/>
  <colors>
    <mruColors>
      <color rgb="FF99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abSelected="1" view="pageBreakPreview" zoomScale="60" zoomScaleNormal="100" workbookViewId="0">
      <pane ySplit="5" topLeftCell="A6" activePane="bottomLeft" state="frozen"/>
      <selection pane="bottomLeft" activeCell="K14" sqref="K14"/>
    </sheetView>
  </sheetViews>
  <sheetFormatPr defaultColWidth="9.140625" defaultRowHeight="12.75" x14ac:dyDescent="0.2"/>
  <cols>
    <col min="1" max="1" width="3.42578125" style="1" customWidth="1"/>
    <col min="2" max="2" width="53.5703125" style="3" customWidth="1"/>
    <col min="3" max="3" width="47.140625" style="3" customWidth="1"/>
    <col min="4" max="4" width="34.28515625" style="3" customWidth="1"/>
    <col min="5" max="5" width="1.42578125" style="3" customWidth="1"/>
    <col min="6" max="6" width="16.5703125" style="3" bestFit="1" customWidth="1"/>
    <col min="7" max="7" width="25" style="3" bestFit="1" customWidth="1"/>
    <col min="8" max="8" width="19" style="3" customWidth="1"/>
    <col min="9" max="9" width="16.28515625" style="3" bestFit="1" customWidth="1"/>
    <col min="10" max="10" width="18" style="3" customWidth="1"/>
    <col min="11" max="11" width="18.28515625" style="3" customWidth="1"/>
    <col min="12" max="12" width="16.28515625" style="3" bestFit="1" customWidth="1"/>
    <col min="13" max="13" width="19.7109375" style="3" customWidth="1"/>
    <col min="14" max="17" width="15.85546875" style="3" bestFit="1" customWidth="1"/>
    <col min="18" max="18" width="20.140625" style="3" customWidth="1"/>
    <col min="19" max="19" width="14" style="3" bestFit="1" customWidth="1"/>
    <col min="20" max="20" width="17" style="3" customWidth="1"/>
    <col min="21" max="24" width="12.28515625" style="3" bestFit="1" customWidth="1"/>
    <col min="25" max="25" width="11.28515625" style="3" bestFit="1" customWidth="1"/>
    <col min="26" max="26" width="12.28515625" style="3" bestFit="1" customWidth="1"/>
    <col min="27" max="16384" width="9.140625" style="3"/>
  </cols>
  <sheetData>
    <row r="1" spans="1:26" s="30" customFormat="1" ht="13.5" thickBot="1" x14ac:dyDescent="0.25">
      <c r="A1" s="31"/>
    </row>
    <row r="2" spans="1:26" s="30" customFormat="1" ht="18.75" thickBot="1" x14ac:dyDescent="0.25">
      <c r="A2" s="31"/>
      <c r="B2" s="155" t="s">
        <v>74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</row>
    <row r="3" spans="1:26" s="30" customFormat="1" x14ac:dyDescent="0.2">
      <c r="A3" s="31"/>
      <c r="F3" s="32"/>
      <c r="G3" s="31" t="s">
        <v>16</v>
      </c>
    </row>
    <row r="4" spans="1:26" s="30" customFormat="1" ht="13.5" thickBot="1" x14ac:dyDescent="0.25">
      <c r="A4" s="31"/>
    </row>
    <row r="5" spans="1:26" s="30" customFormat="1" ht="13.5" thickBot="1" x14ac:dyDescent="0.25">
      <c r="A5" s="31">
        <v>1</v>
      </c>
      <c r="B5" s="33" t="s">
        <v>26</v>
      </c>
      <c r="C5" s="18" t="s">
        <v>27</v>
      </c>
      <c r="D5" s="18" t="s">
        <v>28</v>
      </c>
      <c r="E5" s="34"/>
      <c r="F5" s="18" t="s">
        <v>1</v>
      </c>
      <c r="G5" s="18" t="s">
        <v>2</v>
      </c>
      <c r="H5" s="18" t="s">
        <v>3</v>
      </c>
      <c r="I5" s="18" t="s">
        <v>4</v>
      </c>
      <c r="J5" s="18" t="s">
        <v>5</v>
      </c>
      <c r="K5" s="18" t="s">
        <v>6</v>
      </c>
      <c r="L5" s="18" t="s">
        <v>11</v>
      </c>
      <c r="M5" s="18" t="s">
        <v>12</v>
      </c>
      <c r="N5" s="18" t="s">
        <v>9</v>
      </c>
      <c r="O5" s="18" t="s">
        <v>10</v>
      </c>
      <c r="P5" s="18" t="s">
        <v>17</v>
      </c>
      <c r="Q5" s="18" t="s">
        <v>7</v>
      </c>
      <c r="R5" s="35" t="s">
        <v>8</v>
      </c>
    </row>
    <row r="6" spans="1:26" s="30" customFormat="1" x14ac:dyDescent="0.2">
      <c r="A6" s="31">
        <v>2</v>
      </c>
      <c r="B6" s="36" t="s">
        <v>25</v>
      </c>
      <c r="C6" s="37">
        <f>SUM(F6:R6)</f>
        <v>1300516.414313321</v>
      </c>
      <c r="D6" s="38" t="s">
        <v>50</v>
      </c>
      <c r="E6" s="39"/>
      <c r="F6" s="117">
        <v>225944.18649169474</v>
      </c>
      <c r="G6" s="117">
        <v>446101.51280686347</v>
      </c>
      <c r="H6" s="117">
        <v>328410.3530898749</v>
      </c>
      <c r="I6" s="117">
        <v>149484.64840405117</v>
      </c>
      <c r="J6" s="117">
        <v>88483.899806478017</v>
      </c>
      <c r="K6" s="117">
        <v>5405.649614848262</v>
      </c>
      <c r="L6" s="117">
        <v>18073.874182670519</v>
      </c>
      <c r="M6" s="117">
        <v>1744.2364648136806</v>
      </c>
      <c r="N6" s="117">
        <v>5323.2219730404177</v>
      </c>
      <c r="O6" s="117">
        <v>23986.843457437422</v>
      </c>
      <c r="P6" s="117">
        <v>5597.258733734303</v>
      </c>
      <c r="Q6" s="117">
        <v>1152.4825649576753</v>
      </c>
      <c r="R6" s="118">
        <v>808.24672285681027</v>
      </c>
    </row>
    <row r="7" spans="1:26" s="30" customFormat="1" x14ac:dyDescent="0.2">
      <c r="A7" s="31">
        <v>3</v>
      </c>
      <c r="B7" s="40" t="s">
        <v>18</v>
      </c>
      <c r="C7" s="16">
        <f>SUM(F7:R7)</f>
        <v>33957468360.674995</v>
      </c>
      <c r="D7" s="41" t="s">
        <v>50</v>
      </c>
      <c r="E7" s="42"/>
      <c r="F7" s="119">
        <v>2047262888.9178183</v>
      </c>
      <c r="G7" s="119">
        <v>4924068302.5766611</v>
      </c>
      <c r="H7" s="119">
        <v>4539367305.8441782</v>
      </c>
      <c r="I7" s="119">
        <v>631921216.02545369</v>
      </c>
      <c r="J7" s="119">
        <v>2104034979.8355508</v>
      </c>
      <c r="K7" s="119">
        <v>2341979037.7935677</v>
      </c>
      <c r="L7" s="119">
        <v>598366765.3653512</v>
      </c>
      <c r="M7" s="119">
        <v>1057526027.8163953</v>
      </c>
      <c r="N7" s="119">
        <v>121367847.68686539</v>
      </c>
      <c r="O7" s="119">
        <v>20385578.156035043</v>
      </c>
      <c r="P7" s="119">
        <v>24437189.604035661</v>
      </c>
      <c r="Q7" s="119">
        <v>18368070.328334279</v>
      </c>
      <c r="R7" s="120">
        <v>15528383150.724745</v>
      </c>
      <c r="S7" s="43"/>
      <c r="T7" s="43"/>
      <c r="U7" s="43"/>
      <c r="V7" s="43"/>
      <c r="W7" s="43"/>
      <c r="X7" s="43"/>
      <c r="Y7" s="43"/>
      <c r="Z7" s="43"/>
    </row>
    <row r="8" spans="1:26" s="30" customFormat="1" x14ac:dyDescent="0.2">
      <c r="A8" s="41">
        <v>4</v>
      </c>
      <c r="B8" s="40" t="s">
        <v>23</v>
      </c>
      <c r="C8" s="16">
        <f t="shared" ref="C8" si="0">SUM(F8:R8)</f>
        <v>23305622358.776493</v>
      </c>
      <c r="D8" s="41" t="s">
        <v>50</v>
      </c>
      <c r="E8" s="42"/>
      <c r="F8" s="119">
        <v>2047262888.9178183</v>
      </c>
      <c r="G8" s="119">
        <v>4924068302.5766611</v>
      </c>
      <c r="H8" s="119">
        <v>4539367305.8441782</v>
      </c>
      <c r="I8" s="119">
        <v>631921216.02545369</v>
      </c>
      <c r="J8" s="119">
        <v>2104034979.8355508</v>
      </c>
      <c r="K8" s="119">
        <v>2341979037.7935677</v>
      </c>
      <c r="L8" s="119">
        <v>598366765.3653512</v>
      </c>
      <c r="M8" s="119">
        <v>1057526027.8163953</v>
      </c>
      <c r="N8" s="119">
        <v>121367847.68686539</v>
      </c>
      <c r="O8" s="119">
        <v>20385578.156035043</v>
      </c>
      <c r="P8" s="119">
        <v>24437189.604035661</v>
      </c>
      <c r="Q8" s="119">
        <v>18368070.328334279</v>
      </c>
      <c r="R8" s="120">
        <v>4876537148.8262444</v>
      </c>
      <c r="S8" s="43"/>
      <c r="T8" s="43"/>
      <c r="U8" s="43"/>
      <c r="V8" s="43"/>
      <c r="W8" s="43"/>
      <c r="X8" s="43"/>
      <c r="Y8" s="43"/>
      <c r="Z8" s="43"/>
    </row>
    <row r="9" spans="1:26" s="31" customFormat="1" ht="25.5" x14ac:dyDescent="0.2">
      <c r="A9" s="31">
        <v>5</v>
      </c>
      <c r="B9" s="17" t="s">
        <v>64</v>
      </c>
      <c r="C9" s="16">
        <f>SUM(F9:R9)</f>
        <v>6176870307.2695389</v>
      </c>
      <c r="D9" s="41" t="s">
        <v>50</v>
      </c>
      <c r="E9" s="42"/>
      <c r="F9" s="119">
        <v>151476981.15102941</v>
      </c>
      <c r="G9" s="119">
        <v>264914874.67862439</v>
      </c>
      <c r="H9" s="119">
        <v>300960052.377469</v>
      </c>
      <c r="I9" s="119">
        <v>6976410.2249210095</v>
      </c>
      <c r="J9" s="119">
        <v>438144244.20095509</v>
      </c>
      <c r="K9" s="119">
        <v>1987871807.2791803</v>
      </c>
      <c r="L9" s="119">
        <v>134076041.11541423</v>
      </c>
      <c r="M9" s="119">
        <v>555201164.60360754</v>
      </c>
      <c r="N9" s="119">
        <v>66266844.837028511</v>
      </c>
      <c r="O9" s="119">
        <v>2003494.6211751241</v>
      </c>
      <c r="P9" s="119">
        <v>1601124.6628564165</v>
      </c>
      <c r="Q9" s="119">
        <v>19488522.618362669</v>
      </c>
      <c r="R9" s="120">
        <v>2247888744.8989143</v>
      </c>
      <c r="S9" s="44"/>
      <c r="T9" s="44"/>
      <c r="U9" s="44"/>
      <c r="V9" s="44"/>
      <c r="W9" s="44"/>
      <c r="X9" s="44"/>
      <c r="Y9" s="44"/>
      <c r="Z9" s="44"/>
    </row>
    <row r="10" spans="1:26" s="31" customFormat="1" x14ac:dyDescent="0.2">
      <c r="A10" s="31">
        <v>6</v>
      </c>
      <c r="B10" s="40" t="s">
        <v>13</v>
      </c>
      <c r="C10" s="16">
        <f t="shared" ref="C10" si="1">SUM(F10:R10)</f>
        <v>41020926.039763048</v>
      </c>
      <c r="D10" s="41" t="s">
        <v>50</v>
      </c>
      <c r="E10" s="42"/>
      <c r="F10" s="119">
        <v>0</v>
      </c>
      <c r="G10" s="119">
        <v>0</v>
      </c>
      <c r="H10" s="119">
        <v>0</v>
      </c>
      <c r="I10" s="119">
        <v>0</v>
      </c>
      <c r="J10" s="119">
        <v>0</v>
      </c>
      <c r="K10" s="119">
        <v>8025918.0344505152</v>
      </c>
      <c r="L10" s="119">
        <v>0</v>
      </c>
      <c r="M10" s="119">
        <v>2832322.4440301014</v>
      </c>
      <c r="N10" s="119">
        <v>0</v>
      </c>
      <c r="O10" s="119">
        <v>0</v>
      </c>
      <c r="P10" s="119">
        <v>0</v>
      </c>
      <c r="Q10" s="119">
        <v>184739.19535572777</v>
      </c>
      <c r="R10" s="120">
        <v>29977946.365926702</v>
      </c>
      <c r="S10" s="44"/>
      <c r="T10" s="44"/>
      <c r="U10" s="44"/>
      <c r="V10" s="44"/>
      <c r="W10" s="44"/>
      <c r="X10" s="44"/>
      <c r="Y10" s="44"/>
      <c r="Z10" s="44"/>
    </row>
    <row r="11" spans="1:26" s="30" customFormat="1" ht="25.5" x14ac:dyDescent="0.2">
      <c r="A11" s="31">
        <v>8</v>
      </c>
      <c r="B11" s="40" t="s">
        <v>0</v>
      </c>
      <c r="C11" s="45">
        <f>SUM(F11:R11)</f>
        <v>1.0000000000000002</v>
      </c>
      <c r="D11" s="24" t="s">
        <v>51</v>
      </c>
      <c r="E11" s="42"/>
      <c r="F11" s="113">
        <v>7.5688818546435263E-2</v>
      </c>
      <c r="G11" s="113">
        <v>0.22524086207252861</v>
      </c>
      <c r="H11" s="113">
        <v>0.37426554852185095</v>
      </c>
      <c r="I11" s="113">
        <v>7.2679909240056378E-2</v>
      </c>
      <c r="J11" s="113">
        <v>0.10328765104018764</v>
      </c>
      <c r="K11" s="113">
        <v>6.9273745706094819E-2</v>
      </c>
      <c r="L11" s="113">
        <v>1.4707254360476775E-2</v>
      </c>
      <c r="M11" s="113">
        <v>1.4698827115132389E-2</v>
      </c>
      <c r="N11" s="113">
        <v>9.8154758773093959E-3</v>
      </c>
      <c r="O11" s="113">
        <v>3.8527003584887332E-3</v>
      </c>
      <c r="P11" s="113">
        <v>2.6149553624728013E-3</v>
      </c>
      <c r="Q11" s="113">
        <v>3.0175587629154912E-3</v>
      </c>
      <c r="R11" s="114">
        <v>3.0856693036050983E-2</v>
      </c>
    </row>
    <row r="12" spans="1:26" s="30" customFormat="1" ht="25.5" x14ac:dyDescent="0.2">
      <c r="A12" s="41">
        <v>8</v>
      </c>
      <c r="B12" s="40" t="s">
        <v>19</v>
      </c>
      <c r="C12" s="45">
        <f>SUM(F12:R12)</f>
        <v>0.99999999999999989</v>
      </c>
      <c r="D12" s="24" t="s">
        <v>51</v>
      </c>
      <c r="E12" s="42"/>
      <c r="F12" s="113">
        <v>4.9799055310343024E-2</v>
      </c>
      <c r="G12" s="113">
        <v>0.18492220213594329</v>
      </c>
      <c r="H12" s="113">
        <v>0.38062755156004274</v>
      </c>
      <c r="I12" s="113">
        <v>6.8207142070576293E-2</v>
      </c>
      <c r="J12" s="113">
        <v>0.10876322183057416</v>
      </c>
      <c r="K12" s="113">
        <v>0.11588725231270747</v>
      </c>
      <c r="L12" s="113">
        <v>1.4929725247515813E-2</v>
      </c>
      <c r="M12" s="113">
        <v>2.3987455954422063E-2</v>
      </c>
      <c r="N12" s="113">
        <v>8.8286722562201572E-3</v>
      </c>
      <c r="O12" s="113">
        <v>3.2443444334696392E-3</v>
      </c>
      <c r="P12" s="113">
        <v>1.6149459193206791E-3</v>
      </c>
      <c r="Q12" s="113">
        <v>1.0532926343709145E-3</v>
      </c>
      <c r="R12" s="114">
        <v>3.8135138334493592E-2</v>
      </c>
    </row>
    <row r="13" spans="1:26" s="30" customFormat="1" x14ac:dyDescent="0.2">
      <c r="A13" s="31">
        <v>9</v>
      </c>
      <c r="B13" s="19" t="s">
        <v>40</v>
      </c>
      <c r="C13" s="105">
        <f t="shared" ref="C13:C15" si="2">SUM(F13:R13)</f>
        <v>1452123598.2657275</v>
      </c>
      <c r="D13" s="41" t="s">
        <v>50</v>
      </c>
      <c r="E13" s="42"/>
      <c r="F13" s="115">
        <v>91429001.832549155</v>
      </c>
      <c r="G13" s="115">
        <v>311034449.58528769</v>
      </c>
      <c r="H13" s="115">
        <v>514470306.09221357</v>
      </c>
      <c r="I13" s="115">
        <v>111219384.77132031</v>
      </c>
      <c r="J13" s="115">
        <v>155943148.2188924</v>
      </c>
      <c r="K13" s="115">
        <v>141234146.86387476</v>
      </c>
      <c r="L13" s="115">
        <v>21929437.40899206</v>
      </c>
      <c r="M13" s="115">
        <v>29300516.497063532</v>
      </c>
      <c r="N13" s="115">
        <v>12150056.413123721</v>
      </c>
      <c r="O13" s="115">
        <v>3299513.409150342</v>
      </c>
      <c r="P13" s="115">
        <v>3058396.6744609852</v>
      </c>
      <c r="Q13" s="115">
        <v>3858079.6504283892</v>
      </c>
      <c r="R13" s="116">
        <v>53197160.848370813</v>
      </c>
    </row>
    <row r="14" spans="1:26" s="30" customFormat="1" x14ac:dyDescent="0.2">
      <c r="A14" s="31">
        <v>10</v>
      </c>
      <c r="B14" s="19" t="s">
        <v>31</v>
      </c>
      <c r="C14" s="105">
        <f t="shared" si="2"/>
        <v>761797105.31570923</v>
      </c>
      <c r="D14" s="41" t="s">
        <v>50</v>
      </c>
      <c r="E14" s="42"/>
      <c r="F14" s="115">
        <v>75267509.474296629</v>
      </c>
      <c r="G14" s="115">
        <v>202487555.80575907</v>
      </c>
      <c r="H14" s="115">
        <v>349557087.65246546</v>
      </c>
      <c r="I14" s="115">
        <v>72769594.569543153</v>
      </c>
      <c r="J14" s="115">
        <v>31517992.34235511</v>
      </c>
      <c r="K14" s="115">
        <v>6677125.2157383813</v>
      </c>
      <c r="L14" s="115">
        <v>5199672.9703823328</v>
      </c>
      <c r="M14" s="115">
        <v>2116806.366024564</v>
      </c>
      <c r="N14" s="115">
        <v>260915.00647733704</v>
      </c>
      <c r="O14" s="115">
        <v>893471.89104810404</v>
      </c>
      <c r="P14" s="115">
        <v>2357352.3360712393</v>
      </c>
      <c r="Q14" s="115">
        <v>2738713.4680628213</v>
      </c>
      <c r="R14" s="116">
        <v>9953308.2174849715</v>
      </c>
    </row>
    <row r="15" spans="1:26" s="30" customFormat="1" x14ac:dyDescent="0.2">
      <c r="A15" s="31">
        <v>11</v>
      </c>
      <c r="B15" s="19" t="s">
        <v>32</v>
      </c>
      <c r="C15" s="105">
        <f t="shared" si="2"/>
        <v>690326492.95001864</v>
      </c>
      <c r="D15" s="41" t="s">
        <v>50</v>
      </c>
      <c r="E15" s="42"/>
      <c r="F15" s="115">
        <v>16161492.358252525</v>
      </c>
      <c r="G15" s="115">
        <v>108546893.77952862</v>
      </c>
      <c r="H15" s="115">
        <v>164913218.43974814</v>
      </c>
      <c r="I15" s="115">
        <v>38449790.201777153</v>
      </c>
      <c r="J15" s="115">
        <v>124425155.87653731</v>
      </c>
      <c r="K15" s="115">
        <v>134557021.64813638</v>
      </c>
      <c r="L15" s="115">
        <v>16729764.438609727</v>
      </c>
      <c r="M15" s="115">
        <v>27183710.131038968</v>
      </c>
      <c r="N15" s="115">
        <v>11889141.406646384</v>
      </c>
      <c r="O15" s="115">
        <v>2406041.5181022384</v>
      </c>
      <c r="P15" s="115">
        <v>701044.33838974603</v>
      </c>
      <c r="Q15" s="115">
        <v>1119366.1823655681</v>
      </c>
      <c r="R15" s="116">
        <v>43243852.630885839</v>
      </c>
    </row>
    <row r="16" spans="1:26" s="30" customFormat="1" ht="13.5" thickBot="1" x14ac:dyDescent="0.25">
      <c r="A16" s="41">
        <v>12</v>
      </c>
      <c r="B16" s="46" t="s">
        <v>81</v>
      </c>
      <c r="C16" s="139">
        <f>SUM(F16:R16)</f>
        <v>20605500406.14563</v>
      </c>
      <c r="D16" s="47" t="s">
        <v>50</v>
      </c>
      <c r="E16" s="48"/>
      <c r="F16" s="152">
        <f>F8</f>
        <v>2047262888.9178183</v>
      </c>
      <c r="G16" s="152">
        <f>G8</f>
        <v>4924068302.5766611</v>
      </c>
      <c r="H16" s="152">
        <f>H8</f>
        <v>4539367305.8441782</v>
      </c>
      <c r="I16" s="152">
        <f>I8</f>
        <v>631921216.02545369</v>
      </c>
      <c r="J16" s="152">
        <f>J8</f>
        <v>2104034979.8355508</v>
      </c>
      <c r="K16" s="152">
        <f t="shared" ref="K16:Q16" si="3">K8</f>
        <v>2341979037.7935677</v>
      </c>
      <c r="L16" s="152">
        <f t="shared" si="3"/>
        <v>598366765.3653512</v>
      </c>
      <c r="M16" s="152">
        <f t="shared" si="3"/>
        <v>1057526027.8163953</v>
      </c>
      <c r="N16" s="152">
        <f t="shared" si="3"/>
        <v>121367847.68686539</v>
      </c>
      <c r="O16" s="152">
        <f t="shared" si="3"/>
        <v>20385578.156035043</v>
      </c>
      <c r="P16" s="152">
        <f t="shared" si="3"/>
        <v>24437189.604035661</v>
      </c>
      <c r="Q16" s="152">
        <f t="shared" si="3"/>
        <v>18368070.328334279</v>
      </c>
      <c r="R16" s="153">
        <v>2176415196.1953807</v>
      </c>
    </row>
    <row r="17" spans="1:26" s="30" customFormat="1" ht="13.5" thickBot="1" x14ac:dyDescent="0.25">
      <c r="A17" s="31">
        <v>13</v>
      </c>
      <c r="B17" s="31"/>
      <c r="C17" s="49"/>
      <c r="D17" s="31"/>
      <c r="E17" s="3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26" s="31" customFormat="1" ht="13.5" thickBot="1" x14ac:dyDescent="0.25">
      <c r="A18" s="31">
        <v>14</v>
      </c>
      <c r="B18" s="51" t="s">
        <v>30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52"/>
    </row>
    <row r="19" spans="1:26" s="30" customFormat="1" ht="26.25" thickBot="1" x14ac:dyDescent="0.25">
      <c r="A19" s="31">
        <v>15</v>
      </c>
      <c r="B19" s="53"/>
      <c r="C19" s="147" t="s">
        <v>78</v>
      </c>
      <c r="D19" s="146" t="s">
        <v>14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52"/>
      <c r="S19" s="54"/>
      <c r="T19" s="54"/>
    </row>
    <row r="20" spans="1:26" s="30" customFormat="1" x14ac:dyDescent="0.2">
      <c r="A20" s="41">
        <v>16</v>
      </c>
      <c r="B20" s="100" t="s">
        <v>52</v>
      </c>
      <c r="C20" s="124">
        <v>-57762252.664019994</v>
      </c>
      <c r="D20" s="39" t="s">
        <v>21</v>
      </c>
      <c r="E20" s="39"/>
      <c r="F20" s="55">
        <f t="shared" ref="F20:R20" si="4">F8/$C$8*$C$20</f>
        <v>-5074076.7373161316</v>
      </c>
      <c r="G20" s="55">
        <f t="shared" si="4"/>
        <v>-12204148.554789206</v>
      </c>
      <c r="H20" s="55">
        <f t="shared" si="4"/>
        <v>-11250679.223171297</v>
      </c>
      <c r="I20" s="55">
        <f t="shared" si="4"/>
        <v>-1566196.8765262901</v>
      </c>
      <c r="J20" s="55">
        <f t="shared" si="4"/>
        <v>-5214784.5806584852</v>
      </c>
      <c r="K20" s="55">
        <f t="shared" si="4"/>
        <v>-5804521.4511908172</v>
      </c>
      <c r="L20" s="55">
        <f t="shared" si="4"/>
        <v>-1483033.2249750006</v>
      </c>
      <c r="M20" s="55">
        <f t="shared" si="4"/>
        <v>-2621045.0284115449</v>
      </c>
      <c r="N20" s="55">
        <f t="shared" si="4"/>
        <v>-300806.39664775948</v>
      </c>
      <c r="O20" s="55">
        <f t="shared" si="4"/>
        <v>-50525.014866534577</v>
      </c>
      <c r="P20" s="55">
        <f t="shared" si="4"/>
        <v>-60566.806523203893</v>
      </c>
      <c r="Q20" s="55">
        <f t="shared" si="4"/>
        <v>-45524.68511342656</v>
      </c>
      <c r="R20" s="56">
        <f t="shared" si="4"/>
        <v>-12086344.08383029</v>
      </c>
      <c r="S20" s="57"/>
      <c r="T20" s="58"/>
    </row>
    <row r="21" spans="1:26" s="30" customFormat="1" x14ac:dyDescent="0.2">
      <c r="A21" s="31">
        <v>17</v>
      </c>
      <c r="B21" s="104" t="s">
        <v>53</v>
      </c>
      <c r="C21" s="124">
        <v>16165238.746419998</v>
      </c>
      <c r="D21" s="42" t="s">
        <v>22</v>
      </c>
      <c r="E21" s="42"/>
      <c r="F21" s="59">
        <f t="shared" ref="F21:R21" si="5">F7/$C$7*$C$21</f>
        <v>974586.59239649551</v>
      </c>
      <c r="G21" s="59">
        <f t="shared" si="5"/>
        <v>2344071.6742892242</v>
      </c>
      <c r="H21" s="59">
        <f t="shared" si="5"/>
        <v>2160937.1899362006</v>
      </c>
      <c r="I21" s="59">
        <f t="shared" si="5"/>
        <v>300822.11127992498</v>
      </c>
      <c r="J21" s="59">
        <f t="shared" si="5"/>
        <v>1001612.5883886293</v>
      </c>
      <c r="K21" s="59">
        <f t="shared" si="5"/>
        <v>1114884.3571886187</v>
      </c>
      <c r="L21" s="59">
        <f t="shared" si="5"/>
        <v>284848.72656925325</v>
      </c>
      <c r="M21" s="59">
        <f t="shared" si="5"/>
        <v>503428.59893532452</v>
      </c>
      <c r="N21" s="59">
        <f t="shared" si="5"/>
        <v>57776.39879271372</v>
      </c>
      <c r="O21" s="59">
        <f t="shared" si="5"/>
        <v>9704.425971216906</v>
      </c>
      <c r="P21" s="59">
        <f t="shared" si="5"/>
        <v>11633.170059822352</v>
      </c>
      <c r="Q21" s="59">
        <f t="shared" si="5"/>
        <v>8744.0040881379355</v>
      </c>
      <c r="R21" s="60">
        <f t="shared" si="5"/>
        <v>7392188.9085244341</v>
      </c>
      <c r="S21" s="57"/>
      <c r="T21" s="58"/>
    </row>
    <row r="22" spans="1:26" s="30" customFormat="1" x14ac:dyDescent="0.2">
      <c r="A22" s="31">
        <v>18</v>
      </c>
      <c r="B22" s="104" t="s">
        <v>54</v>
      </c>
      <c r="C22" s="124">
        <v>54180168.555139996</v>
      </c>
      <c r="D22" s="42" t="s">
        <v>22</v>
      </c>
      <c r="E22" s="42"/>
      <c r="F22" s="59">
        <f t="shared" ref="F22:R22" si="6">F7/$C$7*$C$22</f>
        <v>3266469.9034720794</v>
      </c>
      <c r="G22" s="59">
        <f t="shared" si="6"/>
        <v>7856500.0128096268</v>
      </c>
      <c r="H22" s="59">
        <f t="shared" si="6"/>
        <v>7242697.92883466</v>
      </c>
      <c r="I22" s="59">
        <f t="shared" si="6"/>
        <v>1008249.4264347906</v>
      </c>
      <c r="J22" s="59">
        <f t="shared" si="6"/>
        <v>3357051.4928438184</v>
      </c>
      <c r="K22" s="59">
        <f t="shared" si="6"/>
        <v>3736698.4391335179</v>
      </c>
      <c r="L22" s="59">
        <f t="shared" si="6"/>
        <v>954712.28481899144</v>
      </c>
      <c r="M22" s="59">
        <f t="shared" si="6"/>
        <v>1687314.7853652607</v>
      </c>
      <c r="N22" s="59">
        <f t="shared" si="6"/>
        <v>193646.07440712681</v>
      </c>
      <c r="O22" s="59">
        <f t="shared" si="6"/>
        <v>32525.806955239223</v>
      </c>
      <c r="P22" s="59">
        <f t="shared" si="6"/>
        <v>38990.275650049916</v>
      </c>
      <c r="Q22" s="59">
        <f t="shared" si="6"/>
        <v>29306.812152531002</v>
      </c>
      <c r="R22" s="60">
        <f t="shared" si="6"/>
        <v>24776005.312262297</v>
      </c>
      <c r="S22" s="57"/>
      <c r="T22" s="58"/>
    </row>
    <row r="23" spans="1:26" s="30" customFormat="1" x14ac:dyDescent="0.2">
      <c r="A23" s="31">
        <v>19</v>
      </c>
      <c r="B23" s="104" t="s">
        <v>55</v>
      </c>
      <c r="C23" s="124">
        <v>4632820.3295600004</v>
      </c>
      <c r="D23" s="42" t="s">
        <v>18</v>
      </c>
      <c r="E23" s="42"/>
      <c r="F23" s="59">
        <f t="shared" ref="F23:R23" si="7">F7/$C$7*$C$23</f>
        <v>279308.2520461391</v>
      </c>
      <c r="G23" s="59">
        <f t="shared" si="7"/>
        <v>671791.06210218393</v>
      </c>
      <c r="H23" s="59">
        <f t="shared" si="7"/>
        <v>619306.27202495281</v>
      </c>
      <c r="I23" s="59">
        <f t="shared" si="7"/>
        <v>86213.065861921787</v>
      </c>
      <c r="J23" s="59">
        <f t="shared" si="7"/>
        <v>287053.67329373391</v>
      </c>
      <c r="K23" s="59">
        <f t="shared" si="7"/>
        <v>319516.4015895364</v>
      </c>
      <c r="L23" s="59">
        <f t="shared" si="7"/>
        <v>81635.229271919568</v>
      </c>
      <c r="M23" s="59">
        <f t="shared" si="7"/>
        <v>144278.36694623495</v>
      </c>
      <c r="N23" s="59">
        <f t="shared" si="7"/>
        <v>16558.225900308986</v>
      </c>
      <c r="O23" s="59">
        <f t="shared" si="7"/>
        <v>2781.2061814503331</v>
      </c>
      <c r="P23" s="59">
        <f t="shared" si="7"/>
        <v>3333.9678798316131</v>
      </c>
      <c r="Q23" s="59">
        <f t="shared" si="7"/>
        <v>2505.9574149656478</v>
      </c>
      <c r="R23" s="60">
        <f t="shared" si="7"/>
        <v>2118538.6490468211</v>
      </c>
      <c r="S23" s="57"/>
      <c r="T23" s="58"/>
    </row>
    <row r="24" spans="1:26" s="31" customFormat="1" x14ac:dyDescent="0.2">
      <c r="A24" s="41">
        <v>20</v>
      </c>
      <c r="B24" s="104" t="s">
        <v>56</v>
      </c>
      <c r="C24" s="124">
        <v>59709075.468106471</v>
      </c>
      <c r="D24" s="41" t="s">
        <v>64</v>
      </c>
      <c r="E24" s="42"/>
      <c r="F24" s="59">
        <f t="shared" ref="F24:R24" si="8">F9/$C$9*$C$24</f>
        <v>1464261.0333882605</v>
      </c>
      <c r="G24" s="59">
        <f t="shared" si="8"/>
        <v>2560815.0176302078</v>
      </c>
      <c r="H24" s="59">
        <f t="shared" si="8"/>
        <v>2909247.82071961</v>
      </c>
      <c r="I24" s="59">
        <f t="shared" si="8"/>
        <v>67437.874505157728</v>
      </c>
      <c r="J24" s="59">
        <f t="shared" si="8"/>
        <v>4235346.7762019029</v>
      </c>
      <c r="K24" s="59">
        <f t="shared" si="8"/>
        <v>19215878.245341044</v>
      </c>
      <c r="L24" s="59">
        <f t="shared" si="8"/>
        <v>1296053.8361965446</v>
      </c>
      <c r="M24" s="59">
        <f t="shared" si="8"/>
        <v>5366884.2938603768</v>
      </c>
      <c r="N24" s="59">
        <f t="shared" si="8"/>
        <v>640572.30321814783</v>
      </c>
      <c r="O24" s="59">
        <f t="shared" si="8"/>
        <v>19366.897082961652</v>
      </c>
      <c r="P24" s="59">
        <f t="shared" si="8"/>
        <v>15477.364518375431</v>
      </c>
      <c r="Q24" s="59">
        <f t="shared" si="8"/>
        <v>188386.93543755167</v>
      </c>
      <c r="R24" s="60">
        <f t="shared" si="8"/>
        <v>21729347.070006326</v>
      </c>
      <c r="S24" s="57"/>
      <c r="T24" s="58"/>
    </row>
    <row r="25" spans="1:26" s="31" customFormat="1" x14ac:dyDescent="0.2">
      <c r="A25" s="31">
        <v>21</v>
      </c>
      <c r="B25" s="104" t="s">
        <v>57</v>
      </c>
      <c r="C25" s="124">
        <v>27987497.173039999</v>
      </c>
      <c r="D25" s="42" t="s">
        <v>21</v>
      </c>
      <c r="E25" s="42"/>
      <c r="F25" s="59">
        <f t="shared" ref="F25:R25" si="9">F7/$C$7*$C$25</f>
        <v>1687339.1063042779</v>
      </c>
      <c r="G25" s="59">
        <f t="shared" si="9"/>
        <v>4058381.0970377293</v>
      </c>
      <c r="H25" s="59">
        <f t="shared" si="9"/>
        <v>3741313.347930003</v>
      </c>
      <c r="I25" s="59">
        <f t="shared" si="9"/>
        <v>520824.84651823522</v>
      </c>
      <c r="J25" s="59">
        <f t="shared" si="9"/>
        <v>1734130.2486000231</v>
      </c>
      <c r="K25" s="59">
        <f t="shared" si="9"/>
        <v>1930242.0016526671</v>
      </c>
      <c r="L25" s="59">
        <f t="shared" si="9"/>
        <v>493169.51358770166</v>
      </c>
      <c r="M25" s="59">
        <f t="shared" si="9"/>
        <v>871605.22096527845</v>
      </c>
      <c r="N25" s="59">
        <f t="shared" si="9"/>
        <v>100030.49279044</v>
      </c>
      <c r="O25" s="59">
        <f t="shared" si="9"/>
        <v>16801.644485180215</v>
      </c>
      <c r="P25" s="59">
        <f t="shared" si="9"/>
        <v>20140.953020868703</v>
      </c>
      <c r="Q25" s="59">
        <f t="shared" si="9"/>
        <v>15138.829282803368</v>
      </c>
      <c r="R25" s="60">
        <f t="shared" si="9"/>
        <v>12798379.870864788</v>
      </c>
      <c r="S25" s="57"/>
      <c r="T25" s="58"/>
    </row>
    <row r="26" spans="1:26" s="31" customFormat="1" x14ac:dyDescent="0.2">
      <c r="A26" s="41">
        <v>22</v>
      </c>
      <c r="B26" s="104" t="s">
        <v>75</v>
      </c>
      <c r="C26" s="124">
        <v>6100000</v>
      </c>
      <c r="D26" s="41" t="s">
        <v>81</v>
      </c>
      <c r="E26" s="42"/>
      <c r="F26" s="59">
        <f>F16/$C$16*$C$26</f>
        <v>606066.50536252116</v>
      </c>
      <c r="G26" s="59">
        <f t="shared" ref="G26:R26" si="10">G16/$C$16*$C$26</f>
        <v>1457708.6726202045</v>
      </c>
      <c r="H26" s="59">
        <f t="shared" si="10"/>
        <v>1343822.7667303265</v>
      </c>
      <c r="I26" s="59">
        <f t="shared" si="10"/>
        <v>187072.35164284531</v>
      </c>
      <c r="J26" s="59">
        <f t="shared" si="10"/>
        <v>622873.1709504571</v>
      </c>
      <c r="K26" s="141">
        <f t="shared" si="10"/>
        <v>693313.52546429366</v>
      </c>
      <c r="L26" s="140">
        <f t="shared" si="10"/>
        <v>177138.97730142053</v>
      </c>
      <c r="M26" s="141">
        <f t="shared" si="10"/>
        <v>313067.31904244435</v>
      </c>
      <c r="N26" s="140">
        <f t="shared" si="10"/>
        <v>35929.429341549498</v>
      </c>
      <c r="O26" s="140">
        <f t="shared" si="10"/>
        <v>6034.8947757039441</v>
      </c>
      <c r="P26" s="140">
        <f t="shared" si="10"/>
        <v>7234.3235372317404</v>
      </c>
      <c r="Q26" s="141">
        <f t="shared" si="10"/>
        <v>5437.6368830829952</v>
      </c>
      <c r="R26" s="60">
        <f t="shared" si="10"/>
        <v>644300.42634791776</v>
      </c>
      <c r="S26" s="57"/>
      <c r="T26" s="58"/>
    </row>
    <row r="27" spans="1:26" s="30" customFormat="1" x14ac:dyDescent="0.2">
      <c r="A27" s="31">
        <v>23</v>
      </c>
      <c r="B27" s="19" t="s">
        <v>58</v>
      </c>
      <c r="C27" s="124">
        <v>39859.346000700003</v>
      </c>
      <c r="D27" s="42" t="s">
        <v>20</v>
      </c>
      <c r="E27" s="42"/>
      <c r="F27" s="59">
        <f t="shared" ref="F27:R27" si="11">F6/$C$6*$C$27</f>
        <v>6924.931824850788</v>
      </c>
      <c r="G27" s="59">
        <f t="shared" si="11"/>
        <v>13672.502980128163</v>
      </c>
      <c r="H27" s="59">
        <f t="shared" si="11"/>
        <v>10065.403058317477</v>
      </c>
      <c r="I27" s="59">
        <f t="shared" si="11"/>
        <v>4581.534117488326</v>
      </c>
      <c r="J27" s="59">
        <f t="shared" si="11"/>
        <v>2711.9306908093931</v>
      </c>
      <c r="K27" s="141">
        <f t="shared" si="11"/>
        <v>165.67700029419046</v>
      </c>
      <c r="L27" s="141">
        <f t="shared" si="11"/>
        <v>553.94364630189204</v>
      </c>
      <c r="M27" s="141">
        <f t="shared" si="11"/>
        <v>53.458859875102284</v>
      </c>
      <c r="N27" s="141">
        <f t="shared" si="11"/>
        <v>163.15068700919019</v>
      </c>
      <c r="O27" s="141">
        <f t="shared" si="11"/>
        <v>735.16941601959775</v>
      </c>
      <c r="P27" s="141">
        <f t="shared" si="11"/>
        <v>171.54960142594976</v>
      </c>
      <c r="Q27" s="141">
        <f t="shared" si="11"/>
        <v>35.322277220681805</v>
      </c>
      <c r="R27" s="142">
        <f t="shared" si="11"/>
        <v>24.771840959263699</v>
      </c>
      <c r="S27" s="57"/>
      <c r="T27" s="58"/>
    </row>
    <row r="28" spans="1:26" s="31" customFormat="1" x14ac:dyDescent="0.2">
      <c r="A28" s="41">
        <v>24</v>
      </c>
      <c r="B28" s="19" t="s">
        <v>62</v>
      </c>
      <c r="C28" s="124">
        <v>-1277879.575251</v>
      </c>
      <c r="D28" s="42" t="s">
        <v>0</v>
      </c>
      <c r="E28" s="42"/>
      <c r="F28" s="59">
        <f>+$C28*F$11</f>
        <v>-96721.1952953687</v>
      </c>
      <c r="G28" s="59">
        <f t="shared" ref="G28:R28" si="12">+$C28*G$11</f>
        <v>-287830.69715441193</v>
      </c>
      <c r="H28" s="59">
        <f t="shared" si="12"/>
        <v>-478266.30017618544</v>
      </c>
      <c r="I28" s="59">
        <f t="shared" si="12"/>
        <v>-92876.17154896447</v>
      </c>
      <c r="J28" s="59">
        <f t="shared" si="12"/>
        <v>-131989.17963990849</v>
      </c>
      <c r="K28" s="59">
        <f t="shared" si="12"/>
        <v>-88523.504738950229</v>
      </c>
      <c r="L28" s="59">
        <f t="shared" si="12"/>
        <v>-18794.09995527448</v>
      </c>
      <c r="M28" s="59">
        <f t="shared" si="12"/>
        <v>-18783.330950573258</v>
      </c>
      <c r="N28" s="59">
        <f t="shared" si="12"/>
        <v>-12542.996144982568</v>
      </c>
      <c r="O28" s="59">
        <f t="shared" si="12"/>
        <v>-4923.2870976749582</v>
      </c>
      <c r="P28" s="59">
        <f t="shared" si="12"/>
        <v>-3341.5980478970682</v>
      </c>
      <c r="Q28" s="59">
        <f t="shared" si="12"/>
        <v>-3856.076710249381</v>
      </c>
      <c r="R28" s="60">
        <f t="shared" si="12"/>
        <v>-39431.137790559318</v>
      </c>
      <c r="S28" s="57"/>
      <c r="T28" s="58"/>
      <c r="U28" s="62"/>
      <c r="V28" s="62"/>
      <c r="W28" s="62"/>
      <c r="X28" s="62"/>
      <c r="Y28" s="62"/>
      <c r="Z28" s="62"/>
    </row>
    <row r="29" spans="1:26" s="31" customFormat="1" x14ac:dyDescent="0.2">
      <c r="A29" s="31">
        <v>25</v>
      </c>
      <c r="B29" s="19" t="s">
        <v>63</v>
      </c>
      <c r="C29" s="124">
        <v>9718062.0964033492</v>
      </c>
      <c r="D29" s="41" t="s">
        <v>65</v>
      </c>
      <c r="E29" s="42"/>
      <c r="F29" s="59">
        <f t="shared" ref="F29:R29" si="13">F13/$C$13*$C$29</f>
        <v>611871.27478820656</v>
      </c>
      <c r="G29" s="59">
        <f t="shared" si="13"/>
        <v>2081539.1326195779</v>
      </c>
      <c r="H29" s="59">
        <f t="shared" si="13"/>
        <v>3442995.0641466482</v>
      </c>
      <c r="I29" s="59">
        <f t="shared" si="13"/>
        <v>744314.66358808044</v>
      </c>
      <c r="J29" s="59">
        <f t="shared" si="13"/>
        <v>1043619.9781545793</v>
      </c>
      <c r="K29" s="59">
        <f t="shared" si="13"/>
        <v>945182.77300561045</v>
      </c>
      <c r="L29" s="59">
        <f t="shared" si="13"/>
        <v>146758.60562716206</v>
      </c>
      <c r="M29" s="59">
        <f t="shared" si="13"/>
        <v>196088.15607378355</v>
      </c>
      <c r="N29" s="59">
        <f t="shared" si="13"/>
        <v>81311.950882526216</v>
      </c>
      <c r="O29" s="59">
        <f t="shared" si="13"/>
        <v>22081.368442971139</v>
      </c>
      <c r="P29" s="59">
        <f t="shared" si="13"/>
        <v>20467.740372336069</v>
      </c>
      <c r="Q29" s="59">
        <f t="shared" si="13"/>
        <v>25819.467199976094</v>
      </c>
      <c r="R29" s="60">
        <f t="shared" si="13"/>
        <v>356011.92150189303</v>
      </c>
      <c r="S29" s="57"/>
      <c r="T29" s="58"/>
      <c r="U29" s="62"/>
      <c r="V29" s="62"/>
      <c r="W29" s="62"/>
      <c r="X29" s="62"/>
      <c r="Y29" s="62"/>
      <c r="Z29" s="62"/>
    </row>
    <row r="30" spans="1:26" s="31" customFormat="1" x14ac:dyDescent="0.2">
      <c r="A30" s="41">
        <v>26</v>
      </c>
      <c r="B30" s="19" t="s">
        <v>70</v>
      </c>
      <c r="C30" s="124">
        <v>2361557.6022890997</v>
      </c>
      <c r="D30" s="41" t="s">
        <v>65</v>
      </c>
      <c r="E30" s="42"/>
      <c r="F30" s="59">
        <f t="shared" ref="F30:R30" si="14">F7/$C$7*$C$30</f>
        <v>142376.02131751247</v>
      </c>
      <c r="G30" s="59">
        <f t="shared" si="14"/>
        <v>342442.22244810336</v>
      </c>
      <c r="H30" s="59">
        <f t="shared" si="14"/>
        <v>315688.35629435064</v>
      </c>
      <c r="I30" s="59">
        <f t="shared" si="14"/>
        <v>43946.690486528918</v>
      </c>
      <c r="J30" s="59">
        <f t="shared" si="14"/>
        <v>146324.21208016312</v>
      </c>
      <c r="K30" s="59">
        <f t="shared" si="14"/>
        <v>162871.92974338599</v>
      </c>
      <c r="L30" s="59">
        <f t="shared" si="14"/>
        <v>41613.16057772201</v>
      </c>
      <c r="M30" s="59">
        <f t="shared" si="14"/>
        <v>73545.194950415302</v>
      </c>
      <c r="N30" s="59">
        <f t="shared" si="14"/>
        <v>8440.4750181643176</v>
      </c>
      <c r="O30" s="59">
        <f t="shared" si="14"/>
        <v>1417.7063071991099</v>
      </c>
      <c r="P30" s="59">
        <f t="shared" si="14"/>
        <v>1699.4738911344282</v>
      </c>
      <c r="Q30" s="59">
        <f t="shared" si="14"/>
        <v>1277.3995888778447</v>
      </c>
      <c r="R30" s="60">
        <f t="shared" si="14"/>
        <v>1079914.7595855419</v>
      </c>
      <c r="S30" s="57"/>
      <c r="T30" s="58"/>
      <c r="U30" s="62"/>
      <c r="V30" s="62"/>
      <c r="W30" s="62"/>
      <c r="X30" s="62"/>
      <c r="Y30" s="62"/>
      <c r="Z30" s="62"/>
    </row>
    <row r="31" spans="1:26" s="31" customFormat="1" x14ac:dyDescent="0.2">
      <c r="A31" s="31">
        <v>27</v>
      </c>
      <c r="B31" s="19" t="s">
        <v>61</v>
      </c>
      <c r="C31" s="124">
        <v>-4402763.8948197784</v>
      </c>
      <c r="D31" s="42" t="s">
        <v>19</v>
      </c>
      <c r="E31" s="42"/>
      <c r="F31" s="59">
        <f>+$C31*F$12</f>
        <v>-219253.48271651141</v>
      </c>
      <c r="G31" s="59">
        <f t="shared" ref="G31:R31" si="15">+$C31*G$12</f>
        <v>-814168.79491469602</v>
      </c>
      <c r="H31" s="59">
        <f t="shared" si="15"/>
        <v>-1675813.2413822098</v>
      </c>
      <c r="I31" s="59">
        <f t="shared" si="15"/>
        <v>-300299.94247717643</v>
      </c>
      <c r="J31" s="59">
        <f t="shared" si="15"/>
        <v>-478858.78615992621</v>
      </c>
      <c r="K31" s="59">
        <f t="shared" si="15"/>
        <v>-510224.21035225829</v>
      </c>
      <c r="L31" s="59">
        <f t="shared" si="15"/>
        <v>-65732.055279341905</v>
      </c>
      <c r="M31" s="59">
        <f t="shared" si="15"/>
        <v>-105611.10500470917</v>
      </c>
      <c r="N31" s="59">
        <f t="shared" si="15"/>
        <v>-38870.559448883178</v>
      </c>
      <c r="O31" s="59">
        <f t="shared" si="15"/>
        <v>-14284.082534039657</v>
      </c>
      <c r="P31" s="59">
        <f t="shared" si="15"/>
        <v>-7110.2255856716201</v>
      </c>
      <c r="Q31" s="59">
        <f t="shared" si="15"/>
        <v>-4637.3987812878722</v>
      </c>
      <c r="R31" s="60">
        <f t="shared" si="15"/>
        <v>-167900.01018306604</v>
      </c>
      <c r="S31" s="57"/>
      <c r="T31" s="58"/>
      <c r="U31" s="62"/>
      <c r="V31" s="62"/>
      <c r="W31" s="62"/>
      <c r="X31" s="62"/>
      <c r="Y31" s="62"/>
      <c r="Z31" s="62"/>
    </row>
    <row r="32" spans="1:26" s="31" customFormat="1" x14ac:dyDescent="0.2">
      <c r="A32" s="41">
        <v>28</v>
      </c>
      <c r="B32" s="19" t="s">
        <v>60</v>
      </c>
      <c r="C32" s="124">
        <v>-808408.17320040008</v>
      </c>
      <c r="D32" s="41" t="s">
        <v>0</v>
      </c>
      <c r="E32" s="42"/>
      <c r="F32" s="59">
        <f t="shared" ref="F32:R32" si="16">$C$32*F11</f>
        <v>-61187.459532820292</v>
      </c>
      <c r="G32" s="59">
        <f t="shared" si="16"/>
        <v>-182086.55383813614</v>
      </c>
      <c r="H32" s="59">
        <f t="shared" si="16"/>
        <v>-302559.32837239525</v>
      </c>
      <c r="I32" s="59">
        <f t="shared" si="16"/>
        <v>-58755.032657124852</v>
      </c>
      <c r="J32" s="59">
        <f t="shared" si="16"/>
        <v>-83498.581291558497</v>
      </c>
      <c r="K32" s="59">
        <f t="shared" si="16"/>
        <v>-56001.46221701317</v>
      </c>
      <c r="L32" s="59">
        <f t="shared" si="16"/>
        <v>-11889.464630346647</v>
      </c>
      <c r="M32" s="59">
        <f t="shared" si="16"/>
        <v>-11882.651976332681</v>
      </c>
      <c r="N32" s="59">
        <f t="shared" si="16"/>
        <v>-7934.9109230682834</v>
      </c>
      <c r="O32" s="59">
        <f t="shared" si="16"/>
        <v>-3114.5544586944034</v>
      </c>
      <c r="P32" s="59">
        <f t="shared" si="16"/>
        <v>-2113.9512875772275</v>
      </c>
      <c r="Q32" s="59">
        <f t="shared" si="16"/>
        <v>-2439.4191670533714</v>
      </c>
      <c r="R32" s="60">
        <f t="shared" si="16"/>
        <v>-24944.802848279483</v>
      </c>
      <c r="S32" s="57"/>
      <c r="T32" s="58"/>
      <c r="U32" s="62"/>
      <c r="V32" s="62"/>
      <c r="W32" s="62"/>
      <c r="X32" s="62"/>
      <c r="Y32" s="62"/>
      <c r="Z32" s="62"/>
    </row>
    <row r="33" spans="1:26" s="31" customFormat="1" x14ac:dyDescent="0.2">
      <c r="A33" s="31">
        <v>29</v>
      </c>
      <c r="B33" s="19" t="s">
        <v>59</v>
      </c>
      <c r="C33" s="124">
        <v>7992068.2797878468</v>
      </c>
      <c r="D33" s="41" t="s">
        <v>65</v>
      </c>
      <c r="E33" s="42"/>
      <c r="F33" s="59">
        <f t="shared" ref="F33:R33" si="17">F13/$C$13*$C$33</f>
        <v>503198.78161284945</v>
      </c>
      <c r="G33" s="59">
        <f t="shared" si="17"/>
        <v>1711843.6484474554</v>
      </c>
      <c r="H33" s="59">
        <f t="shared" si="17"/>
        <v>2831495.7618779214</v>
      </c>
      <c r="I33" s="59">
        <f t="shared" si="17"/>
        <v>612119.32523510419</v>
      </c>
      <c r="J33" s="59">
        <f t="shared" si="17"/>
        <v>858265.98356980877</v>
      </c>
      <c r="K33" s="59">
        <f t="shared" si="17"/>
        <v>777311.89447078912</v>
      </c>
      <c r="L33" s="59">
        <f t="shared" si="17"/>
        <v>120693.28073678678</v>
      </c>
      <c r="M33" s="59">
        <f t="shared" si="17"/>
        <v>161261.56806297583</v>
      </c>
      <c r="N33" s="59">
        <f t="shared" si="17"/>
        <v>66870.396275448235</v>
      </c>
      <c r="O33" s="59">
        <f t="shared" si="17"/>
        <v>18159.567468980429</v>
      </c>
      <c r="P33" s="59">
        <f t="shared" si="17"/>
        <v>16832.5307006652</v>
      </c>
      <c r="Q33" s="59">
        <f t="shared" si="17"/>
        <v>21233.754504030396</v>
      </c>
      <c r="R33" s="60">
        <f t="shared" si="17"/>
        <v>292781.78682503314</v>
      </c>
      <c r="S33" s="57"/>
      <c r="T33" s="58"/>
      <c r="U33" s="62"/>
      <c r="V33" s="62"/>
      <c r="W33" s="62"/>
      <c r="X33" s="62"/>
      <c r="Y33" s="62"/>
      <c r="Z33" s="62"/>
    </row>
    <row r="34" spans="1:26" s="135" customFormat="1" hidden="1" x14ac:dyDescent="0.2">
      <c r="A34" s="41">
        <v>30</v>
      </c>
      <c r="B34" s="136" t="s">
        <v>72</v>
      </c>
      <c r="C34" s="128">
        <v>0</v>
      </c>
      <c r="D34" s="127" t="s">
        <v>0</v>
      </c>
      <c r="E34" s="129"/>
      <c r="F34" s="130">
        <f t="shared" ref="F34:R34" si="18">$C$34*F11</f>
        <v>0</v>
      </c>
      <c r="G34" s="130">
        <f t="shared" si="18"/>
        <v>0</v>
      </c>
      <c r="H34" s="130">
        <f t="shared" si="18"/>
        <v>0</v>
      </c>
      <c r="I34" s="130">
        <f t="shared" si="18"/>
        <v>0</v>
      </c>
      <c r="J34" s="130">
        <f t="shared" si="18"/>
        <v>0</v>
      </c>
      <c r="K34" s="130">
        <f t="shared" si="18"/>
        <v>0</v>
      </c>
      <c r="L34" s="130">
        <f t="shared" si="18"/>
        <v>0</v>
      </c>
      <c r="M34" s="130">
        <f t="shared" si="18"/>
        <v>0</v>
      </c>
      <c r="N34" s="130">
        <f t="shared" si="18"/>
        <v>0</v>
      </c>
      <c r="O34" s="130">
        <f t="shared" si="18"/>
        <v>0</v>
      </c>
      <c r="P34" s="130">
        <f t="shared" si="18"/>
        <v>0</v>
      </c>
      <c r="Q34" s="130">
        <f t="shared" si="18"/>
        <v>0</v>
      </c>
      <c r="R34" s="131">
        <f t="shared" si="18"/>
        <v>0</v>
      </c>
      <c r="S34" s="132"/>
      <c r="T34" s="133"/>
      <c r="U34" s="134"/>
      <c r="V34" s="134"/>
      <c r="W34" s="134"/>
      <c r="X34" s="134"/>
      <c r="Y34" s="134"/>
      <c r="Z34" s="134"/>
    </row>
    <row r="35" spans="1:26" s="31" customFormat="1" x14ac:dyDescent="0.2">
      <c r="A35" s="31">
        <v>30</v>
      </c>
      <c r="B35" s="19" t="s">
        <v>71</v>
      </c>
      <c r="C35" s="124">
        <v>-2277688.6728033428</v>
      </c>
      <c r="D35" s="41" t="s">
        <v>65</v>
      </c>
      <c r="E35" s="42"/>
      <c r="F35" s="59">
        <f t="shared" ref="F35:R35" si="19">F13/$C$13*$C$35</f>
        <v>-143408.45509874134</v>
      </c>
      <c r="G35" s="59">
        <f t="shared" si="19"/>
        <v>-487864.56161040446</v>
      </c>
      <c r="H35" s="59">
        <f t="shared" si="19"/>
        <v>-806958.29892124131</v>
      </c>
      <c r="I35" s="59">
        <f t="shared" si="19"/>
        <v>-174450.11787725022</v>
      </c>
      <c r="J35" s="59">
        <f t="shared" si="19"/>
        <v>-244600.35132248222</v>
      </c>
      <c r="K35" s="59">
        <f t="shared" si="19"/>
        <v>-221528.95036557692</v>
      </c>
      <c r="L35" s="59">
        <f t="shared" si="19"/>
        <v>-34396.818044321131</v>
      </c>
      <c r="M35" s="59">
        <f t="shared" si="19"/>
        <v>-45958.522134309838</v>
      </c>
      <c r="N35" s="59">
        <f t="shared" si="19"/>
        <v>-19057.637999371851</v>
      </c>
      <c r="O35" s="59">
        <f t="shared" si="19"/>
        <v>-5175.3613306470352</v>
      </c>
      <c r="P35" s="59">
        <f t="shared" si="19"/>
        <v>-4797.1642845545575</v>
      </c>
      <c r="Q35" s="59">
        <f t="shared" si="19"/>
        <v>-6051.4851001999741</v>
      </c>
      <c r="R35" s="60">
        <f t="shared" si="19"/>
        <v>-83440.948714242375</v>
      </c>
      <c r="S35" s="57"/>
      <c r="T35" s="58"/>
      <c r="U35" s="62"/>
      <c r="V35" s="62"/>
      <c r="W35" s="62"/>
      <c r="X35" s="62"/>
      <c r="Y35" s="62"/>
      <c r="Z35" s="62"/>
    </row>
    <row r="36" spans="1:26" s="135" customFormat="1" hidden="1" x14ac:dyDescent="0.2">
      <c r="A36" s="41">
        <v>32</v>
      </c>
      <c r="B36" s="136" t="s">
        <v>72</v>
      </c>
      <c r="C36" s="128">
        <v>0</v>
      </c>
      <c r="D36" s="127" t="s">
        <v>43</v>
      </c>
      <c r="E36" s="129"/>
      <c r="F36" s="130">
        <f t="shared" ref="F36:M36" si="20">F6/($C$6-$N$6-$O$6-$P$6)*$C$36</f>
        <v>0</v>
      </c>
      <c r="G36" s="130">
        <f t="shared" si="20"/>
        <v>0</v>
      </c>
      <c r="H36" s="130">
        <f t="shared" si="20"/>
        <v>0</v>
      </c>
      <c r="I36" s="130">
        <f t="shared" si="20"/>
        <v>0</v>
      </c>
      <c r="J36" s="130">
        <f t="shared" si="20"/>
        <v>0</v>
      </c>
      <c r="K36" s="130">
        <f t="shared" si="20"/>
        <v>0</v>
      </c>
      <c r="L36" s="130">
        <f t="shared" si="20"/>
        <v>0</v>
      </c>
      <c r="M36" s="130">
        <f t="shared" si="20"/>
        <v>0</v>
      </c>
      <c r="N36" s="130">
        <v>0</v>
      </c>
      <c r="O36" s="130">
        <v>0</v>
      </c>
      <c r="P36" s="130">
        <v>0</v>
      </c>
      <c r="Q36" s="130">
        <f>Q6/($C$6-$N$6-$O$6-$P$6)*$C$36</f>
        <v>0</v>
      </c>
      <c r="R36" s="131">
        <f>R6/($C$6-$N$6-$O$6-$P$6)*$C$36</f>
        <v>0</v>
      </c>
      <c r="S36" s="132"/>
      <c r="T36" s="133"/>
      <c r="U36" s="134"/>
      <c r="V36" s="134"/>
      <c r="W36" s="134"/>
      <c r="X36" s="134"/>
      <c r="Y36" s="134"/>
      <c r="Z36" s="134"/>
    </row>
    <row r="37" spans="1:26" s="31" customFormat="1" x14ac:dyDescent="0.2">
      <c r="A37" s="31">
        <v>31</v>
      </c>
      <c r="B37" s="19" t="s">
        <v>69</v>
      </c>
      <c r="C37" s="124">
        <v>301686.00445764005</v>
      </c>
      <c r="D37" s="41" t="s">
        <v>83</v>
      </c>
      <c r="E37" s="42"/>
      <c r="F37" s="59">
        <f>F6/(SUM($F$6:$J$6,$L$6))*$C$37</f>
        <v>54249.328766561011</v>
      </c>
      <c r="G37" s="59">
        <f t="shared" ref="G37:L37" si="21">G6/(SUM($F$6:$J$6,$L$6))*$C$37</f>
        <v>107109.2290856943</v>
      </c>
      <c r="H37" s="59">
        <f t="shared" si="21"/>
        <v>78851.514136080208</v>
      </c>
      <c r="I37" s="59">
        <f t="shared" si="21"/>
        <v>35891.34981847935</v>
      </c>
      <c r="J37" s="59">
        <f t="shared" si="21"/>
        <v>21245.035093326096</v>
      </c>
      <c r="K37" s="59">
        <v>0</v>
      </c>
      <c r="L37" s="59">
        <f t="shared" si="21"/>
        <v>4339.5475574990878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60">
        <v>0</v>
      </c>
      <c r="S37" s="57"/>
      <c r="T37" s="58"/>
      <c r="U37" s="62"/>
      <c r="V37" s="62"/>
      <c r="W37" s="62"/>
      <c r="X37" s="62"/>
      <c r="Y37" s="62"/>
      <c r="Z37" s="62"/>
    </row>
    <row r="38" spans="1:26" s="31" customFormat="1" x14ac:dyDescent="0.2">
      <c r="A38" s="41">
        <v>32</v>
      </c>
      <c r="B38" s="19" t="s">
        <v>68</v>
      </c>
      <c r="C38" s="124">
        <v>-12120205.98927024</v>
      </c>
      <c r="D38" s="41" t="s">
        <v>65</v>
      </c>
      <c r="E38" s="42"/>
      <c r="F38" s="59">
        <f t="shared" ref="F38:R38" si="22">F13/$C$13*$C$38</f>
        <v>-763115.71337819495</v>
      </c>
      <c r="G38" s="59">
        <f t="shared" si="22"/>
        <v>-2596061.1088720369</v>
      </c>
      <c r="H38" s="59">
        <f t="shared" si="22"/>
        <v>-4294046.3832745282</v>
      </c>
      <c r="I38" s="59">
        <f t="shared" si="22"/>
        <v>-928296.91290619306</v>
      </c>
      <c r="J38" s="59">
        <f t="shared" si="22"/>
        <v>-1301585.5408489886</v>
      </c>
      <c r="K38" s="59">
        <f t="shared" si="22"/>
        <v>-1178816.2899861941</v>
      </c>
      <c r="L38" s="59">
        <f t="shared" si="22"/>
        <v>-183034.90070902009</v>
      </c>
      <c r="M38" s="59">
        <f t="shared" si="22"/>
        <v>-244557.89848780842</v>
      </c>
      <c r="N38" s="59">
        <f t="shared" si="22"/>
        <v>-101410.91755838662</v>
      </c>
      <c r="O38" s="59">
        <f t="shared" si="22"/>
        <v>-27539.516767734145</v>
      </c>
      <c r="P38" s="59">
        <f t="shared" si="22"/>
        <v>-25527.026580682967</v>
      </c>
      <c r="Q38" s="59">
        <f t="shared" si="22"/>
        <v>-32201.611585990453</v>
      </c>
      <c r="R38" s="60">
        <f t="shared" si="22"/>
        <v>-444012.16831448389</v>
      </c>
      <c r="S38" s="57"/>
      <c r="T38" s="58"/>
      <c r="U38" s="62"/>
      <c r="V38" s="62"/>
      <c r="W38" s="62"/>
      <c r="X38" s="62"/>
      <c r="Y38" s="62"/>
      <c r="Z38" s="62"/>
    </row>
    <row r="39" spans="1:26" s="31" customFormat="1" x14ac:dyDescent="0.2">
      <c r="A39" s="31">
        <v>33</v>
      </c>
      <c r="B39" s="19" t="s">
        <v>67</v>
      </c>
      <c r="C39" s="124">
        <v>630696.36912931001</v>
      </c>
      <c r="D39" s="41" t="s">
        <v>65</v>
      </c>
      <c r="E39" s="42"/>
      <c r="F39" s="59">
        <f t="shared" ref="F39:R39" si="23">F13/$C$13*$C$39</f>
        <v>39710.07671645435</v>
      </c>
      <c r="G39" s="59">
        <f t="shared" si="23"/>
        <v>135090.63433846703</v>
      </c>
      <c r="H39" s="59">
        <f t="shared" si="23"/>
        <v>223448.30320554262</v>
      </c>
      <c r="I39" s="59">
        <f t="shared" si="23"/>
        <v>48305.572773448781</v>
      </c>
      <c r="J39" s="59">
        <f t="shared" si="23"/>
        <v>67730.307178887568</v>
      </c>
      <c r="K39" s="59">
        <f t="shared" si="23"/>
        <v>61341.791931833439</v>
      </c>
      <c r="L39" s="59">
        <f t="shared" si="23"/>
        <v>9524.5449956311659</v>
      </c>
      <c r="M39" s="59">
        <f t="shared" si="23"/>
        <v>12726.003069147679</v>
      </c>
      <c r="N39" s="59">
        <f t="shared" si="23"/>
        <v>5277.0965733394478</v>
      </c>
      <c r="O39" s="59">
        <f t="shared" si="23"/>
        <v>1433.0674947572795</v>
      </c>
      <c r="P39" s="59">
        <f t="shared" si="23"/>
        <v>1328.3440061461781</v>
      </c>
      <c r="Q39" s="59">
        <f t="shared" si="23"/>
        <v>1675.6678496533818</v>
      </c>
      <c r="R39" s="60">
        <f t="shared" si="23"/>
        <v>23104.958996001202</v>
      </c>
      <c r="S39" s="57"/>
      <c r="T39" s="58"/>
      <c r="U39" s="62"/>
      <c r="V39" s="62"/>
      <c r="W39" s="62"/>
      <c r="X39" s="62"/>
      <c r="Y39" s="62"/>
      <c r="Z39" s="62"/>
    </row>
    <row r="40" spans="1:26" s="31" customFormat="1" x14ac:dyDescent="0.2">
      <c r="A40" s="41">
        <v>34</v>
      </c>
      <c r="B40" s="19"/>
      <c r="C40" s="124"/>
      <c r="D40" s="41"/>
      <c r="E40" s="42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/>
      <c r="S40" s="57"/>
      <c r="T40" s="58"/>
      <c r="U40" s="62"/>
      <c r="V40" s="62"/>
      <c r="W40" s="62"/>
      <c r="X40" s="62"/>
      <c r="Y40" s="62"/>
      <c r="Z40" s="62"/>
    </row>
    <row r="41" spans="1:26" s="31" customFormat="1" x14ac:dyDescent="0.2">
      <c r="A41" s="31">
        <v>35</v>
      </c>
      <c r="B41" s="19"/>
      <c r="C41" s="124"/>
      <c r="D41" s="41"/>
      <c r="E41" s="4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/>
      <c r="S41" s="57"/>
      <c r="T41" s="58"/>
      <c r="U41" s="62"/>
      <c r="V41" s="62"/>
      <c r="W41" s="62"/>
      <c r="X41" s="62"/>
      <c r="Y41" s="62"/>
      <c r="Z41" s="62"/>
    </row>
    <row r="42" spans="1:26" s="30" customFormat="1" ht="15.75" thickBot="1" x14ac:dyDescent="0.25">
      <c r="A42" s="41">
        <v>36</v>
      </c>
      <c r="B42" s="40"/>
      <c r="C42" s="63"/>
      <c r="D42" s="42"/>
      <c r="E42" s="42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149"/>
      <c r="S42" s="64"/>
      <c r="T42" s="64"/>
      <c r="U42" s="64"/>
      <c r="V42" s="64"/>
      <c r="W42" s="64"/>
      <c r="X42" s="64"/>
      <c r="Y42" s="64"/>
      <c r="Z42" s="64"/>
    </row>
    <row r="43" spans="1:26" s="30" customFormat="1" ht="25.5" customHeight="1" x14ac:dyDescent="0.2">
      <c r="A43" s="41">
        <v>37</v>
      </c>
      <c r="B43" s="160" t="s">
        <v>15</v>
      </c>
      <c r="C43" s="110">
        <f>SUM(C20:C39)</f>
        <v>111169531.00096966</v>
      </c>
      <c r="D43" s="42"/>
      <c r="E43" s="42"/>
      <c r="F43" s="66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67"/>
    </row>
    <row r="44" spans="1:26" s="30" customFormat="1" x14ac:dyDescent="0.2">
      <c r="A44" s="41">
        <v>38</v>
      </c>
      <c r="B44" s="161"/>
      <c r="C44" s="71"/>
      <c r="D44" s="42"/>
      <c r="E44" s="42"/>
      <c r="F44" s="68" t="s">
        <v>1</v>
      </c>
      <c r="G44" s="69" t="s">
        <v>2</v>
      </c>
      <c r="H44" s="69" t="s">
        <v>3</v>
      </c>
      <c r="I44" s="69" t="s">
        <v>4</v>
      </c>
      <c r="J44" s="69" t="s">
        <v>5</v>
      </c>
      <c r="K44" s="69" t="s">
        <v>6</v>
      </c>
      <c r="L44" s="69" t="s">
        <v>11</v>
      </c>
      <c r="M44" s="69" t="s">
        <v>12</v>
      </c>
      <c r="N44" s="69" t="s">
        <v>9</v>
      </c>
      <c r="O44" s="69" t="s">
        <v>10</v>
      </c>
      <c r="P44" s="69" t="s">
        <v>17</v>
      </c>
      <c r="Q44" s="69" t="s">
        <v>7</v>
      </c>
      <c r="R44" s="70" t="s">
        <v>8</v>
      </c>
    </row>
    <row r="45" spans="1:26" s="30" customFormat="1" ht="13.5" thickBot="1" x14ac:dyDescent="0.25">
      <c r="A45" s="41">
        <v>39</v>
      </c>
      <c r="B45" s="162"/>
      <c r="C45" s="111">
        <f>SUM(F45:R45)</f>
        <v>111169531.00096963</v>
      </c>
      <c r="D45" s="148">
        <f>D47*5</f>
        <v>111169531.00096963</v>
      </c>
      <c r="E45" s="42"/>
      <c r="F45" s="65">
        <f t="shared" ref="F45:R45" si="24">SUM(F20:F39)</f>
        <v>3278598.7646584394</v>
      </c>
      <c r="G45" s="65">
        <f t="shared" si="24"/>
        <v>6768804.6352297114</v>
      </c>
      <c r="H45" s="65">
        <f t="shared" si="24"/>
        <v>6111546.9535967549</v>
      </c>
      <c r="I45" s="65">
        <f t="shared" si="24"/>
        <v>538903.75826900615</v>
      </c>
      <c r="J45" s="65">
        <f t="shared" si="24"/>
        <v>5922648.377124791</v>
      </c>
      <c r="K45" s="65">
        <f t="shared" si="24"/>
        <v>21097791.167670783</v>
      </c>
      <c r="L45" s="65">
        <f t="shared" si="24"/>
        <v>1814161.0872936286</v>
      </c>
      <c r="M45" s="65">
        <f t="shared" si="24"/>
        <v>6282414.4291658392</v>
      </c>
      <c r="N45" s="65">
        <f t="shared" si="24"/>
        <v>725952.57516432228</v>
      </c>
      <c r="O45" s="65">
        <f t="shared" si="24"/>
        <v>25479.937526355057</v>
      </c>
      <c r="P45" s="65">
        <f t="shared" si="24"/>
        <v>33852.920928300242</v>
      </c>
      <c r="Q45" s="65">
        <f t="shared" si="24"/>
        <v>204851.11022062346</v>
      </c>
      <c r="R45" s="71">
        <f t="shared" si="24"/>
        <v>58364525.284121081</v>
      </c>
    </row>
    <row r="46" spans="1:26" s="30" customFormat="1" ht="13.5" thickBot="1" x14ac:dyDescent="0.25">
      <c r="A46" s="41">
        <v>40</v>
      </c>
      <c r="B46" s="72"/>
      <c r="C46" s="42"/>
      <c r="D46" s="65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67"/>
    </row>
    <row r="47" spans="1:26" s="30" customFormat="1" ht="13.5" thickBot="1" x14ac:dyDescent="0.25">
      <c r="A47" s="41">
        <v>41</v>
      </c>
      <c r="B47" s="73"/>
      <c r="C47" s="74" t="s">
        <v>29</v>
      </c>
      <c r="D47" s="75">
        <f>SUM(F47:R47)</f>
        <v>22233906.200193927</v>
      </c>
      <c r="E47" s="76"/>
      <c r="F47" s="126">
        <f>F45/$B$60</f>
        <v>655719.75293168786</v>
      </c>
      <c r="G47" s="126">
        <f t="shared" ref="G47:R47" si="25">G45/$B$60</f>
        <v>1353760.9270459423</v>
      </c>
      <c r="H47" s="126">
        <f t="shared" si="25"/>
        <v>1222309.3907193509</v>
      </c>
      <c r="I47" s="126">
        <f t="shared" si="25"/>
        <v>107780.75165380123</v>
      </c>
      <c r="J47" s="126">
        <f t="shared" si="25"/>
        <v>1184529.6754249581</v>
      </c>
      <c r="K47" s="126">
        <f t="shared" si="25"/>
        <v>4219558.2335341563</v>
      </c>
      <c r="L47" s="126">
        <f t="shared" si="25"/>
        <v>362832.21745872573</v>
      </c>
      <c r="M47" s="126">
        <f t="shared" si="25"/>
        <v>1256482.8858331679</v>
      </c>
      <c r="N47" s="126">
        <f t="shared" si="25"/>
        <v>145190.51503286447</v>
      </c>
      <c r="O47" s="126">
        <f t="shared" si="25"/>
        <v>5095.9875052710113</v>
      </c>
      <c r="P47" s="126">
        <f t="shared" si="25"/>
        <v>6770.5841856600482</v>
      </c>
      <c r="Q47" s="126">
        <f t="shared" si="25"/>
        <v>40970.22204412469</v>
      </c>
      <c r="R47" s="150">
        <f t="shared" si="25"/>
        <v>11672905.056824217</v>
      </c>
    </row>
    <row r="48" spans="1:26" s="30" customFormat="1" x14ac:dyDescent="0.2">
      <c r="A48" s="41">
        <v>42</v>
      </c>
      <c r="B48" s="21"/>
      <c r="C48" s="77"/>
      <c r="D48" s="78"/>
      <c r="E48" s="76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9"/>
    </row>
    <row r="49" spans="1:18" s="30" customFormat="1" ht="25.5" x14ac:dyDescent="0.2">
      <c r="A49" s="41">
        <v>43</v>
      </c>
      <c r="B49" s="164" t="s">
        <v>66</v>
      </c>
      <c r="C49" s="80" t="s">
        <v>76</v>
      </c>
      <c r="D49" s="78">
        <f t="shared" ref="D49:D60" si="26">SUM(F49:R49)</f>
        <v>-36912.391547030973</v>
      </c>
      <c r="E49" s="76"/>
      <c r="F49" s="77">
        <f t="shared" ref="F49:R49" si="27">SUM(F28,F29,F30,F31,F32,F33,F34,F35,F38,F39)/$B$60</f>
        <v>2693.9696826772297</v>
      </c>
      <c r="G49" s="77">
        <f t="shared" si="27"/>
        <v>-19419.215707216295</v>
      </c>
      <c r="H49" s="77">
        <f t="shared" si="27"/>
        <v>-148803.21332041948</v>
      </c>
      <c r="I49" s="77">
        <f t="shared" si="27"/>
        <v>-21198.385076709346</v>
      </c>
      <c r="J49" s="77">
        <f t="shared" si="27"/>
        <v>-24918.391655885051</v>
      </c>
      <c r="K49" s="77">
        <f t="shared" si="27"/>
        <v>-21677.205701674742</v>
      </c>
      <c r="L49" s="77">
        <f t="shared" si="27"/>
        <v>948.45066379955131</v>
      </c>
      <c r="M49" s="77">
        <f t="shared" si="27"/>
        <v>3365.4827205178108</v>
      </c>
      <c r="N49" s="77">
        <f t="shared" si="27"/>
        <v>-3583.4206650428578</v>
      </c>
      <c r="O49" s="77">
        <f t="shared" si="27"/>
        <v>-2389.0184949764484</v>
      </c>
      <c r="P49" s="77">
        <f t="shared" si="27"/>
        <v>-512.37536322031212</v>
      </c>
      <c r="Q49" s="77">
        <f t="shared" si="27"/>
        <v>164.0595595513324</v>
      </c>
      <c r="R49" s="79">
        <f t="shared" si="27"/>
        <v>198416.87181156763</v>
      </c>
    </row>
    <row r="50" spans="1:18" s="30" customFormat="1" x14ac:dyDescent="0.2">
      <c r="A50" s="41">
        <v>44</v>
      </c>
      <c r="B50" s="164"/>
      <c r="C50" s="81" t="s">
        <v>45</v>
      </c>
      <c r="D50" s="78">
        <f t="shared" si="26"/>
        <v>-94869.890340039681</v>
      </c>
      <c r="E50" s="76"/>
      <c r="F50" s="77">
        <f t="shared" ref="F50:R50" si="28">F49*(F14/SUM(F14:F15))</f>
        <v>2217.7688102265793</v>
      </c>
      <c r="G50" s="77">
        <f t="shared" si="28"/>
        <v>-12642.167224440556</v>
      </c>
      <c r="H50" s="77">
        <f t="shared" si="28"/>
        <v>-101104.41218018749</v>
      </c>
      <c r="I50" s="77">
        <f t="shared" si="28"/>
        <v>-13869.865318289159</v>
      </c>
      <c r="J50" s="77">
        <f t="shared" si="28"/>
        <v>-5036.3076952350666</v>
      </c>
      <c r="K50" s="77">
        <f t="shared" si="28"/>
        <v>-1024.8330167413824</v>
      </c>
      <c r="L50" s="77">
        <f t="shared" si="28"/>
        <v>224.88644776073988</v>
      </c>
      <c r="M50" s="77">
        <f t="shared" si="28"/>
        <v>243.13821390321695</v>
      </c>
      <c r="N50" s="77">
        <f t="shared" si="28"/>
        <v>-76.951760077491258</v>
      </c>
      <c r="O50" s="77">
        <f t="shared" si="28"/>
        <v>-646.9198962901512</v>
      </c>
      <c r="P50" s="77">
        <f t="shared" si="28"/>
        <v>-394.92890818213601</v>
      </c>
      <c r="Q50" s="77">
        <f t="shared" si="28"/>
        <v>116.46004386088771</v>
      </c>
      <c r="R50" s="79">
        <f t="shared" si="28"/>
        <v>37124.242143652307</v>
      </c>
    </row>
    <row r="51" spans="1:18" s="30" customFormat="1" x14ac:dyDescent="0.2">
      <c r="A51" s="41">
        <v>45</v>
      </c>
      <c r="B51" s="164"/>
      <c r="C51" s="81" t="s">
        <v>46</v>
      </c>
      <c r="D51" s="78">
        <f t="shared" si="26"/>
        <v>57957.498793008708</v>
      </c>
      <c r="E51" s="76"/>
      <c r="F51" s="77">
        <f t="shared" ref="F51:R51" si="29">F49*(F15/SUM(F14:F15))</f>
        <v>476.20087245065048</v>
      </c>
      <c r="G51" s="77">
        <f t="shared" si="29"/>
        <v>-6777.0484827757391</v>
      </c>
      <c r="H51" s="77">
        <f t="shared" si="29"/>
        <v>-47698.801140231983</v>
      </c>
      <c r="I51" s="77">
        <f t="shared" si="29"/>
        <v>-7328.519758420186</v>
      </c>
      <c r="J51" s="77">
        <f t="shared" si="29"/>
        <v>-19882.083960649983</v>
      </c>
      <c r="K51" s="77">
        <f t="shared" si="29"/>
        <v>-20652.372684933358</v>
      </c>
      <c r="L51" s="77">
        <f t="shared" si="29"/>
        <v>723.56421603881131</v>
      </c>
      <c r="M51" s="77">
        <f t="shared" si="29"/>
        <v>3122.3445066145937</v>
      </c>
      <c r="N51" s="77">
        <f t="shared" si="29"/>
        <v>-3506.4689049653662</v>
      </c>
      <c r="O51" s="77">
        <f t="shared" si="29"/>
        <v>-1742.098598686297</v>
      </c>
      <c r="P51" s="77">
        <f t="shared" si="29"/>
        <v>-117.44645503817614</v>
      </c>
      <c r="Q51" s="77">
        <f t="shared" si="29"/>
        <v>47.599515690444704</v>
      </c>
      <c r="R51" s="79">
        <f t="shared" si="29"/>
        <v>161292.62966791532</v>
      </c>
    </row>
    <row r="52" spans="1:18" s="30" customFormat="1" x14ac:dyDescent="0.2">
      <c r="A52" s="41">
        <v>46</v>
      </c>
      <c r="B52" s="164"/>
      <c r="C52" s="82"/>
      <c r="D52" s="78"/>
      <c r="E52" s="76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9"/>
    </row>
    <row r="53" spans="1:18" s="30" customFormat="1" ht="26.45" customHeight="1" x14ac:dyDescent="0.2">
      <c r="A53" s="41">
        <v>47</v>
      </c>
      <c r="B53" s="164"/>
      <c r="C53" s="123" t="s">
        <v>77</v>
      </c>
      <c r="D53" s="78">
        <f t="shared" si="26"/>
        <v>68309.070091668007</v>
      </c>
      <c r="E53" s="76"/>
      <c r="F53" s="77">
        <f t="shared" ref="F53:R53" si="30">(F27+F36+F37)/$B$60</f>
        <v>12234.852118282361</v>
      </c>
      <c r="G53" s="77">
        <f t="shared" si="30"/>
        <v>24156.346413164494</v>
      </c>
      <c r="H53" s="77">
        <f t="shared" si="30"/>
        <v>17783.383438879537</v>
      </c>
      <c r="I53" s="77">
        <f t="shared" si="30"/>
        <v>8094.5767871935359</v>
      </c>
      <c r="J53" s="77">
        <f t="shared" si="30"/>
        <v>4791.3931568270982</v>
      </c>
      <c r="K53" s="77">
        <f t="shared" si="30"/>
        <v>33.135400058838094</v>
      </c>
      <c r="L53" s="77">
        <f t="shared" si="30"/>
        <v>978.69824076019597</v>
      </c>
      <c r="M53" s="77">
        <f t="shared" si="30"/>
        <v>10.691771975020457</v>
      </c>
      <c r="N53" s="77">
        <f t="shared" si="30"/>
        <v>32.630137401838041</v>
      </c>
      <c r="O53" s="77">
        <f t="shared" si="30"/>
        <v>147.03388320391954</v>
      </c>
      <c r="P53" s="77">
        <f t="shared" si="30"/>
        <v>34.309920285189953</v>
      </c>
      <c r="Q53" s="77">
        <f t="shared" si="30"/>
        <v>7.0644554441363612</v>
      </c>
      <c r="R53" s="79">
        <f t="shared" si="30"/>
        <v>4.9543681918527396</v>
      </c>
    </row>
    <row r="54" spans="1:18" s="30" customFormat="1" ht="25.5" x14ac:dyDescent="0.2">
      <c r="A54" s="41">
        <v>48</v>
      </c>
      <c r="B54" s="164"/>
      <c r="C54" s="80" t="s">
        <v>73</v>
      </c>
      <c r="D54" s="78">
        <f t="shared" si="26"/>
        <v>9040694.4280279987</v>
      </c>
      <c r="E54" s="76"/>
      <c r="F54" s="77">
        <f>(F20+F21+F22+F23+F25)/$B$60</f>
        <v>226725.42338057206</v>
      </c>
      <c r="G54" s="77">
        <f t="shared" ref="G54:R54" si="31">(G20+G21+G22+G23+G25)/$B$60</f>
        <v>545319.05828991183</v>
      </c>
      <c r="H54" s="77">
        <f t="shared" si="31"/>
        <v>502715.1031109037</v>
      </c>
      <c r="I54" s="77">
        <f t="shared" si="31"/>
        <v>69982.514713716489</v>
      </c>
      <c r="J54" s="77">
        <f t="shared" si="31"/>
        <v>233012.6844935439</v>
      </c>
      <c r="K54" s="77">
        <f t="shared" si="31"/>
        <v>259363.94967470458</v>
      </c>
      <c r="L54" s="77">
        <f t="shared" si="31"/>
        <v>66266.505854573072</v>
      </c>
      <c r="M54" s="77">
        <f t="shared" si="31"/>
        <v>117116.38876011079</v>
      </c>
      <c r="N54" s="77">
        <f t="shared" si="31"/>
        <v>13440.959048566005</v>
      </c>
      <c r="O54" s="77">
        <f t="shared" si="31"/>
        <v>2257.6137453104202</v>
      </c>
      <c r="P54" s="77">
        <f t="shared" si="31"/>
        <v>2706.3120174737387</v>
      </c>
      <c r="Q54" s="77">
        <f t="shared" si="31"/>
        <v>2034.1835650022792</v>
      </c>
      <c r="R54" s="79">
        <f t="shared" si="31"/>
        <v>6999753.73137361</v>
      </c>
    </row>
    <row r="55" spans="1:18" s="30" customFormat="1" x14ac:dyDescent="0.2">
      <c r="A55" s="41">
        <v>49</v>
      </c>
      <c r="B55" s="164"/>
      <c r="C55" s="80" t="s">
        <v>44</v>
      </c>
      <c r="D55" s="78">
        <f t="shared" si="26"/>
        <v>11941815.093621295</v>
      </c>
      <c r="E55" s="76"/>
      <c r="F55" s="77">
        <f t="shared" ref="F55:R55" si="32">F24/$B$60</f>
        <v>292852.20667765208</v>
      </c>
      <c r="G55" s="77">
        <f t="shared" si="32"/>
        <v>512163.00352604158</v>
      </c>
      <c r="H55" s="77">
        <f t="shared" si="32"/>
        <v>581849.56414392195</v>
      </c>
      <c r="I55" s="77">
        <f t="shared" si="32"/>
        <v>13487.574901031545</v>
      </c>
      <c r="J55" s="77">
        <f t="shared" si="32"/>
        <v>847069.35524038062</v>
      </c>
      <c r="K55" s="77">
        <f t="shared" si="32"/>
        <v>3843175.6490682089</v>
      </c>
      <c r="L55" s="77">
        <f t="shared" si="32"/>
        <v>259210.76723930892</v>
      </c>
      <c r="M55" s="77">
        <f t="shared" si="32"/>
        <v>1073376.8587720753</v>
      </c>
      <c r="N55" s="77">
        <f t="shared" si="32"/>
        <v>128114.46064362957</v>
      </c>
      <c r="O55" s="77">
        <f t="shared" si="32"/>
        <v>3873.3794165923305</v>
      </c>
      <c r="P55" s="77">
        <f t="shared" si="32"/>
        <v>3095.4729036750859</v>
      </c>
      <c r="Q55" s="77">
        <f t="shared" si="32"/>
        <v>37677.387087510331</v>
      </c>
      <c r="R55" s="79">
        <f t="shared" si="32"/>
        <v>4345869.4140012655</v>
      </c>
    </row>
    <row r="56" spans="1:18" s="30" customFormat="1" ht="25.5" x14ac:dyDescent="0.2">
      <c r="A56" s="41">
        <v>50</v>
      </c>
      <c r="B56" s="164"/>
      <c r="C56" s="80" t="s">
        <v>79</v>
      </c>
      <c r="D56" s="78">
        <f t="shared" si="26"/>
        <v>1220000</v>
      </c>
      <c r="E56" s="76"/>
      <c r="F56" s="77">
        <f>F26/$B$60</f>
        <v>121213.30107250423</v>
      </c>
      <c r="G56" s="77">
        <f t="shared" ref="G56:R56" si="33">G26/$B$60</f>
        <v>291541.73452404089</v>
      </c>
      <c r="H56" s="77">
        <f t="shared" si="33"/>
        <v>268764.55334606528</v>
      </c>
      <c r="I56" s="77">
        <f t="shared" si="33"/>
        <v>37414.470328569063</v>
      </c>
      <c r="J56" s="77">
        <f t="shared" si="33"/>
        <v>124574.63419009143</v>
      </c>
      <c r="K56" s="77">
        <f t="shared" si="33"/>
        <v>138662.70509285873</v>
      </c>
      <c r="L56" s="77">
        <f t="shared" si="33"/>
        <v>35427.795460284106</v>
      </c>
      <c r="M56" s="77">
        <f t="shared" si="33"/>
        <v>62613.463808488872</v>
      </c>
      <c r="N56" s="77">
        <f t="shared" si="33"/>
        <v>7185.8858683098997</v>
      </c>
      <c r="O56" s="77">
        <f t="shared" si="33"/>
        <v>1206.9789551407889</v>
      </c>
      <c r="P56" s="77">
        <f t="shared" si="33"/>
        <v>1446.8647074463481</v>
      </c>
      <c r="Q56" s="77">
        <f t="shared" si="33"/>
        <v>1087.527376616599</v>
      </c>
      <c r="R56" s="79">
        <f t="shared" si="33"/>
        <v>128860.08526958355</v>
      </c>
    </row>
    <row r="57" spans="1:18" s="30" customFormat="1" ht="27" customHeight="1" x14ac:dyDescent="0.2">
      <c r="A57" s="41">
        <v>51</v>
      </c>
      <c r="B57" s="164"/>
      <c r="C57" s="25" t="s">
        <v>47</v>
      </c>
      <c r="D57" s="26">
        <f t="shared" si="26"/>
        <v>-26560.820248371696</v>
      </c>
      <c r="E57" s="27"/>
      <c r="F57" s="28">
        <f>F50+F53</f>
        <v>14452.620928508939</v>
      </c>
      <c r="G57" s="28">
        <f t="shared" ref="G57:Q57" si="34">G50+G53</f>
        <v>11514.179188723938</v>
      </c>
      <c r="H57" s="28">
        <f t="shared" si="34"/>
        <v>-83321.02874130795</v>
      </c>
      <c r="I57" s="28">
        <f t="shared" si="34"/>
        <v>-5775.2885310956235</v>
      </c>
      <c r="J57" s="28">
        <f t="shared" si="34"/>
        <v>-244.91453840796839</v>
      </c>
      <c r="K57" s="28">
        <f t="shared" si="34"/>
        <v>-991.69761668254432</v>
      </c>
      <c r="L57" s="28">
        <f t="shared" si="34"/>
        <v>1203.5846885209357</v>
      </c>
      <c r="M57" s="28">
        <f t="shared" si="34"/>
        <v>253.82998587823741</v>
      </c>
      <c r="N57" s="28">
        <f t="shared" si="34"/>
        <v>-44.321622675653217</v>
      </c>
      <c r="O57" s="28">
        <f t="shared" si="34"/>
        <v>-499.88601308623163</v>
      </c>
      <c r="P57" s="28">
        <f t="shared" si="34"/>
        <v>-360.61898789694607</v>
      </c>
      <c r="Q57" s="28">
        <f t="shared" si="34"/>
        <v>123.52449930502407</v>
      </c>
      <c r="R57" s="29">
        <f>R50+R53</f>
        <v>37129.196511844159</v>
      </c>
    </row>
    <row r="58" spans="1:18" s="30" customFormat="1" ht="34.15" customHeight="1" x14ac:dyDescent="0.2">
      <c r="A58" s="41">
        <v>52</v>
      </c>
      <c r="B58" s="164"/>
      <c r="C58" s="25" t="s">
        <v>49</v>
      </c>
      <c r="D58" s="26">
        <f t="shared" si="26"/>
        <v>9098651.9268210083</v>
      </c>
      <c r="E58" s="27"/>
      <c r="F58" s="28">
        <f>F51+F54</f>
        <v>227201.62425302272</v>
      </c>
      <c r="G58" s="28">
        <f t="shared" ref="G58:R58" si="35">G51+G54</f>
        <v>538542.00980713614</v>
      </c>
      <c r="H58" s="28">
        <f t="shared" si="35"/>
        <v>455016.30197067175</v>
      </c>
      <c r="I58" s="28">
        <f t="shared" si="35"/>
        <v>62653.994955296301</v>
      </c>
      <c r="J58" s="28">
        <f t="shared" si="35"/>
        <v>213130.60053289391</v>
      </c>
      <c r="K58" s="28">
        <f t="shared" si="35"/>
        <v>238711.57698977122</v>
      </c>
      <c r="L58" s="28">
        <f t="shared" si="35"/>
        <v>66990.070070611881</v>
      </c>
      <c r="M58" s="28">
        <f t="shared" si="35"/>
        <v>120238.73326672538</v>
      </c>
      <c r="N58" s="28">
        <f t="shared" si="35"/>
        <v>9934.4901436006385</v>
      </c>
      <c r="O58" s="28">
        <f t="shared" si="35"/>
        <v>515.51514662412319</v>
      </c>
      <c r="P58" s="28">
        <f t="shared" si="35"/>
        <v>2588.8655624355624</v>
      </c>
      <c r="Q58" s="28">
        <f t="shared" si="35"/>
        <v>2081.7830806927241</v>
      </c>
      <c r="R58" s="29">
        <f t="shared" si="35"/>
        <v>7161046.3610415254</v>
      </c>
    </row>
    <row r="59" spans="1:18" s="30" customFormat="1" x14ac:dyDescent="0.2">
      <c r="A59" s="41">
        <v>53</v>
      </c>
      <c r="B59" s="164"/>
      <c r="C59" s="28" t="s">
        <v>48</v>
      </c>
      <c r="D59" s="26">
        <f t="shared" si="26"/>
        <v>11941815.093621295</v>
      </c>
      <c r="E59" s="27"/>
      <c r="F59" s="28">
        <f>F55</f>
        <v>292852.20667765208</v>
      </c>
      <c r="G59" s="28">
        <f t="shared" ref="G59:R59" si="36">G55</f>
        <v>512163.00352604158</v>
      </c>
      <c r="H59" s="28">
        <f t="shared" si="36"/>
        <v>581849.56414392195</v>
      </c>
      <c r="I59" s="28">
        <f t="shared" si="36"/>
        <v>13487.574901031545</v>
      </c>
      <c r="J59" s="28">
        <f t="shared" si="36"/>
        <v>847069.35524038062</v>
      </c>
      <c r="K59" s="28">
        <f t="shared" si="36"/>
        <v>3843175.6490682089</v>
      </c>
      <c r="L59" s="28">
        <f t="shared" si="36"/>
        <v>259210.76723930892</v>
      </c>
      <c r="M59" s="28">
        <f t="shared" si="36"/>
        <v>1073376.8587720753</v>
      </c>
      <c r="N59" s="28">
        <f t="shared" si="36"/>
        <v>128114.46064362957</v>
      </c>
      <c r="O59" s="28">
        <f t="shared" si="36"/>
        <v>3873.3794165923305</v>
      </c>
      <c r="P59" s="28">
        <f t="shared" si="36"/>
        <v>3095.4729036750859</v>
      </c>
      <c r="Q59" s="28">
        <f t="shared" si="36"/>
        <v>37677.387087510331</v>
      </c>
      <c r="R59" s="29">
        <f t="shared" si="36"/>
        <v>4345869.4140012655</v>
      </c>
    </row>
    <row r="60" spans="1:18" s="30" customFormat="1" ht="13.5" thickBot="1" x14ac:dyDescent="0.25">
      <c r="A60" s="41">
        <v>54</v>
      </c>
      <c r="B60" s="125">
        <v>5</v>
      </c>
      <c r="C60" s="28" t="s">
        <v>80</v>
      </c>
      <c r="D60" s="26">
        <f t="shared" si="26"/>
        <v>1220000</v>
      </c>
      <c r="E60" s="83"/>
      <c r="F60" s="84">
        <f>F56</f>
        <v>121213.30107250423</v>
      </c>
      <c r="G60" s="84">
        <f t="shared" ref="G60:R60" si="37">G56</f>
        <v>291541.73452404089</v>
      </c>
      <c r="H60" s="84">
        <f t="shared" si="37"/>
        <v>268764.55334606528</v>
      </c>
      <c r="I60" s="84">
        <f t="shared" si="37"/>
        <v>37414.470328569063</v>
      </c>
      <c r="J60" s="84">
        <f t="shared" si="37"/>
        <v>124574.63419009143</v>
      </c>
      <c r="K60" s="84">
        <f t="shared" si="37"/>
        <v>138662.70509285873</v>
      </c>
      <c r="L60" s="84">
        <f t="shared" si="37"/>
        <v>35427.795460284106</v>
      </c>
      <c r="M60" s="84">
        <f t="shared" si="37"/>
        <v>62613.463808488872</v>
      </c>
      <c r="N60" s="84">
        <f t="shared" si="37"/>
        <v>7185.8858683098997</v>
      </c>
      <c r="O60" s="84">
        <f t="shared" si="37"/>
        <v>1206.9789551407889</v>
      </c>
      <c r="P60" s="84">
        <f t="shared" si="37"/>
        <v>1446.8647074463481</v>
      </c>
      <c r="Q60" s="84">
        <f t="shared" si="37"/>
        <v>1087.527376616599</v>
      </c>
      <c r="R60" s="151">
        <f t="shared" si="37"/>
        <v>128860.08526958355</v>
      </c>
    </row>
    <row r="61" spans="1:18" s="30" customFormat="1" x14ac:dyDescent="0.2">
      <c r="A61" s="41">
        <v>55</v>
      </c>
      <c r="B61" s="158"/>
      <c r="C61" s="159"/>
      <c r="D61" s="159"/>
      <c r="E61" s="85"/>
      <c r="F61" s="86" t="s">
        <v>1</v>
      </c>
      <c r="G61" s="86" t="s">
        <v>2</v>
      </c>
      <c r="H61" s="86" t="s">
        <v>3</v>
      </c>
      <c r="I61" s="86" t="s">
        <v>4</v>
      </c>
      <c r="J61" s="86" t="s">
        <v>5</v>
      </c>
      <c r="K61" s="86" t="s">
        <v>6</v>
      </c>
      <c r="L61" s="86" t="s">
        <v>11</v>
      </c>
      <c r="M61" s="86" t="s">
        <v>12</v>
      </c>
      <c r="N61" s="86" t="s">
        <v>9</v>
      </c>
      <c r="O61" s="86" t="s">
        <v>10</v>
      </c>
      <c r="P61" s="86" t="s">
        <v>17</v>
      </c>
      <c r="Q61" s="86" t="s">
        <v>7</v>
      </c>
      <c r="R61" s="87" t="s">
        <v>8</v>
      </c>
    </row>
    <row r="62" spans="1:18" s="30" customFormat="1" x14ac:dyDescent="0.2">
      <c r="A62" s="41">
        <v>56</v>
      </c>
      <c r="B62" s="163" t="s">
        <v>33</v>
      </c>
      <c r="C62" s="23" t="s">
        <v>38</v>
      </c>
      <c r="D62" s="88"/>
      <c r="E62" s="89"/>
      <c r="F62" s="90">
        <f t="shared" ref="F62:R62" si="38">ROUND(F57/F6/12,2)</f>
        <v>0.01</v>
      </c>
      <c r="G62" s="90">
        <f t="shared" si="38"/>
        <v>0</v>
      </c>
      <c r="H62" s="90">
        <f t="shared" si="38"/>
        <v>-0.02</v>
      </c>
      <c r="I62" s="90">
        <f t="shared" si="38"/>
        <v>0</v>
      </c>
      <c r="J62" s="90">
        <f t="shared" si="38"/>
        <v>0</v>
      </c>
      <c r="K62" s="90">
        <f t="shared" si="38"/>
        <v>-0.02</v>
      </c>
      <c r="L62" s="90">
        <f t="shared" si="38"/>
        <v>0.01</v>
      </c>
      <c r="M62" s="90">
        <f t="shared" si="38"/>
        <v>0.01</v>
      </c>
      <c r="N62" s="90">
        <f t="shared" si="38"/>
        <v>0</v>
      </c>
      <c r="O62" s="90">
        <f t="shared" si="38"/>
        <v>0</v>
      </c>
      <c r="P62" s="90">
        <f t="shared" si="38"/>
        <v>-0.01</v>
      </c>
      <c r="Q62" s="90">
        <f t="shared" si="38"/>
        <v>0.01</v>
      </c>
      <c r="R62" s="97">
        <f t="shared" si="38"/>
        <v>3.83</v>
      </c>
    </row>
    <row r="63" spans="1:18" s="30" customFormat="1" x14ac:dyDescent="0.2">
      <c r="A63" s="41">
        <v>57</v>
      </c>
      <c r="B63" s="163"/>
      <c r="C63" s="23" t="s">
        <v>35</v>
      </c>
      <c r="D63" s="88"/>
      <c r="E63" s="89"/>
      <c r="F63" s="22">
        <f>ROUND(F58/F7,4)</f>
        <v>1E-4</v>
      </c>
      <c r="G63" s="22">
        <f>ROUND(G58/G7,4)</f>
        <v>1E-4</v>
      </c>
      <c r="H63" s="22">
        <f>ROUND(H58/H7,4)</f>
        <v>1E-4</v>
      </c>
      <c r="I63" s="22">
        <f>ROUND(I58/I7,4)</f>
        <v>1E-4</v>
      </c>
      <c r="J63" s="22">
        <f>ROUND(J58/J7,4)</f>
        <v>1E-4</v>
      </c>
      <c r="K63" s="91"/>
      <c r="L63" s="22">
        <f>ROUND(L58/L7,4)</f>
        <v>1E-4</v>
      </c>
      <c r="M63" s="91"/>
      <c r="N63" s="22">
        <f>ROUND(N58/N7,4)</f>
        <v>1E-4</v>
      </c>
      <c r="O63" s="22">
        <f>ROUND(O58/O7,4)</f>
        <v>0</v>
      </c>
      <c r="P63" s="22">
        <f>ROUND(P58/P7,4)</f>
        <v>1E-4</v>
      </c>
      <c r="Q63" s="92"/>
      <c r="R63" s="93"/>
    </row>
    <row r="64" spans="1:18" s="30" customFormat="1" ht="46.15" customHeight="1" x14ac:dyDescent="0.2">
      <c r="A64" s="41">
        <v>58</v>
      </c>
      <c r="B64" s="163"/>
      <c r="C64" s="23" t="s">
        <v>36</v>
      </c>
      <c r="D64" s="88"/>
      <c r="E64" s="89"/>
      <c r="F64" s="92"/>
      <c r="G64" s="122"/>
      <c r="H64" s="92"/>
      <c r="I64" s="92"/>
      <c r="J64" s="92"/>
      <c r="K64" s="22">
        <f>ROUND(K58/K10,4)</f>
        <v>2.9700000000000001E-2</v>
      </c>
      <c r="L64" s="22"/>
      <c r="M64" s="22">
        <f>ROUND(M58/M10,4)</f>
        <v>4.2500000000000003E-2</v>
      </c>
      <c r="N64" s="22"/>
      <c r="O64" s="22"/>
      <c r="P64" s="22"/>
      <c r="Q64" s="22">
        <f>ROUND(Q58/Q10,4)</f>
        <v>1.1299999999999999E-2</v>
      </c>
      <c r="R64" s="94" t="s">
        <v>37</v>
      </c>
    </row>
    <row r="65" spans="1:18" s="30" customFormat="1" x14ac:dyDescent="0.2">
      <c r="A65" s="41">
        <v>59</v>
      </c>
      <c r="B65" s="163"/>
      <c r="C65" s="23" t="s">
        <v>34</v>
      </c>
      <c r="D65" s="88"/>
      <c r="E65" s="89"/>
      <c r="F65" s="22">
        <f t="shared" ref="F65:R65" si="39">ROUND(F59/F9,4)</f>
        <v>1.9E-3</v>
      </c>
      <c r="G65" s="22">
        <f t="shared" si="39"/>
        <v>1.9E-3</v>
      </c>
      <c r="H65" s="22">
        <f t="shared" si="39"/>
        <v>1.9E-3</v>
      </c>
      <c r="I65" s="22">
        <f t="shared" si="39"/>
        <v>1.9E-3</v>
      </c>
      <c r="J65" s="22">
        <f t="shared" si="39"/>
        <v>1.9E-3</v>
      </c>
      <c r="K65" s="22">
        <f t="shared" si="39"/>
        <v>1.9E-3</v>
      </c>
      <c r="L65" s="22">
        <f t="shared" si="39"/>
        <v>1.9E-3</v>
      </c>
      <c r="M65" s="22">
        <f t="shared" si="39"/>
        <v>1.9E-3</v>
      </c>
      <c r="N65" s="22">
        <f t="shared" si="39"/>
        <v>1.9E-3</v>
      </c>
      <c r="O65" s="22">
        <f t="shared" si="39"/>
        <v>1.9E-3</v>
      </c>
      <c r="P65" s="22">
        <f t="shared" si="39"/>
        <v>1.9E-3</v>
      </c>
      <c r="Q65" s="22">
        <f t="shared" si="39"/>
        <v>1.9E-3</v>
      </c>
      <c r="R65" s="95">
        <f t="shared" si="39"/>
        <v>1.9E-3</v>
      </c>
    </row>
    <row r="66" spans="1:18" s="30" customFormat="1" ht="13.5" thickBot="1" x14ac:dyDescent="0.25">
      <c r="A66" s="41">
        <v>60</v>
      </c>
      <c r="B66" s="137"/>
      <c r="C66" s="145" t="s">
        <v>82</v>
      </c>
      <c r="D66" s="138"/>
      <c r="E66" s="96"/>
      <c r="F66" s="143">
        <f>F60/F16</f>
        <v>5.9207491978022175E-5</v>
      </c>
      <c r="G66" s="143">
        <f t="shared" ref="G66:P66" si="40">G60/G16</f>
        <v>5.9207491978022168E-5</v>
      </c>
      <c r="H66" s="143">
        <f t="shared" si="40"/>
        <v>5.9207491978022168E-5</v>
      </c>
      <c r="I66" s="143">
        <f t="shared" si="40"/>
        <v>5.9207491978022168E-5</v>
      </c>
      <c r="J66" s="143">
        <f t="shared" si="40"/>
        <v>5.9207491978022175E-5</v>
      </c>
      <c r="K66" s="143">
        <f>ROUND(K60/K10,4)</f>
        <v>1.7299999999999999E-2</v>
      </c>
      <c r="L66" s="143">
        <f t="shared" si="40"/>
        <v>5.9207491978022168E-5</v>
      </c>
      <c r="M66" s="143">
        <f>ROUND(M60/M10,4)</f>
        <v>2.2100000000000002E-2</v>
      </c>
      <c r="N66" s="143">
        <f t="shared" si="40"/>
        <v>5.9207491978022175E-5</v>
      </c>
      <c r="O66" s="143">
        <f t="shared" si="40"/>
        <v>5.9207491978022175E-5</v>
      </c>
      <c r="P66" s="143">
        <f t="shared" si="40"/>
        <v>5.9207491978022168E-5</v>
      </c>
      <c r="Q66" s="143">
        <f>Q60/Q10</f>
        <v>5.8868253405699412E-3</v>
      </c>
      <c r="R66" s="144">
        <v>1.5766356499139732E-2</v>
      </c>
    </row>
    <row r="67" spans="1:18" x14ac:dyDescent="0.2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3.5" thickBot="1" x14ac:dyDescent="0.25"/>
    <row r="69" spans="1:18" ht="26.25" thickBot="1" x14ac:dyDescent="0.25">
      <c r="D69" s="20" t="s">
        <v>39</v>
      </c>
      <c r="E69" s="13"/>
      <c r="F69" s="14" t="s">
        <v>41</v>
      </c>
      <c r="G69" s="14" t="s">
        <v>42</v>
      </c>
      <c r="H69" s="15" t="s">
        <v>24</v>
      </c>
      <c r="I69" s="5"/>
      <c r="J69" s="5"/>
      <c r="K69" s="5"/>
      <c r="L69" s="7"/>
      <c r="M69" s="7"/>
      <c r="N69" s="5"/>
      <c r="O69" s="5"/>
      <c r="P69" s="5"/>
      <c r="Q69" s="5"/>
    </row>
    <row r="70" spans="1:18" x14ac:dyDescent="0.2">
      <c r="D70" s="8"/>
      <c r="E70" s="9"/>
      <c r="F70" s="10"/>
      <c r="G70" s="10"/>
      <c r="H70" s="11"/>
      <c r="I70" s="7"/>
      <c r="J70" s="7"/>
      <c r="K70" s="7"/>
      <c r="L70" s="7"/>
      <c r="M70" s="7"/>
      <c r="N70" s="7"/>
      <c r="O70" s="7"/>
      <c r="P70" s="7"/>
      <c r="Q70" s="7"/>
    </row>
    <row r="71" spans="1:18" ht="38.450000000000003" customHeight="1" x14ac:dyDescent="0.2">
      <c r="D71" s="99" t="s">
        <v>84</v>
      </c>
      <c r="E71" s="9"/>
      <c r="F71" s="101">
        <f>SUM(R21:R23)/5+R51</f>
        <v>7018639.2036346253</v>
      </c>
      <c r="G71" s="101">
        <v>29977946.365926702</v>
      </c>
      <c r="H71" s="102">
        <f>ROUND(F71/G71,4)</f>
        <v>0.2341</v>
      </c>
      <c r="J71" s="4"/>
    </row>
    <row r="72" spans="1:18" ht="45" customHeight="1" thickBot="1" x14ac:dyDescent="0.25">
      <c r="D72" s="98" t="s">
        <v>85</v>
      </c>
      <c r="E72" s="12"/>
      <c r="F72" s="103">
        <f>(R20+R25)/5</f>
        <v>142407.1574068997</v>
      </c>
      <c r="G72" s="103">
        <v>6194033.5846251398</v>
      </c>
      <c r="H72" s="154">
        <f>ROUND(F72/G72,4)</f>
        <v>2.3E-2</v>
      </c>
      <c r="I72" s="4"/>
      <c r="J72" s="4"/>
      <c r="K72" s="4"/>
      <c r="L72" s="4"/>
      <c r="M72" s="4"/>
      <c r="N72" s="4"/>
      <c r="O72" s="4"/>
      <c r="P72" s="4"/>
      <c r="Q72" s="4"/>
    </row>
    <row r="73" spans="1:18" x14ac:dyDescent="0.2">
      <c r="F73" s="112">
        <f>SUM(F71:F72)</f>
        <v>7161046.3610415254</v>
      </c>
    </row>
    <row r="74" spans="1:18" x14ac:dyDescent="0.2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7" spans="1:18" x14ac:dyDescent="0.2">
      <c r="F77" s="121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</row>
    <row r="78" spans="1:18" x14ac:dyDescent="0.2">
      <c r="F78" s="106"/>
    </row>
    <row r="80" spans="1:18" x14ac:dyDescent="0.2">
      <c r="F80" s="108"/>
      <c r="G80" s="108"/>
      <c r="H80" s="108"/>
      <c r="I80" s="108"/>
      <c r="J80" s="108"/>
      <c r="K80" s="109"/>
      <c r="L80" s="109"/>
      <c r="M80" s="109"/>
      <c r="N80" s="109"/>
      <c r="O80" s="109"/>
      <c r="P80" s="109"/>
      <c r="Q80" s="109"/>
    </row>
  </sheetData>
  <mergeCells count="5">
    <mergeCell ref="B2:R2"/>
    <mergeCell ref="B61:D61"/>
    <mergeCell ref="B43:B45"/>
    <mergeCell ref="B62:B65"/>
    <mergeCell ref="B49:B59"/>
  </mergeCells>
  <phoneticPr fontId="4" type="noConversion"/>
  <printOptions horizontalCentered="1"/>
  <pageMargins left="0.75" right="0.75" top="1" bottom="1" header="0.5" footer="0.5"/>
  <pageSetup paperSize="17" scale="52" orientation="landscape" r:id="rId1"/>
  <headerFooter alignWithMargins="0">
    <oddHeader>&amp;R&amp;"Times New Roman,Regular"&amp;12Filed: 2017-03-31
EB-2017-0049
Exhibit H1
Tab 3
Schedule2
Page &amp;P of &amp;N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chedule xmlns="c177ebce-ba5d-4f17-87d0-6a1c56acc62b">2</Schedule>
    <Dir_Approved xmlns="9fda2e78-8e3f-49d4-9e97-25a6337a81ff">true</Dir_Approved>
    <Shell_Created xmlns="9fda2e78-8e3f-49d4-9e97-25a6337a81ff">false</Shell_Created>
    <Tab xmlns="c177ebce-ba5d-4f17-87d0-6a1c56acc62b">03</Tab>
    <Primary_Author xmlns="9fda2e78-8e3f-49d4-9e97-25a6337a81ff">
      <UserInfo>
        <DisplayName/>
        <AccountId xsi:nil="true"/>
        <AccountType/>
      </UserInfo>
    </Primary_Author>
    <Case_x0020_Number_x002f_Docket_x0020_Number xmlns="f9175001-c430-4d57-adde-c1c10539e919">EB-2017-0049</Case_x0020_Number_x002f_Docket_x0020_Number>
    <Witness xmlns="6cd78a55-9298-4f12-88a0-08be2e2ac8f0" xsi:nil="true"/>
    <Filing_x0020_Status xmlns="ea909525-6dd5-47d7-9eed-71e77e5cedc6">Initial_Stage</Filing_x0020_Status>
    <Issue_x0020_Date xmlns="f9175001-c430-4d57-adde-c1c10539e919">2017-03-31T04:00:00+00:00</Issue_x0020_Date>
    <RA_x0020_Contact xmlns="31a38067-a042-4e0e-9037-517587b10700">Stephen Vetsis</RA_x0020_Contact>
    <Additional_Reviewers xmlns="9fda2e78-8e3f-49d4-9e97-25a6337a81ff">
      <UserInfo>
        <DisplayName/>
        <AccountId xsi:nil="true"/>
        <AccountType/>
      </UserInfo>
    </Additional_Reviewers>
    <Dir_Contact xmlns="9fda2e78-8e3f-49d4-9e97-25a6337a81ff">Karen Taylor</Dir_Contact>
    <Hydro_x0020_One_x0020_Data_x0020_Classification xmlns="f0af1d65-dfd0-4b99-b523-def3a954563f">Internal Use (Only Internal information is not for release to the public)</Hydro_x0020_One_x0020_Data_x0020_Classification>
    <Legal xmlns="6cd78a55-9298-4f12-88a0-08be2e2ac8f0">false</Legal>
    <SR_Approved xmlns="9fda2e78-8e3f-49d4-9e97-25a6337a81ff">false</SR_Approved>
    <Strategic_x003f_ xmlns="9fda2e78-8e3f-49d4-9e97-25a6337a81ff">false</Strategic_x003f_>
    <RA_Approved xmlns="9fda2e78-8e3f-49d4-9e97-25a6337a81ff">true</RA_Approved>
    <Draft_Ready xmlns="9fda2e78-8e3f-49d4-9e97-25a6337a81ff">false</Draft_Ready>
    <Exhibit xmlns="c177ebce-ba5d-4f17-87d0-6a1c56acc62b">H1</Exhibi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vidence Exhibit" ma:contentTypeID="0x0101006C4D7F394B56A844BBAB815FF7A6EFB5" ma:contentTypeVersion="86" ma:contentTypeDescription="Create a new evidence Exhibit using the Template Master." ma:contentTypeScope="" ma:versionID="96531fb2a6ece2c80523ea6197e36a16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a534786fa0fd8ac02a7bb9ddcd15648f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AD9C18-BD65-4720-A18A-44EF402C2DC3}">
  <ds:schemaRefs>
    <ds:schemaRef ds:uri="http://purl.org/dc/terms/"/>
    <ds:schemaRef ds:uri="http://schemas.microsoft.com/office/2006/documentManagement/types"/>
    <ds:schemaRef ds:uri="c177ebce-ba5d-4f17-87d0-6a1c56acc62b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1a38067-a042-4e0e-9037-517587b10700"/>
    <ds:schemaRef ds:uri="6cd78a55-9298-4f12-88a0-08be2e2ac8f0"/>
    <ds:schemaRef ds:uri="http://www.w3.org/XML/1998/namespace"/>
    <ds:schemaRef ds:uri="ea909525-6dd5-47d7-9eed-71e77e5cedc6"/>
    <ds:schemaRef ds:uri="http://schemas.microsoft.com/office/2006/metadata/properties"/>
    <ds:schemaRef ds:uri="9fda2e78-8e3f-49d4-9e97-25a6337a81ff"/>
    <ds:schemaRef ds:uri="f9175001-c430-4d57-adde-c1c10539e919"/>
    <ds:schemaRef ds:uri="f0af1d65-dfd0-4b99-b523-def3a954563f"/>
  </ds:schemaRefs>
</ds:datastoreItem>
</file>

<file path=customXml/itemProps2.xml><?xml version="1.0" encoding="utf-8"?>
<ds:datastoreItem xmlns:ds="http://schemas.openxmlformats.org/officeDocument/2006/customXml" ds:itemID="{87719A44-6E69-45CC-B533-E33C2B2376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c177ebce-ba5d-4f17-87d0-6a1c56acc62b"/>
    <ds:schemaRef ds:uri="9fda2e78-8e3f-49d4-9e97-25a6337a81ff"/>
    <ds:schemaRef ds:uri="ea909525-6dd5-47d7-9eed-71e77e5cedc6"/>
    <ds:schemaRef ds:uri="6cd78a55-9298-4f12-88a0-08be2e2ac8f0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18BA8C-6ADE-4FF3-AC15-1A0E047B323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738F183-3BCF-48E7-A804-211EAB55F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 Rider</vt:lpstr>
      <vt:lpstr>'VA Rider'!Print_Area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Determination of Riders</dc:title>
  <dc:creator>Hydro One User</dc:creator>
  <cp:lastModifiedBy>DENNENY Kelly</cp:lastModifiedBy>
  <cp:lastPrinted>2017-03-17T13:54:47Z</cp:lastPrinted>
  <dcterms:created xsi:type="dcterms:W3CDTF">2007-08-28T13:13:37Z</dcterms:created>
  <dcterms:modified xsi:type="dcterms:W3CDTF">2017-03-21T18:15:32Z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Regulatory Affairs Proceeding</vt:lpwstr>
  </property>
  <property fmtid="{D5CDD505-2E9C-101B-9397-08002B2CF9AE}" pid="3" name="Applicant">
    <vt:lpwstr>Hydro One Networks</vt:lpwstr>
  </property>
  <property fmtid="{D5CDD505-2E9C-101B-9397-08002B2CF9AE}" pid="4" name="Case Number/Docket Number">
    <vt:lpwstr>EB-2009-0096</vt:lpwstr>
  </property>
  <property fmtid="{D5CDD505-2E9C-101B-9397-08002B2CF9AE}" pid="5" name="Case Type">
    <vt:lpwstr>Electricity</vt:lpwstr>
  </property>
  <property fmtid="{D5CDD505-2E9C-101B-9397-08002B2CF9AE}" pid="6" name="Document Type">
    <vt:lpwstr>Prefiled evidence</vt:lpwstr>
  </property>
  <property fmtid="{D5CDD505-2E9C-101B-9397-08002B2CF9AE}" pid="7" name="Issue Date">
    <vt:lpwstr>2009-07-13T00:00:00Z</vt:lpwstr>
  </property>
  <property fmtid="{D5CDD505-2E9C-101B-9397-08002B2CF9AE}" pid="8" name="Jurisdiction">
    <vt:lpwstr>OEB</vt:lpwstr>
  </property>
  <property fmtid="{D5CDD505-2E9C-101B-9397-08002B2CF9AE}" pid="9" name="Authoring Party">
    <vt:lpwstr>Hydro One Networks</vt:lpwstr>
  </property>
  <property fmtid="{D5CDD505-2E9C-101B-9397-08002B2CF9AE}" pid="10" name="Filing Status">
    <vt:lpwstr>Filed</vt:lpwstr>
  </property>
  <property fmtid="{D5CDD505-2E9C-101B-9397-08002B2CF9AE}" pid="11" name="Hydro One Data Classification">
    <vt:lpwstr>Public (Information that is authorized for consumption by the public.)</vt:lpwstr>
  </property>
  <property fmtid="{D5CDD505-2E9C-101B-9397-08002B2CF9AE}" pid="12" name="Order">
    <vt:lpwstr>73300.0000000000</vt:lpwstr>
  </property>
  <property fmtid="{D5CDD505-2E9C-101B-9397-08002B2CF9AE}" pid="13" name="ContentTypeId">
    <vt:lpwstr>0x0101006C4D7F394B56A844BBAB815FF7A6EFB5</vt:lpwstr>
  </property>
  <property fmtid="{D5CDD505-2E9C-101B-9397-08002B2CF9AE}" pid="14" name="AM_Approved">
    <vt:bool>false</vt:bool>
  </property>
  <property fmtid="{D5CDD505-2E9C-101B-9397-08002B2CF9AE}" pid="15" name="ISD_Category">
    <vt:lpwstr>Other</vt:lpwstr>
  </property>
  <property fmtid="{D5CDD505-2E9C-101B-9397-08002B2CF9AE}" pid="16" name="RA2_Approved">
    <vt:bool>false</vt:bool>
  </property>
</Properties>
</file>