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5480" windowHeight="11640"/>
  </bookViews>
  <sheets>
    <sheet name="GA" sheetId="1" r:id="rId1"/>
  </sheets>
  <definedNames>
    <definedName name="_xlnm.Print_Area" localSheetId="0">GA!$A$1:$K$81</definedName>
  </definedNames>
  <calcPr calcId="145621"/>
</workbook>
</file>

<file path=xl/calcChain.xml><?xml version="1.0" encoding="utf-8"?>
<calcChain xmlns="http://schemas.openxmlformats.org/spreadsheetml/2006/main">
  <c r="C75" i="1" l="1"/>
  <c r="C74" i="1"/>
  <c r="I75" i="1"/>
  <c r="H75" i="1"/>
  <c r="J75" i="1" s="1"/>
  <c r="G75" i="1"/>
  <c r="C72" i="1"/>
  <c r="C71" i="1"/>
  <c r="I72" i="1"/>
  <c r="H72" i="1"/>
  <c r="G72" i="1"/>
  <c r="C69" i="1"/>
  <c r="C68" i="1"/>
  <c r="I69" i="1"/>
  <c r="H69" i="1"/>
  <c r="G69" i="1"/>
  <c r="C66" i="1"/>
  <c r="C65" i="1"/>
  <c r="C63" i="1"/>
  <c r="C62" i="1"/>
  <c r="C60" i="1"/>
  <c r="C59" i="1"/>
  <c r="C53" i="1"/>
  <c r="C51" i="1"/>
  <c r="I51" i="1"/>
  <c r="H51" i="1"/>
  <c r="G51" i="1"/>
  <c r="C50" i="1"/>
  <c r="C48" i="1"/>
  <c r="I66" i="1"/>
  <c r="H66" i="1"/>
  <c r="G66" i="1"/>
  <c r="I63" i="1"/>
  <c r="H63" i="1"/>
  <c r="G63" i="1"/>
  <c r="I60" i="1"/>
  <c r="H60" i="1"/>
  <c r="G60" i="1"/>
  <c r="I57" i="1"/>
  <c r="H57" i="1"/>
  <c r="G57" i="1"/>
  <c r="J60" i="1" l="1"/>
  <c r="J63" i="1"/>
  <c r="J51" i="1"/>
  <c r="J72" i="1"/>
  <c r="J66" i="1"/>
  <c r="J69" i="1"/>
  <c r="J57" i="1"/>
  <c r="C54" i="1" l="1"/>
  <c r="G54" i="1"/>
  <c r="H54" i="1"/>
  <c r="I54" i="1"/>
  <c r="J54" i="1" s="1"/>
  <c r="B77" i="1" l="1"/>
  <c r="J24" i="1"/>
  <c r="J22" i="1"/>
  <c r="J20" i="1"/>
  <c r="J18" i="1"/>
  <c r="J16" i="1"/>
  <c r="C77" i="1" l="1"/>
  <c r="C37" i="1"/>
  <c r="F77" i="1" l="1"/>
  <c r="D77" i="1"/>
  <c r="I74" i="1" l="1"/>
  <c r="H74" i="1"/>
  <c r="G74" i="1"/>
  <c r="I71" i="1"/>
  <c r="H71" i="1"/>
  <c r="G71" i="1"/>
  <c r="I68" i="1"/>
  <c r="H68" i="1"/>
  <c r="G68" i="1"/>
  <c r="I65" i="1"/>
  <c r="H65" i="1"/>
  <c r="G65" i="1"/>
  <c r="I62" i="1"/>
  <c r="H62" i="1"/>
  <c r="G62" i="1"/>
  <c r="I59" i="1"/>
  <c r="H59" i="1"/>
  <c r="G59" i="1"/>
  <c r="I56" i="1"/>
  <c r="H56" i="1"/>
  <c r="G56" i="1"/>
  <c r="I53" i="1"/>
  <c r="H53" i="1"/>
  <c r="G53" i="1"/>
  <c r="I50" i="1"/>
  <c r="H50" i="1"/>
  <c r="G50" i="1"/>
  <c r="I48" i="1"/>
  <c r="H48" i="1"/>
  <c r="G48" i="1"/>
  <c r="I46" i="1"/>
  <c r="H46" i="1"/>
  <c r="G46" i="1"/>
  <c r="I44" i="1"/>
  <c r="H44" i="1"/>
  <c r="G44" i="1"/>
  <c r="I77" i="1" l="1"/>
  <c r="H77" i="1"/>
  <c r="G77" i="1"/>
  <c r="J56" i="1"/>
  <c r="J59" i="1"/>
  <c r="J46" i="1"/>
  <c r="J53" i="1"/>
  <c r="J62" i="1"/>
  <c r="J48" i="1"/>
  <c r="J71" i="1"/>
  <c r="J68" i="1"/>
  <c r="J44" i="1"/>
  <c r="J45" i="1" s="1"/>
  <c r="J65" i="1"/>
  <c r="J50" i="1"/>
  <c r="J74" i="1"/>
  <c r="F6" i="1"/>
  <c r="J76" i="1" l="1"/>
  <c r="K76" i="1" s="1"/>
  <c r="J73" i="1"/>
  <c r="K73" i="1" s="1"/>
  <c r="J70" i="1"/>
  <c r="K70" i="1" s="1"/>
  <c r="J67" i="1"/>
  <c r="K67" i="1" s="1"/>
  <c r="J61" i="1"/>
  <c r="K61" i="1" s="1"/>
  <c r="J64" i="1"/>
  <c r="K64" i="1" s="1"/>
  <c r="J58" i="1"/>
  <c r="K58" i="1" s="1"/>
  <c r="J55" i="1"/>
  <c r="K55" i="1" s="1"/>
  <c r="J47" i="1"/>
  <c r="J49" i="1"/>
  <c r="K49" i="1" s="1"/>
  <c r="J52" i="1"/>
  <c r="K52" i="1" s="1"/>
  <c r="K45" i="1"/>
  <c r="F37" i="1"/>
  <c r="D37" i="1"/>
  <c r="B37" i="1"/>
  <c r="I35" i="1"/>
  <c r="H35" i="1"/>
  <c r="G35" i="1"/>
  <c r="I33" i="1"/>
  <c r="H33" i="1"/>
  <c r="G33" i="1"/>
  <c r="I31" i="1"/>
  <c r="H31" i="1"/>
  <c r="G31" i="1"/>
  <c r="I29" i="1"/>
  <c r="H29" i="1"/>
  <c r="G29" i="1"/>
  <c r="I27" i="1"/>
  <c r="H27" i="1"/>
  <c r="G27" i="1"/>
  <c r="I25" i="1"/>
  <c r="H25" i="1"/>
  <c r="G25" i="1"/>
  <c r="I23" i="1"/>
  <c r="H23" i="1"/>
  <c r="G23" i="1"/>
  <c r="I21" i="1"/>
  <c r="H21" i="1"/>
  <c r="G21" i="1"/>
  <c r="I19" i="1"/>
  <c r="H19" i="1"/>
  <c r="G19" i="1"/>
  <c r="I17" i="1"/>
  <c r="H17" i="1"/>
  <c r="G17" i="1"/>
  <c r="I15" i="1"/>
  <c r="H15" i="1"/>
  <c r="G15" i="1"/>
  <c r="I13" i="1"/>
  <c r="H13" i="1"/>
  <c r="G13" i="1"/>
  <c r="H7" i="1"/>
  <c r="H5" i="1"/>
  <c r="H37" i="1" l="1"/>
  <c r="J77" i="1"/>
  <c r="K47" i="1"/>
  <c r="K77" i="1" s="1"/>
  <c r="I37" i="1"/>
  <c r="G37" i="1"/>
  <c r="J17" i="1"/>
  <c r="K18" i="1" s="1"/>
  <c r="J33" i="1"/>
  <c r="J15" i="1"/>
  <c r="K16" i="1" s="1"/>
  <c r="J31" i="1"/>
  <c r="J29" i="1"/>
  <c r="J19" i="1"/>
  <c r="K20" i="1" s="1"/>
  <c r="J35" i="1"/>
  <c r="J25" i="1"/>
  <c r="J23" i="1"/>
  <c r="K24" i="1" s="1"/>
  <c r="J21" i="1"/>
  <c r="K22" i="1" s="1"/>
  <c r="J27" i="1"/>
  <c r="J13" i="1"/>
  <c r="K14" i="1" l="1"/>
  <c r="J34" i="1"/>
  <c r="K34" i="1" s="1"/>
  <c r="J28" i="1"/>
  <c r="K28" i="1" s="1"/>
  <c r="J26" i="1"/>
  <c r="J30" i="1"/>
  <c r="K30" i="1" s="1"/>
  <c r="J32" i="1"/>
  <c r="K32" i="1" s="1"/>
  <c r="J36" i="1"/>
  <c r="K36" i="1" s="1"/>
  <c r="H6" i="1"/>
  <c r="F8" i="1"/>
  <c r="H8" i="1" s="1"/>
  <c r="J37" i="1" l="1"/>
  <c r="J79" i="1" s="1"/>
  <c r="K26" i="1"/>
  <c r="K37" i="1" s="1"/>
  <c r="K79" i="1" s="1"/>
</calcChain>
</file>

<file path=xl/sharedStrings.xml><?xml version="1.0" encoding="utf-8"?>
<sst xmlns="http://schemas.openxmlformats.org/spreadsheetml/2006/main" count="135" uniqueCount="77">
  <si>
    <t>Allocation Method for Class B RSVA-Global Adjustment.</t>
  </si>
  <si>
    <t>kWh</t>
  </si>
  <si>
    <t>Class B (Non RPP and Non Class A) RSVA GA Analysis - Allocation Method</t>
  </si>
  <si>
    <t>First Estimate GA</t>
  </si>
  <si>
    <t>Actual  GA</t>
  </si>
  <si>
    <t>Retail - Final</t>
  </si>
  <si>
    <t>Class B Non-RPP</t>
  </si>
  <si>
    <t>Est. Variance</t>
  </si>
  <si>
    <t>$/kWh</t>
  </si>
  <si>
    <t>@ Retail GA</t>
  </si>
  <si>
    <t>@ Actual GA</t>
  </si>
  <si>
    <t>Retail less Final</t>
  </si>
  <si>
    <t>kWh *</t>
  </si>
  <si>
    <t>* - Quantities must be adjusted for unbilled revenue quantities on a monthly basis.</t>
  </si>
  <si>
    <t xml:space="preserve">Input cells </t>
  </si>
  <si>
    <t>Jan</t>
  </si>
  <si>
    <t>Feb</t>
  </si>
  <si>
    <t>Feb 2014</t>
  </si>
  <si>
    <t>Mar 2014</t>
  </si>
  <si>
    <t>Apr 2014</t>
  </si>
  <si>
    <t>May 2014</t>
  </si>
  <si>
    <t>July 2014</t>
  </si>
  <si>
    <t>June 2014</t>
  </si>
  <si>
    <t>Aug 2014</t>
  </si>
  <si>
    <t>Sept 2014</t>
  </si>
  <si>
    <t>Oct 2014</t>
  </si>
  <si>
    <t>Nov 2014</t>
  </si>
  <si>
    <t>Dec 2014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</si>
  <si>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</si>
  <si>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</si>
  <si>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</si>
  <si>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</si>
  <si>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</si>
  <si>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</si>
  <si>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</si>
  <si>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</si>
  <si>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</si>
  <si>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</si>
  <si>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1st Estimate ($/MWh)</t>
  </si>
  <si>
    <t>2nd Estimate ($/MWh)</t>
  </si>
  <si>
    <t>Actual Rate ($/MWh)</t>
  </si>
  <si>
    <t>Class B Non-RPP Spot - Billed on 1st Estimate</t>
  </si>
  <si>
    <t>Class B Non-RPP Spot - Billed on Actual</t>
  </si>
  <si>
    <t>Total</t>
  </si>
  <si>
    <t>IRM Total Metered Before Losses</t>
  </si>
  <si>
    <t>IRM RPP Before Losses</t>
  </si>
  <si>
    <t>IRM Non RPP Before Losses</t>
  </si>
  <si>
    <t>IRM Class A Before Losses</t>
  </si>
  <si>
    <t>IRM Net Class B Before Losses</t>
  </si>
  <si>
    <t>2nd Estimate GA</t>
  </si>
  <si>
    <t>Jan 2014 BJ' billed at 1st</t>
  </si>
  <si>
    <t>Consumption Month</t>
  </si>
  <si>
    <t>April consumption</t>
  </si>
  <si>
    <t>May consumption</t>
  </si>
  <si>
    <t>June consumption</t>
  </si>
  <si>
    <t>July consumption</t>
  </si>
  <si>
    <t>August consumption</t>
  </si>
  <si>
    <t>March consumption</t>
  </si>
  <si>
    <t>September consumption</t>
  </si>
  <si>
    <t>October consumption</t>
  </si>
  <si>
    <t>November consumption</t>
  </si>
  <si>
    <t>Dec 2015 consumption</t>
  </si>
  <si>
    <t>Nov 2015 consumption</t>
  </si>
  <si>
    <t>Oct 2015 consumption</t>
  </si>
  <si>
    <t>July 2015 consumption</t>
  </si>
  <si>
    <t>Aug 2015 consumption</t>
  </si>
  <si>
    <t>Sept 2015 consumption</t>
  </si>
  <si>
    <t>Apr 2015 consumption</t>
  </si>
  <si>
    <t>May 2015 consumption</t>
  </si>
  <si>
    <t>June 2015 consumption</t>
  </si>
  <si>
    <t>Jan 2015 consumption</t>
  </si>
  <si>
    <t>Feb 2015 consumption</t>
  </si>
  <si>
    <t>Mar 2015 consumption</t>
  </si>
  <si>
    <t>2014  and 2015Global Adjustment Analysis Example</t>
  </si>
  <si>
    <t>BJ = Billing Journal</t>
  </si>
  <si>
    <t>AJ = Adjustment Journal</t>
  </si>
  <si>
    <t>AJ's and BJ's at different rates due to billing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</si>
</sst>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&quot;$&quot;#,##0.00000_);[Red]\(&quot;$&quot;#,##0.0000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3C3E42"/>
      <name val="Segoe UI"/>
      <family val="2"/>
    </font>
    <font>
      <b/>
      <sz val="11"/>
      <color rgb="FF3C3E42"/>
      <name val="Segoe UI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/>
    </xf>
    <xf numFmtId="0" fontId="3" fillId="0" borderId="4" xfId="1" applyFont="1" applyBorder="1" applyAlignment="1">
      <alignment horizontal="centerContinuous" vertical="center"/>
    </xf>
    <xf numFmtId="16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2" applyFont="1" applyBorder="1" applyAlignment="1">
      <alignment horizontal="right" vertical="center"/>
    </xf>
    <xf numFmtId="167" fontId="3" fillId="0" borderId="4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5" xfId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167" fontId="3" fillId="0" borderId="5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3" fillId="0" borderId="9" xfId="1" applyFont="1" applyBorder="1" applyAlignment="1">
      <alignment horizontal="centerContinuous" vertical="center"/>
    </xf>
    <xf numFmtId="166" fontId="3" fillId="0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7" fontId="3" fillId="0" borderId="1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66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1" xfId="1" applyFont="1" applyBorder="1" applyAlignment="1">
      <alignment horizontal="center" vertical="top"/>
    </xf>
    <xf numFmtId="0" fontId="3" fillId="0" borderId="11" xfId="1" quotePrefix="1" applyFont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168" fontId="3" fillId="2" borderId="13" xfId="1" applyNumberFormat="1" applyFont="1" applyFill="1" applyBorder="1" applyAlignment="1">
      <alignment vertical="center"/>
    </xf>
    <xf numFmtId="164" fontId="5" fillId="0" borderId="13" xfId="3" applyNumberFormat="1" applyFont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168" fontId="3" fillId="2" borderId="11" xfId="1" applyNumberFormat="1" applyFont="1" applyFill="1" applyBorder="1" applyAlignment="1">
      <alignment vertical="center"/>
    </xf>
    <xf numFmtId="164" fontId="5" fillId="0" borderId="11" xfId="3" applyNumberFormat="1" applyFont="1" applyBorder="1" applyAlignment="1">
      <alignment vertical="center"/>
    </xf>
    <xf numFmtId="164" fontId="5" fillId="2" borderId="11" xfId="3" applyNumberFormat="1" applyFont="1" applyFill="1" applyBorder="1" applyAlignment="1">
      <alignment vertical="center"/>
    </xf>
    <xf numFmtId="166" fontId="3" fillId="0" borderId="17" xfId="1" applyNumberFormat="1" applyFont="1" applyBorder="1" applyAlignment="1">
      <alignment vertical="center"/>
    </xf>
    <xf numFmtId="168" fontId="3" fillId="2" borderId="17" xfId="1" applyNumberFormat="1" applyFont="1" applyFill="1" applyBorder="1" applyAlignment="1">
      <alignment vertical="center"/>
    </xf>
    <xf numFmtId="164" fontId="5" fillId="0" borderId="17" xfId="3" applyNumberFormat="1" applyFont="1" applyBorder="1" applyAlignment="1">
      <alignment vertical="center"/>
    </xf>
    <xf numFmtId="164" fontId="6" fillId="0" borderId="0" xfId="3" applyNumberFormat="1" applyFont="1" applyFill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0" fontId="1" fillId="0" borderId="0" xfId="1"/>
    <xf numFmtId="0" fontId="1" fillId="0" borderId="0" xfId="1" applyFill="1"/>
    <xf numFmtId="166" fontId="3" fillId="3" borderId="3" xfId="0" applyNumberFormat="1" applyFont="1" applyFill="1" applyBorder="1" applyAlignment="1">
      <alignment vertical="center"/>
    </xf>
    <xf numFmtId="166" fontId="3" fillId="3" borderId="6" xfId="0" applyNumberFormat="1" applyFont="1" applyFill="1" applyBorder="1" applyAlignment="1">
      <alignment vertical="center"/>
    </xf>
    <xf numFmtId="166" fontId="5" fillId="3" borderId="12" xfId="3" applyNumberFormat="1" applyFont="1" applyFill="1" applyBorder="1" applyAlignment="1">
      <alignment vertical="center"/>
    </xf>
    <xf numFmtId="166" fontId="5" fillId="3" borderId="14" xfId="3" applyNumberFormat="1" applyFont="1" applyFill="1" applyBorder="1" applyAlignment="1">
      <alignment vertical="center"/>
    </xf>
    <xf numFmtId="166" fontId="5" fillId="3" borderId="15" xfId="3" applyNumberFormat="1" applyFont="1" applyFill="1" applyBorder="1" applyAlignment="1">
      <alignment vertical="center"/>
    </xf>
    <xf numFmtId="0" fontId="7" fillId="0" borderId="0" xfId="0" quotePrefix="1" applyFont="1" applyAlignment="1">
      <alignment vertical="center"/>
    </xf>
    <xf numFmtId="0" fontId="2" fillId="0" borderId="0" xfId="1" applyFont="1" applyAlignment="1">
      <alignment vertical="center"/>
    </xf>
    <xf numFmtId="0" fontId="3" fillId="3" borderId="0" xfId="0" applyFont="1" applyFill="1" applyAlignment="1">
      <alignment horizontal="center"/>
    </xf>
    <xf numFmtId="16" fontId="1" fillId="0" borderId="0" xfId="1" quotePrefix="1" applyNumberFormat="1" applyAlignment="1">
      <alignment vertical="center"/>
    </xf>
    <xf numFmtId="0" fontId="1" fillId="0" borderId="0" xfId="1" quotePrefix="1" applyAlignment="1">
      <alignment vertical="center"/>
    </xf>
    <xf numFmtId="168" fontId="3" fillId="2" borderId="0" xfId="1" applyNumberFormat="1" applyFont="1" applyFill="1" applyBorder="1" applyAlignment="1">
      <alignment vertical="center"/>
    </xf>
    <xf numFmtId="164" fontId="5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164" fontId="5" fillId="2" borderId="18" xfId="3" applyNumberFormat="1" applyFont="1" applyFill="1" applyBorder="1" applyAlignment="1">
      <alignment vertical="center"/>
    </xf>
    <xf numFmtId="166" fontId="5" fillId="3" borderId="18" xfId="3" applyNumberFormat="1" applyFont="1" applyFill="1" applyBorder="1" applyAlignment="1">
      <alignment vertical="center"/>
    </xf>
    <xf numFmtId="166" fontId="5" fillId="3" borderId="11" xfId="3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165" fontId="1" fillId="0" borderId="0" xfId="4" applyFont="1" applyBorder="1" applyAlignment="1">
      <alignment vertical="center"/>
    </xf>
    <xf numFmtId="0" fontId="1" fillId="0" borderId="4" xfId="1" applyBorder="1" applyAlignment="1">
      <alignment vertical="center"/>
    </xf>
    <xf numFmtId="0" fontId="3" fillId="0" borderId="17" xfId="1" applyFont="1" applyBorder="1" applyAlignment="1">
      <alignment horizontal="center" vertical="top"/>
    </xf>
    <xf numFmtId="164" fontId="5" fillId="0" borderId="21" xfId="3" applyNumberFormat="1" applyFont="1" applyBorder="1" applyAlignment="1">
      <alignment vertical="center"/>
    </xf>
    <xf numFmtId="164" fontId="5" fillId="2" borderId="17" xfId="3" applyNumberFormat="1" applyFont="1" applyFill="1" applyBorder="1" applyAlignment="1">
      <alignment vertical="center"/>
    </xf>
    <xf numFmtId="168" fontId="3" fillId="2" borderId="4" xfId="1" applyNumberFormat="1" applyFont="1" applyFill="1" applyBorder="1" applyAlignment="1">
      <alignment vertical="center"/>
    </xf>
    <xf numFmtId="164" fontId="5" fillId="0" borderId="4" xfId="3" applyNumberFormat="1" applyFont="1" applyBorder="1" applyAlignment="1">
      <alignment vertical="center"/>
    </xf>
    <xf numFmtId="164" fontId="5" fillId="0" borderId="5" xfId="3" applyNumberFormat="1" applyFont="1" applyBorder="1" applyAlignment="1">
      <alignment vertical="center"/>
    </xf>
    <xf numFmtId="0" fontId="3" fillId="0" borderId="16" xfId="1" applyFont="1" applyBorder="1" applyAlignment="1">
      <alignment horizontal="center" vertical="top"/>
    </xf>
    <xf numFmtId="0" fontId="3" fillId="0" borderId="16" xfId="1" quotePrefix="1" applyFont="1" applyBorder="1" applyAlignment="1">
      <alignment horizontal="center" vertical="top"/>
    </xf>
    <xf numFmtId="166" fontId="5" fillId="3" borderId="19" xfId="3" applyNumberFormat="1" applyFont="1" applyFill="1" applyBorder="1" applyAlignment="1">
      <alignment vertical="center"/>
    </xf>
    <xf numFmtId="166" fontId="5" fillId="3" borderId="17" xfId="3" applyNumberFormat="1" applyFont="1" applyFill="1" applyBorder="1" applyAlignment="1">
      <alignment vertical="center"/>
    </xf>
    <xf numFmtId="164" fontId="5" fillId="2" borderId="6" xfId="3" applyNumberFormat="1" applyFont="1" applyFill="1" applyBorder="1" applyAlignment="1">
      <alignment vertical="center"/>
    </xf>
    <xf numFmtId="164" fontId="5" fillId="2" borderId="19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164" fontId="6" fillId="0" borderId="22" xfId="3" applyNumberFormat="1" applyFont="1" applyBorder="1" applyAlignment="1">
      <alignment vertical="center"/>
    </xf>
    <xf numFmtId="164" fontId="6" fillId="0" borderId="22" xfId="3" applyNumberFormat="1" applyFont="1" applyFill="1" applyBorder="1" applyAlignment="1">
      <alignment vertical="center"/>
    </xf>
    <xf numFmtId="16" fontId="1" fillId="0" borderId="20" xfId="1" quotePrefix="1" applyNumberFormat="1" applyBorder="1" applyAlignment="1">
      <alignment vertical="center" wrapText="1"/>
    </xf>
    <xf numFmtId="0" fontId="2" fillId="0" borderId="0" xfId="1" applyFont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209550</xdr:rowOff>
    </xdr:from>
    <xdr:to>
      <xdr:col>10</xdr:col>
      <xdr:colOff>121920</xdr:colOff>
      <xdr:row>103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8525"/>
          <a:ext cx="962025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142875</xdr:rowOff>
    </xdr:from>
    <xdr:to>
      <xdr:col>10</xdr:col>
      <xdr:colOff>121920</xdr:colOff>
      <xdr:row>119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"/>
          <a:ext cx="96202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3"/>
  <sheetViews>
    <sheetView tabSelected="1" topLeftCell="E72" workbookViewId="0">
      <selection activeCell="B55" sqref="B55"/>
    </sheetView>
  </sheetViews>
  <sheetFormatPr defaultColWidth="9.109375" defaultRowHeight="13.2" x14ac:dyDescent="0.25"/>
  <cols>
    <col min="1" max="1" width="29.5546875" style="55" customWidth="1"/>
    <col min="2" max="3" width="15.6640625" style="55" customWidth="1"/>
    <col min="4" max="5" width="12.6640625" style="55" customWidth="1"/>
    <col min="6" max="6" width="18.88671875" style="55" customWidth="1"/>
    <col min="7" max="9" width="15.6640625" style="55" customWidth="1"/>
    <col min="10" max="11" width="19.5546875" style="56" customWidth="1"/>
    <col min="12" max="12" width="14.6640625" style="55" customWidth="1"/>
    <col min="13" max="16384" width="9.109375" style="55"/>
  </cols>
  <sheetData>
    <row r="1" spans="1:12" s="2" customFormat="1" ht="20.100000000000001" customHeight="1" x14ac:dyDescent="0.25">
      <c r="B1" s="97" t="s">
        <v>73</v>
      </c>
      <c r="C1" s="97"/>
      <c r="D1" s="97"/>
      <c r="E1" s="97"/>
      <c r="F1" s="97"/>
      <c r="G1" s="97"/>
      <c r="H1" s="97"/>
      <c r="I1" s="97"/>
      <c r="J1" s="1"/>
      <c r="K1" s="1"/>
    </row>
    <row r="2" spans="1:12" s="2" customFormat="1" ht="20.100000000000001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</row>
    <row r="3" spans="1:12" s="2" customFormat="1" ht="20.100000000000001" customHeight="1" x14ac:dyDescent="0.2">
      <c r="B3" s="5" t="s">
        <v>0</v>
      </c>
      <c r="C3" s="73"/>
      <c r="D3" s="6"/>
      <c r="E3" s="7"/>
      <c r="F3" s="7"/>
      <c r="G3" s="7"/>
      <c r="H3" s="8"/>
      <c r="I3" s="3"/>
      <c r="J3" s="64" t="s">
        <v>14</v>
      </c>
      <c r="K3" s="64"/>
    </row>
    <row r="4" spans="1:12" s="2" customFormat="1" ht="20.100000000000001" customHeight="1" x14ac:dyDescent="0.2">
      <c r="B4" s="9" t="s">
        <v>44</v>
      </c>
      <c r="C4" s="9"/>
      <c r="D4" s="10"/>
      <c r="E4" s="11"/>
      <c r="F4" s="57">
        <v>1203184319</v>
      </c>
      <c r="G4" s="13" t="s">
        <v>1</v>
      </c>
      <c r="H4" s="14">
        <v>1</v>
      </c>
      <c r="I4" s="3"/>
      <c r="J4" s="4"/>
      <c r="K4" s="4"/>
    </row>
    <row r="5" spans="1:12" s="2" customFormat="1" ht="20.100000000000001" customHeight="1" x14ac:dyDescent="0.2">
      <c r="B5" s="9" t="s">
        <v>45</v>
      </c>
      <c r="C5" s="9"/>
      <c r="D5" s="10"/>
      <c r="E5" s="11"/>
      <c r="F5" s="57">
        <v>569024338</v>
      </c>
      <c r="G5" s="13" t="s">
        <v>1</v>
      </c>
      <c r="H5" s="15">
        <f>F5/F4</f>
        <v>0.47293197643477597</v>
      </c>
      <c r="I5" s="3"/>
      <c r="J5" s="4"/>
      <c r="K5" s="4"/>
    </row>
    <row r="6" spans="1:12" s="2" customFormat="1" ht="20.100000000000001" customHeight="1" x14ac:dyDescent="0.2">
      <c r="B6" s="9" t="s">
        <v>46</v>
      </c>
      <c r="C6" s="9"/>
      <c r="D6" s="10"/>
      <c r="E6" s="11"/>
      <c r="F6" s="12">
        <f>+F4-F5</f>
        <v>634159981</v>
      </c>
      <c r="G6" s="13" t="s">
        <v>1</v>
      </c>
      <c r="H6" s="15">
        <f>F6/F4</f>
        <v>0.52706802356522398</v>
      </c>
      <c r="I6" s="3"/>
      <c r="J6" s="4"/>
      <c r="K6" s="4"/>
    </row>
    <row r="7" spans="1:12" s="2" customFormat="1" ht="20.100000000000001" customHeight="1" thickBot="1" x14ac:dyDescent="0.25">
      <c r="B7" s="16" t="s">
        <v>47</v>
      </c>
      <c r="C7" s="16"/>
      <c r="D7" s="17"/>
      <c r="E7" s="18"/>
      <c r="F7" s="58"/>
      <c r="G7" s="19" t="s">
        <v>1</v>
      </c>
      <c r="H7" s="20">
        <f>F7/F4</f>
        <v>0</v>
      </c>
      <c r="I7" s="3"/>
      <c r="J7" s="4"/>
      <c r="K7" s="4"/>
    </row>
    <row r="8" spans="1:12" s="2" customFormat="1" ht="20.100000000000001" customHeight="1" thickBot="1" x14ac:dyDescent="0.3">
      <c r="B8" s="21" t="s">
        <v>48</v>
      </c>
      <c r="C8" s="74"/>
      <c r="D8" s="22"/>
      <c r="E8" s="23"/>
      <c r="F8" s="24">
        <f>+F6-F7</f>
        <v>634159981</v>
      </c>
      <c r="G8" s="25" t="s">
        <v>1</v>
      </c>
      <c r="H8" s="26">
        <f>F8/F4</f>
        <v>0.52706802356522398</v>
      </c>
      <c r="I8" s="27"/>
      <c r="J8" s="28"/>
      <c r="K8" s="28"/>
    </row>
    <row r="9" spans="1:12" s="2" customFormat="1" ht="20.100000000000001" customHeight="1" x14ac:dyDescent="0.25">
      <c r="B9" s="29"/>
      <c r="C9" s="29"/>
      <c r="D9" s="30"/>
      <c r="E9" s="30"/>
      <c r="F9" s="31"/>
      <c r="G9" s="30"/>
      <c r="H9" s="30"/>
      <c r="I9" s="30"/>
      <c r="J9" s="32"/>
      <c r="K9" s="32"/>
    </row>
    <row r="10" spans="1:12" s="2" customFormat="1" ht="20.100000000000001" customHeight="1" x14ac:dyDescent="0.25">
      <c r="B10" s="33" t="s">
        <v>2</v>
      </c>
      <c r="C10" s="34"/>
      <c r="D10" s="34"/>
      <c r="E10" s="34"/>
      <c r="F10" s="34"/>
      <c r="G10" s="34"/>
      <c r="H10" s="34"/>
      <c r="I10" s="35"/>
      <c r="J10" s="80"/>
      <c r="K10" s="80"/>
    </row>
    <row r="11" spans="1:12" s="2" customFormat="1" ht="54" customHeight="1" x14ac:dyDescent="0.2">
      <c r="A11" s="93">
        <v>2014</v>
      </c>
      <c r="B11" s="36" t="s">
        <v>41</v>
      </c>
      <c r="C11" s="36" t="s">
        <v>42</v>
      </c>
      <c r="D11" s="37" t="s">
        <v>3</v>
      </c>
      <c r="E11" s="37" t="s">
        <v>49</v>
      </c>
      <c r="F11" s="38" t="s">
        <v>4</v>
      </c>
      <c r="G11" s="38" t="s">
        <v>5</v>
      </c>
      <c r="H11" s="39" t="s">
        <v>6</v>
      </c>
      <c r="I11" s="39" t="s">
        <v>6</v>
      </c>
      <c r="J11" s="39" t="s">
        <v>7</v>
      </c>
      <c r="K11" s="39" t="s">
        <v>7</v>
      </c>
      <c r="L11" s="40"/>
    </row>
    <row r="12" spans="1:12" s="2" customFormat="1" ht="20.100000000000001" customHeight="1" thickBot="1" x14ac:dyDescent="0.3">
      <c r="A12" s="2" t="s">
        <v>51</v>
      </c>
      <c r="B12" s="41" t="s">
        <v>12</v>
      </c>
      <c r="C12" s="41" t="s">
        <v>12</v>
      </c>
      <c r="D12" s="41" t="s">
        <v>8</v>
      </c>
      <c r="E12" s="41" t="s">
        <v>8</v>
      </c>
      <c r="F12" s="41" t="s">
        <v>8</v>
      </c>
      <c r="G12" s="41" t="s">
        <v>8</v>
      </c>
      <c r="H12" s="42" t="s">
        <v>9</v>
      </c>
      <c r="I12" s="42" t="s">
        <v>10</v>
      </c>
      <c r="J12" s="41" t="s">
        <v>11</v>
      </c>
      <c r="K12" s="81" t="s">
        <v>43</v>
      </c>
      <c r="L12" s="43"/>
    </row>
    <row r="13" spans="1:12" s="2" customFormat="1" ht="20.100000000000001" customHeight="1" thickBot="1" x14ac:dyDescent="0.3">
      <c r="A13" s="65" t="s">
        <v>50</v>
      </c>
      <c r="B13" s="59">
        <v>54514766</v>
      </c>
      <c r="C13" s="59"/>
      <c r="D13" s="44">
        <v>3.6260000000000001E-2</v>
      </c>
      <c r="E13" s="44"/>
      <c r="F13" s="44">
        <v>1.261E-2</v>
      </c>
      <c r="G13" s="44">
        <f>+D13-F13</f>
        <v>2.3650000000000001E-2</v>
      </c>
      <c r="H13" s="45">
        <f>+B13*D13</f>
        <v>1976705.4151600001</v>
      </c>
      <c r="I13" s="45">
        <f>+B13*F13</f>
        <v>687431.19926000002</v>
      </c>
      <c r="J13" s="45">
        <f>+I13-H13</f>
        <v>-1289274.2159000002</v>
      </c>
      <c r="K13" s="48"/>
      <c r="L13" s="78"/>
    </row>
    <row r="14" spans="1:12" s="2" customFormat="1" ht="25.5" x14ac:dyDescent="0.25">
      <c r="A14" s="96" t="s">
        <v>76</v>
      </c>
      <c r="B14" s="61">
        <v>5646808</v>
      </c>
      <c r="C14" s="61"/>
      <c r="D14" s="51"/>
      <c r="E14" s="51"/>
      <c r="F14" s="51"/>
      <c r="G14" s="51"/>
      <c r="H14" s="52"/>
      <c r="I14" s="52"/>
      <c r="J14" s="82">
        <v>-133655</v>
      </c>
      <c r="K14" s="52">
        <f>SUM(J13:J14)</f>
        <v>-1422929.2159000002</v>
      </c>
      <c r="L14" s="79"/>
    </row>
    <row r="15" spans="1:12" s="2" customFormat="1" ht="20.100000000000001" customHeight="1" x14ac:dyDescent="0.25">
      <c r="A15" s="66" t="s">
        <v>17</v>
      </c>
      <c r="B15" s="60">
        <v>48679669</v>
      </c>
      <c r="C15" s="60"/>
      <c r="D15" s="47">
        <v>2.231E-2</v>
      </c>
      <c r="E15" s="47"/>
      <c r="F15" s="47">
        <v>1.3300000000000001E-2</v>
      </c>
      <c r="G15" s="47">
        <f>+D15-F15</f>
        <v>9.0099999999999989E-3</v>
      </c>
      <c r="H15" s="48">
        <f>+B15*D15</f>
        <v>1086043.41539</v>
      </c>
      <c r="I15" s="48">
        <f>+B15*F15</f>
        <v>647439.59770000004</v>
      </c>
      <c r="J15" s="48">
        <f t="shared" ref="J15:J35" si="0">+I15-H15</f>
        <v>-438603.81768999994</v>
      </c>
      <c r="K15" s="48"/>
      <c r="L15" s="78"/>
    </row>
    <row r="16" spans="1:12" s="2" customFormat="1" ht="20.100000000000001" customHeight="1" x14ac:dyDescent="0.25">
      <c r="A16" s="96" t="s">
        <v>76</v>
      </c>
      <c r="B16" s="61">
        <v>2340737</v>
      </c>
      <c r="C16" s="61"/>
      <c r="D16" s="51"/>
      <c r="E16" s="51"/>
      <c r="F16" s="51"/>
      <c r="G16" s="51"/>
      <c r="H16" s="52"/>
      <c r="I16" s="52"/>
      <c r="J16" s="52">
        <f>-494946+438604</f>
        <v>-56342</v>
      </c>
      <c r="K16" s="52">
        <f>SUM(J15:J16)</f>
        <v>-494945.81768999994</v>
      </c>
      <c r="L16" s="46"/>
    </row>
    <row r="17" spans="1:12" s="2" customFormat="1" ht="20.100000000000001" customHeight="1" x14ac:dyDescent="0.25">
      <c r="A17" s="66" t="s">
        <v>18</v>
      </c>
      <c r="B17" s="60">
        <v>50954778</v>
      </c>
      <c r="C17" s="60"/>
      <c r="D17" s="47">
        <v>1.103E-2</v>
      </c>
      <c r="E17" s="47"/>
      <c r="F17" s="47">
        <v>-2.7E-4</v>
      </c>
      <c r="G17" s="47">
        <f>+D17-F17</f>
        <v>1.1299999999999999E-2</v>
      </c>
      <c r="H17" s="48">
        <f>+B17*D17</f>
        <v>562031.20134000003</v>
      </c>
      <c r="I17" s="48">
        <f>+B17*F17</f>
        <v>-13757.790059999999</v>
      </c>
      <c r="J17" s="48">
        <f t="shared" si="0"/>
        <v>-575788.99140000006</v>
      </c>
      <c r="K17" s="48"/>
      <c r="L17" s="46"/>
    </row>
    <row r="18" spans="1:12" s="2" customFormat="1" ht="20.100000000000001" customHeight="1" x14ac:dyDescent="0.25">
      <c r="A18" s="96" t="s">
        <v>76</v>
      </c>
      <c r="B18" s="61">
        <v>2273112</v>
      </c>
      <c r="C18" s="61"/>
      <c r="D18" s="51"/>
      <c r="E18" s="51"/>
      <c r="F18" s="51"/>
      <c r="G18" s="51"/>
      <c r="H18" s="52"/>
      <c r="I18" s="52"/>
      <c r="J18" s="52">
        <f>-568647+575789</f>
        <v>7142</v>
      </c>
      <c r="K18" s="52">
        <f>SUM(J17:J18)</f>
        <v>-568646.99140000006</v>
      </c>
      <c r="L18" s="46"/>
    </row>
    <row r="19" spans="1:12" s="2" customFormat="1" ht="20.100000000000001" customHeight="1" x14ac:dyDescent="0.25">
      <c r="A19" s="66" t="s">
        <v>19</v>
      </c>
      <c r="B19" s="60">
        <v>38994496</v>
      </c>
      <c r="C19" s="60"/>
      <c r="D19" s="47">
        <v>-9.6500000000000006E-3</v>
      </c>
      <c r="E19" s="47"/>
      <c r="F19" s="47">
        <v>5.1979999999999998E-2</v>
      </c>
      <c r="G19" s="47">
        <f>+D19-F19</f>
        <v>-6.1629999999999997E-2</v>
      </c>
      <c r="H19" s="48">
        <f>+B19*D19</f>
        <v>-376296.88640000002</v>
      </c>
      <c r="I19" s="48">
        <f>+B19*F19</f>
        <v>2026933.9020799999</v>
      </c>
      <c r="J19" s="48">
        <f t="shared" si="0"/>
        <v>2403230.7884800001</v>
      </c>
      <c r="K19" s="48"/>
      <c r="L19" s="46"/>
    </row>
    <row r="20" spans="1:12" s="2" customFormat="1" ht="25.5" x14ac:dyDescent="0.25">
      <c r="A20" s="96" t="s">
        <v>76</v>
      </c>
      <c r="B20" s="61">
        <v>4589135</v>
      </c>
      <c r="C20" s="61"/>
      <c r="D20" s="51"/>
      <c r="E20" s="51"/>
      <c r="F20" s="51"/>
      <c r="G20" s="51"/>
      <c r="H20" s="52"/>
      <c r="I20" s="52"/>
      <c r="J20" s="52">
        <f>2286801-2403231</f>
        <v>-116430</v>
      </c>
      <c r="K20" s="52">
        <f>SUM(J19:J20)</f>
        <v>2286800.7884800001</v>
      </c>
      <c r="L20" s="46"/>
    </row>
    <row r="21" spans="1:12" s="2" customFormat="1" ht="20.100000000000001" customHeight="1" x14ac:dyDescent="0.25">
      <c r="A21" s="66" t="s">
        <v>20</v>
      </c>
      <c r="B21" s="60">
        <v>48406010</v>
      </c>
      <c r="C21" s="60"/>
      <c r="D21" s="47">
        <v>5.3560000000000003E-2</v>
      </c>
      <c r="E21" s="47"/>
      <c r="F21" s="47">
        <v>7.1959999999999996E-2</v>
      </c>
      <c r="G21" s="47">
        <f>+D21-F21</f>
        <v>-1.8399999999999993E-2</v>
      </c>
      <c r="H21" s="48">
        <f>+B21*D21</f>
        <v>2592625.8956000004</v>
      </c>
      <c r="I21" s="48">
        <f>+B21*F21</f>
        <v>3483296.4795999997</v>
      </c>
      <c r="J21" s="48">
        <f t="shared" si="0"/>
        <v>890670.58399999933</v>
      </c>
      <c r="K21" s="48"/>
      <c r="L21" s="46"/>
    </row>
    <row r="22" spans="1:12" s="2" customFormat="1" ht="25.5" x14ac:dyDescent="0.25">
      <c r="A22" s="96" t="s">
        <v>76</v>
      </c>
      <c r="B22" s="61">
        <v>4721062</v>
      </c>
      <c r="C22" s="61"/>
      <c r="D22" s="51"/>
      <c r="E22" s="51"/>
      <c r="F22" s="51"/>
      <c r="G22" s="51"/>
      <c r="H22" s="52"/>
      <c r="I22" s="52"/>
      <c r="J22" s="52">
        <f>991166-890671</f>
        <v>100495</v>
      </c>
      <c r="K22" s="52">
        <f>SUM(J21:J22)</f>
        <v>991165.58399999933</v>
      </c>
      <c r="L22" s="46"/>
    </row>
    <row r="23" spans="1:12" s="2" customFormat="1" ht="20.100000000000001" customHeight="1" x14ac:dyDescent="0.25">
      <c r="A23" s="66" t="s">
        <v>22</v>
      </c>
      <c r="B23" s="60">
        <v>52086236</v>
      </c>
      <c r="C23" s="60"/>
      <c r="D23" s="47">
        <v>7.1900000000000006E-2</v>
      </c>
      <c r="E23" s="47"/>
      <c r="F23" s="47">
        <v>6.0249999999999998E-2</v>
      </c>
      <c r="G23" s="47">
        <f>+D23-F23</f>
        <v>1.1650000000000008E-2</v>
      </c>
      <c r="H23" s="48">
        <f>+B23*D23</f>
        <v>3745000.3684000005</v>
      </c>
      <c r="I23" s="48">
        <f>+B23*F23</f>
        <v>3138195.719</v>
      </c>
      <c r="J23" s="48">
        <f t="shared" si="0"/>
        <v>-606804.64940000046</v>
      </c>
      <c r="K23" s="48"/>
      <c r="L23" s="46"/>
    </row>
    <row r="24" spans="1:12" s="2" customFormat="1" ht="25.5" x14ac:dyDescent="0.25">
      <c r="A24" s="96" t="s">
        <v>76</v>
      </c>
      <c r="B24" s="61">
        <v>2020735</v>
      </c>
      <c r="C24" s="61"/>
      <c r="D24" s="51"/>
      <c r="E24" s="51"/>
      <c r="F24" s="51"/>
      <c r="G24" s="51"/>
      <c r="H24" s="52"/>
      <c r="I24" s="52"/>
      <c r="J24" s="52">
        <f>-566286+606805</f>
        <v>40519</v>
      </c>
      <c r="K24" s="52">
        <f>SUM(J23:J24)</f>
        <v>-566285.64940000046</v>
      </c>
      <c r="L24" s="46"/>
    </row>
    <row r="25" spans="1:12" s="2" customFormat="1" ht="20.100000000000001" customHeight="1" x14ac:dyDescent="0.25">
      <c r="A25" s="66" t="s">
        <v>21</v>
      </c>
      <c r="B25" s="60">
        <v>54579220</v>
      </c>
      <c r="C25" s="60"/>
      <c r="D25" s="47">
        <v>5.9760000000000001E-2</v>
      </c>
      <c r="E25" s="47"/>
      <c r="F25" s="47">
        <v>6.2560000000000004E-2</v>
      </c>
      <c r="G25" s="47">
        <f>+D25-F25</f>
        <v>-2.8000000000000039E-3</v>
      </c>
      <c r="H25" s="48">
        <f>+B25*D25</f>
        <v>3261654.1872</v>
      </c>
      <c r="I25" s="48">
        <f>+B25*F25</f>
        <v>3414476.0032000002</v>
      </c>
      <c r="J25" s="48">
        <f t="shared" si="0"/>
        <v>152821.81600000011</v>
      </c>
      <c r="K25" s="48"/>
      <c r="L25" s="46"/>
    </row>
    <row r="26" spans="1:12" s="2" customFormat="1" ht="25.5" x14ac:dyDescent="0.25">
      <c r="A26" s="96" t="s">
        <v>76</v>
      </c>
      <c r="B26" s="61">
        <v>2889036</v>
      </c>
      <c r="C26" s="61"/>
      <c r="D26" s="51"/>
      <c r="E26" s="51"/>
      <c r="F26" s="51"/>
      <c r="G26" s="51"/>
      <c r="H26" s="52"/>
      <c r="I26" s="52"/>
      <c r="J26" s="52">
        <f>126503-J25</f>
        <v>-26318.816000000108</v>
      </c>
      <c r="K26" s="52">
        <f>SUM(J25:J26)</f>
        <v>126503</v>
      </c>
      <c r="L26" s="46"/>
    </row>
    <row r="27" spans="1:12" s="2" customFormat="1" ht="20.100000000000001" customHeight="1" x14ac:dyDescent="0.25">
      <c r="A27" s="66" t="s">
        <v>23</v>
      </c>
      <c r="B27" s="60">
        <v>54730023</v>
      </c>
      <c r="C27" s="60"/>
      <c r="D27" s="47">
        <v>6.1079999999999995E-2</v>
      </c>
      <c r="E27" s="47"/>
      <c r="F27" s="47">
        <v>6.7610000000000003E-2</v>
      </c>
      <c r="G27" s="47">
        <f>+D27-F27</f>
        <v>-6.530000000000008E-3</v>
      </c>
      <c r="H27" s="48">
        <f>+B27*D27</f>
        <v>3342909.8048399999</v>
      </c>
      <c r="I27" s="48">
        <f>+B27*F27</f>
        <v>3700296.8550300002</v>
      </c>
      <c r="J27" s="48">
        <f t="shared" si="0"/>
        <v>357387.05019000033</v>
      </c>
      <c r="K27" s="48"/>
      <c r="L27" s="46"/>
    </row>
    <row r="28" spans="1:12" s="2" customFormat="1" ht="25.5" x14ac:dyDescent="0.25">
      <c r="A28" s="96" t="s">
        <v>76</v>
      </c>
      <c r="B28" s="61">
        <v>2818150</v>
      </c>
      <c r="C28" s="61"/>
      <c r="D28" s="51"/>
      <c r="E28" s="51"/>
      <c r="F28" s="51"/>
      <c r="G28" s="51"/>
      <c r="H28" s="52"/>
      <c r="I28" s="52"/>
      <c r="J28" s="52">
        <f>363211-J27</f>
        <v>5823.9498099996708</v>
      </c>
      <c r="K28" s="52">
        <f>SUM(J27:J28)</f>
        <v>363211</v>
      </c>
      <c r="L28" s="46"/>
    </row>
    <row r="29" spans="1:12" s="2" customFormat="1" ht="20.100000000000001" customHeight="1" x14ac:dyDescent="0.25">
      <c r="A29" s="66" t="s">
        <v>24</v>
      </c>
      <c r="B29" s="60">
        <v>50322203</v>
      </c>
      <c r="C29" s="60"/>
      <c r="D29" s="47">
        <v>8.0489999999999992E-2</v>
      </c>
      <c r="E29" s="47"/>
      <c r="F29" s="47">
        <v>7.9629999999999992E-2</v>
      </c>
      <c r="G29" s="47">
        <f>+D29-F29</f>
        <v>8.5999999999999965E-4</v>
      </c>
      <c r="H29" s="48">
        <f>+B29*D29</f>
        <v>4050434.1194699998</v>
      </c>
      <c r="I29" s="48">
        <f>+B29*F29</f>
        <v>4007157.0248899995</v>
      </c>
      <c r="J29" s="48">
        <f t="shared" si="0"/>
        <v>-43277.094580000266</v>
      </c>
      <c r="K29" s="48"/>
      <c r="L29" s="46"/>
    </row>
    <row r="30" spans="1:12" s="2" customFormat="1" ht="25.5" x14ac:dyDescent="0.25">
      <c r="A30" s="96" t="s">
        <v>76</v>
      </c>
      <c r="B30" s="61">
        <v>5585631</v>
      </c>
      <c r="C30" s="61"/>
      <c r="D30" s="51"/>
      <c r="E30" s="51"/>
      <c r="F30" s="51"/>
      <c r="G30" s="51"/>
      <c r="H30" s="52"/>
      <c r="I30" s="52"/>
      <c r="J30" s="52">
        <f>-17381-J29</f>
        <v>25896.094580000266</v>
      </c>
      <c r="K30" s="52">
        <f>SUM(J29:J30)</f>
        <v>-17381</v>
      </c>
      <c r="L30" s="46"/>
    </row>
    <row r="31" spans="1:12" s="2" customFormat="1" ht="20.100000000000001" customHeight="1" x14ac:dyDescent="0.25">
      <c r="A31" s="66" t="s">
        <v>25</v>
      </c>
      <c r="B31" s="60">
        <v>47498066</v>
      </c>
      <c r="C31" s="60"/>
      <c r="D31" s="47">
        <v>7.492E-2</v>
      </c>
      <c r="E31" s="47"/>
      <c r="F31" s="47">
        <v>0.10014000000000001</v>
      </c>
      <c r="G31" s="47">
        <f>+D31-F31</f>
        <v>-2.5220000000000006E-2</v>
      </c>
      <c r="H31" s="49">
        <f>+B31*D31</f>
        <v>3558555.1047200002</v>
      </c>
      <c r="I31" s="49">
        <f>+B31*F31</f>
        <v>4756456.3292399999</v>
      </c>
      <c r="J31" s="49">
        <f t="shared" si="0"/>
        <v>1197901.2245199997</v>
      </c>
      <c r="K31" s="48"/>
      <c r="L31" s="46"/>
    </row>
    <row r="32" spans="1:12" s="2" customFormat="1" ht="25.5" x14ac:dyDescent="0.25">
      <c r="A32" s="96" t="s">
        <v>76</v>
      </c>
      <c r="B32" s="61">
        <v>2559810</v>
      </c>
      <c r="C32" s="61"/>
      <c r="D32" s="51"/>
      <c r="E32" s="51"/>
      <c r="F32" s="51"/>
      <c r="G32" s="51"/>
      <c r="H32" s="83"/>
      <c r="I32" s="83"/>
      <c r="J32" s="83">
        <f>1191326-J31</f>
        <v>-6575.2245199996978</v>
      </c>
      <c r="K32" s="52">
        <f>SUM(J31:J32)</f>
        <v>1191326</v>
      </c>
      <c r="L32" s="46"/>
    </row>
    <row r="33" spans="1:12" s="2" customFormat="1" ht="20.100000000000001" customHeight="1" x14ac:dyDescent="0.25">
      <c r="A33" s="66" t="s">
        <v>26</v>
      </c>
      <c r="B33" s="60">
        <v>46543025</v>
      </c>
      <c r="C33" s="60"/>
      <c r="D33" s="47">
        <v>9.9010000000000001E-2</v>
      </c>
      <c r="E33" s="47"/>
      <c r="F33" s="47">
        <v>8.231999999999999E-2</v>
      </c>
      <c r="G33" s="47">
        <f>+D33-F33</f>
        <v>1.669000000000001E-2</v>
      </c>
      <c r="H33" s="49">
        <f>+B33*D33</f>
        <v>4608224.9052499998</v>
      </c>
      <c r="I33" s="49">
        <f>+B33*F33</f>
        <v>3831421.8179999995</v>
      </c>
      <c r="J33" s="49">
        <f t="shared" si="0"/>
        <v>-776803.08725000033</v>
      </c>
      <c r="K33" s="48"/>
      <c r="L33" s="46"/>
    </row>
    <row r="34" spans="1:12" s="2" customFormat="1" ht="25.5" x14ac:dyDescent="0.25">
      <c r="A34" s="96" t="s">
        <v>76</v>
      </c>
      <c r="B34" s="61">
        <v>2443260</v>
      </c>
      <c r="C34" s="61"/>
      <c r="D34" s="51"/>
      <c r="E34" s="51"/>
      <c r="F34" s="51"/>
      <c r="G34" s="51"/>
      <c r="H34" s="83"/>
      <c r="I34" s="83"/>
      <c r="J34" s="83">
        <f>-722880-J33</f>
        <v>53923.087250000332</v>
      </c>
      <c r="K34" s="52">
        <f>SUM(J33:J34)</f>
        <v>-722880</v>
      </c>
      <c r="L34" s="46"/>
    </row>
    <row r="35" spans="1:12" s="2" customFormat="1" ht="20.100000000000001" customHeight="1" x14ac:dyDescent="0.25">
      <c r="A35" s="66" t="s">
        <v>27</v>
      </c>
      <c r="B35" s="77">
        <v>48932122</v>
      </c>
      <c r="C35" s="76"/>
      <c r="D35" s="47">
        <v>7.3180000000000009E-2</v>
      </c>
      <c r="E35" s="47"/>
      <c r="F35" s="47">
        <v>7.4439999999999992E-2</v>
      </c>
      <c r="G35" s="47">
        <f>+D35-F35</f>
        <v>-1.2599999999999834E-3</v>
      </c>
      <c r="H35" s="49">
        <f>+B35*D35</f>
        <v>3580852.6879600002</v>
      </c>
      <c r="I35" s="49">
        <f>+B35*F35</f>
        <v>3642507.1616799994</v>
      </c>
      <c r="J35" s="75">
        <f t="shared" si="0"/>
        <v>61654.473719999194</v>
      </c>
      <c r="K35" s="48"/>
      <c r="L35" s="46"/>
    </row>
    <row r="36" spans="1:12" s="2" customFormat="1" ht="25.5" x14ac:dyDescent="0.25">
      <c r="A36" s="96" t="s">
        <v>76</v>
      </c>
      <c r="B36" s="61">
        <v>2585209</v>
      </c>
      <c r="C36" s="61"/>
      <c r="D36" s="51"/>
      <c r="E36" s="51"/>
      <c r="F36" s="51"/>
      <c r="G36" s="51"/>
      <c r="H36" s="83"/>
      <c r="I36" s="83"/>
      <c r="J36" s="83">
        <f>10546-J35</f>
        <v>-51108.473719999194</v>
      </c>
      <c r="K36" s="52">
        <f>SUM(J35:J36)</f>
        <v>10546</v>
      </c>
      <c r="L36" s="46"/>
    </row>
    <row r="37" spans="1:12" s="2" customFormat="1" ht="20.100000000000001" customHeight="1" x14ac:dyDescent="0.25">
      <c r="B37" s="50">
        <f>SUM(B13:B35)</f>
        <v>634128090</v>
      </c>
      <c r="C37" s="50">
        <f>SUM(C13:C35)</f>
        <v>0</v>
      </c>
      <c r="D37" s="51">
        <f>AVERAGE(D13:D35)</f>
        <v>5.2820833333333338E-2</v>
      </c>
      <c r="E37" s="51"/>
      <c r="F37" s="51">
        <f>AVERAGE(F13:F35)</f>
        <v>5.6377499999999997E-2</v>
      </c>
      <c r="G37" s="84">
        <f>AVERAGE(G13:G35)</f>
        <v>-3.5566666666666646E-3</v>
      </c>
      <c r="H37" s="85">
        <f>SUM(H13:H36)</f>
        <v>31988740.218929999</v>
      </c>
      <c r="I37" s="85">
        <f>SUM(I13:I36)</f>
        <v>33321854.299619999</v>
      </c>
      <c r="J37" s="85">
        <f>SUM(J13:J36)</f>
        <v>1176483.6980899987</v>
      </c>
      <c r="K37" s="52">
        <f>SUM(K13:K36)</f>
        <v>1176483.6980899987</v>
      </c>
      <c r="L37" s="68"/>
    </row>
    <row r="38" spans="1:12" s="2" customFormat="1" ht="20.100000000000001" customHeight="1" x14ac:dyDescent="0.25">
      <c r="A38" s="66" t="s">
        <v>74</v>
      </c>
      <c r="B38" s="54"/>
      <c r="C38" s="54"/>
      <c r="D38" s="67"/>
      <c r="E38" s="67"/>
      <c r="F38" s="67"/>
      <c r="G38" s="67"/>
      <c r="H38" s="68"/>
      <c r="I38" s="68"/>
      <c r="J38" s="69"/>
      <c r="K38" s="69"/>
      <c r="L38" s="53"/>
    </row>
    <row r="39" spans="1:12" s="2" customFormat="1" ht="20.100000000000001" customHeight="1" x14ac:dyDescent="0.25">
      <c r="A39" s="2" t="s">
        <v>75</v>
      </c>
      <c r="B39" s="54"/>
      <c r="C39" s="54"/>
      <c r="D39" s="67"/>
      <c r="E39" s="67"/>
      <c r="F39" s="67"/>
      <c r="G39" s="67"/>
      <c r="H39" s="68"/>
      <c r="I39" s="68"/>
      <c r="J39" s="69"/>
      <c r="K39" s="69"/>
      <c r="L39" s="53"/>
    </row>
    <row r="40" spans="1:12" s="2" customFormat="1" ht="20.100000000000001" customHeight="1" x14ac:dyDescent="0.25">
      <c r="B40" s="54"/>
      <c r="C40" s="54"/>
      <c r="D40" s="67"/>
      <c r="E40" s="67"/>
      <c r="F40" s="67"/>
      <c r="G40" s="67"/>
      <c r="H40" s="68"/>
      <c r="I40" s="68"/>
      <c r="J40" s="69"/>
      <c r="K40" s="69"/>
      <c r="L40" s="53"/>
    </row>
    <row r="41" spans="1:12" s="2" customFormat="1" ht="20.100000000000001" customHeight="1" x14ac:dyDescent="0.25">
      <c r="B41" s="33" t="s">
        <v>2</v>
      </c>
      <c r="C41" s="34"/>
      <c r="D41" s="34"/>
      <c r="E41" s="34"/>
      <c r="F41" s="34"/>
      <c r="G41" s="34"/>
      <c r="H41" s="34"/>
      <c r="I41" s="35"/>
      <c r="J41" s="80"/>
      <c r="K41" s="80"/>
    </row>
    <row r="42" spans="1:12" s="2" customFormat="1" ht="54" customHeight="1" x14ac:dyDescent="0.2">
      <c r="A42" s="93">
        <v>2015</v>
      </c>
      <c r="B42" s="36" t="s">
        <v>41</v>
      </c>
      <c r="C42" s="36" t="s">
        <v>42</v>
      </c>
      <c r="D42" s="37" t="s">
        <v>3</v>
      </c>
      <c r="E42" s="37" t="s">
        <v>49</v>
      </c>
      <c r="F42" s="38" t="s">
        <v>4</v>
      </c>
      <c r="G42" s="38" t="s">
        <v>5</v>
      </c>
      <c r="H42" s="39" t="s">
        <v>6</v>
      </c>
      <c r="I42" s="39" t="s">
        <v>6</v>
      </c>
      <c r="J42" s="39" t="s">
        <v>7</v>
      </c>
      <c r="K42" s="39" t="s">
        <v>7</v>
      </c>
      <c r="L42" s="40"/>
    </row>
    <row r="43" spans="1:12" s="2" customFormat="1" ht="20.100000000000001" customHeight="1" thickBot="1" x14ac:dyDescent="0.3">
      <c r="A43" s="2" t="s">
        <v>51</v>
      </c>
      <c r="B43" s="41" t="s">
        <v>12</v>
      </c>
      <c r="C43" s="41" t="s">
        <v>12</v>
      </c>
      <c r="D43" s="41" t="s">
        <v>8</v>
      </c>
      <c r="E43" s="41" t="s">
        <v>8</v>
      </c>
      <c r="F43" s="41" t="s">
        <v>8</v>
      </c>
      <c r="G43" s="87" t="s">
        <v>8</v>
      </c>
      <c r="H43" s="88" t="s">
        <v>9</v>
      </c>
      <c r="I43" s="88" t="s">
        <v>10</v>
      </c>
      <c r="J43" s="87" t="s">
        <v>11</v>
      </c>
      <c r="K43" s="87" t="s">
        <v>43</v>
      </c>
      <c r="L43" s="43"/>
    </row>
    <row r="44" spans="1:12" s="2" customFormat="1" ht="20.100000000000001" customHeight="1" x14ac:dyDescent="0.25">
      <c r="A44" s="65" t="s">
        <v>70</v>
      </c>
      <c r="B44" s="59">
        <v>51631198</v>
      </c>
      <c r="C44" s="59"/>
      <c r="D44" s="44">
        <v>5.5490000000000005E-2</v>
      </c>
      <c r="E44" s="44"/>
      <c r="F44" s="44">
        <v>5.0680000000000003E-2</v>
      </c>
      <c r="G44" s="47">
        <f>+D44-F44</f>
        <v>4.8100000000000018E-3</v>
      </c>
      <c r="H44" s="48">
        <f>+B44*D44</f>
        <v>2865015.1770200003</v>
      </c>
      <c r="I44" s="48">
        <f>+B44*F44</f>
        <v>2616669.1146400003</v>
      </c>
      <c r="J44" s="48">
        <f>+I44-H44</f>
        <v>-248346.06238000002</v>
      </c>
      <c r="K44" s="48"/>
    </row>
    <row r="45" spans="1:12" s="2" customFormat="1" ht="25.5" x14ac:dyDescent="0.25">
      <c r="A45" s="96" t="s">
        <v>76</v>
      </c>
      <c r="B45" s="61">
        <v>3852037</v>
      </c>
      <c r="C45" s="61"/>
      <c r="D45" s="51"/>
      <c r="E45" s="51"/>
      <c r="F45" s="51"/>
      <c r="G45" s="51"/>
      <c r="H45" s="52"/>
      <c r="I45" s="52"/>
      <c r="J45" s="52">
        <f>-255974-J44</f>
        <v>-7627.9376199999824</v>
      </c>
      <c r="K45" s="52">
        <f>SUM(J44:J45)</f>
        <v>-255974</v>
      </c>
      <c r="L45" s="46"/>
    </row>
    <row r="46" spans="1:12" s="2" customFormat="1" ht="20.100000000000001" customHeight="1" x14ac:dyDescent="0.25">
      <c r="A46" s="66" t="s">
        <v>71</v>
      </c>
      <c r="B46" s="60">
        <v>49292641</v>
      </c>
      <c r="C46" s="60"/>
      <c r="D46" s="47">
        <v>6.9809999999999997E-2</v>
      </c>
      <c r="E46" s="47"/>
      <c r="F46" s="47">
        <v>3.9609999999999999E-2</v>
      </c>
      <c r="G46" s="47">
        <f>+D46-F46</f>
        <v>3.0199999999999998E-2</v>
      </c>
      <c r="H46" s="48">
        <f>+B46*D46</f>
        <v>3441119.2682099999</v>
      </c>
      <c r="I46" s="48">
        <f>+B46*F46</f>
        <v>1952481.5100100001</v>
      </c>
      <c r="J46" s="48">
        <f t="shared" ref="J46:J74" si="1">+I46-H46</f>
        <v>-1488637.7581999998</v>
      </c>
      <c r="K46" s="48"/>
      <c r="L46" s="46"/>
    </row>
    <row r="47" spans="1:12" s="2" customFormat="1" ht="25.5" x14ac:dyDescent="0.25">
      <c r="A47" s="96" t="s">
        <v>76</v>
      </c>
      <c r="B47" s="61">
        <v>2790952</v>
      </c>
      <c r="C47" s="61"/>
      <c r="D47" s="51"/>
      <c r="E47" s="51"/>
      <c r="F47" s="51"/>
      <c r="G47" s="51"/>
      <c r="H47" s="52"/>
      <c r="I47" s="52"/>
      <c r="J47" s="52">
        <f>-1484977-J46</f>
        <v>3660.7581999998074</v>
      </c>
      <c r="K47" s="52">
        <f>SUM(J46:J47)</f>
        <v>-1484977</v>
      </c>
      <c r="L47" s="46"/>
    </row>
    <row r="48" spans="1:12" s="2" customFormat="1" ht="20.100000000000001" customHeight="1" x14ac:dyDescent="0.25">
      <c r="A48" s="66" t="s">
        <v>72</v>
      </c>
      <c r="B48" s="60">
        <v>50704312</v>
      </c>
      <c r="C48" s="60">
        <f>413834-306</f>
        <v>413528</v>
      </c>
      <c r="D48" s="47">
        <v>3.6040000000000003E-2</v>
      </c>
      <c r="E48" s="47"/>
      <c r="F48" s="47">
        <v>6.2899999999999998E-2</v>
      </c>
      <c r="G48" s="47">
        <f>+D48-F48</f>
        <v>-2.6859999999999995E-2</v>
      </c>
      <c r="H48" s="48">
        <f>+B48*D48</f>
        <v>1827383.40448</v>
      </c>
      <c r="I48" s="48">
        <f>+B48*F48</f>
        <v>3189301.2248</v>
      </c>
      <c r="J48" s="48">
        <f t="shared" si="1"/>
        <v>1361917.8203199999</v>
      </c>
      <c r="K48" s="48"/>
      <c r="L48" s="46"/>
    </row>
    <row r="49" spans="1:12" s="2" customFormat="1" ht="25.5" x14ac:dyDescent="0.25">
      <c r="A49" s="96" t="s">
        <v>76</v>
      </c>
      <c r="B49" s="61">
        <v>1749271</v>
      </c>
      <c r="C49" s="61"/>
      <c r="D49" s="51"/>
      <c r="E49" s="51"/>
      <c r="F49" s="51"/>
      <c r="G49" s="51"/>
      <c r="H49" s="52"/>
      <c r="I49" s="52"/>
      <c r="J49" s="52">
        <f>1310026-J48</f>
        <v>-51891.820319999941</v>
      </c>
      <c r="K49" s="52">
        <f>SUM(J48:J49)</f>
        <v>1310026</v>
      </c>
      <c r="L49" s="46"/>
    </row>
    <row r="50" spans="1:12" s="2" customFormat="1" ht="20.100000000000001" customHeight="1" x14ac:dyDescent="0.25">
      <c r="A50" s="66" t="s">
        <v>67</v>
      </c>
      <c r="B50" s="60">
        <v>0</v>
      </c>
      <c r="C50" s="60">
        <f>755316+1574343+43133818</f>
        <v>45463477</v>
      </c>
      <c r="D50" s="47">
        <v>6.7049999999999998E-2</v>
      </c>
      <c r="E50" s="47"/>
      <c r="F50" s="47">
        <v>9.5590000000000008E-2</v>
      </c>
      <c r="G50" s="47">
        <f>+D50-F50</f>
        <v>-2.854000000000001E-2</v>
      </c>
      <c r="H50" s="48">
        <f>+B50*D50</f>
        <v>0</v>
      </c>
      <c r="I50" s="48">
        <f>+B50*F50</f>
        <v>0</v>
      </c>
      <c r="J50" s="48">
        <f t="shared" si="1"/>
        <v>0</v>
      </c>
      <c r="K50" s="48"/>
      <c r="L50" s="46"/>
    </row>
    <row r="51" spans="1:12" s="2" customFormat="1" ht="20.100000000000001" customHeight="1" x14ac:dyDescent="0.25">
      <c r="A51" s="66" t="s">
        <v>57</v>
      </c>
      <c r="B51" s="60"/>
      <c r="C51" s="60">
        <f>-589582+1302734</f>
        <v>713152</v>
      </c>
      <c r="D51" s="47">
        <v>3.6040000000000003E-2</v>
      </c>
      <c r="E51" s="47"/>
      <c r="F51" s="47">
        <v>6.2899999999999998E-2</v>
      </c>
      <c r="G51" s="47">
        <f>+D51-F51</f>
        <v>-2.6859999999999995E-2</v>
      </c>
      <c r="H51" s="48">
        <f>+B51*D51</f>
        <v>0</v>
      </c>
      <c r="I51" s="48">
        <f>+B51*F51</f>
        <v>0</v>
      </c>
      <c r="J51" s="48">
        <f t="shared" ref="J51" si="2">+I51-H51</f>
        <v>0</v>
      </c>
      <c r="K51" s="48"/>
      <c r="L51" s="46"/>
    </row>
    <row r="52" spans="1:12" s="2" customFormat="1" ht="25.5" x14ac:dyDescent="0.25">
      <c r="A52" s="96" t="s">
        <v>76</v>
      </c>
      <c r="B52" s="61">
        <v>-6195370</v>
      </c>
      <c r="C52" s="61"/>
      <c r="D52" s="51"/>
      <c r="E52" s="51"/>
      <c r="F52" s="51"/>
      <c r="G52" s="51"/>
      <c r="H52" s="52"/>
      <c r="I52" s="52"/>
      <c r="J52" s="52">
        <f>36991-J50</f>
        <v>36991</v>
      </c>
      <c r="K52" s="52">
        <f>SUM(J50:J52)</f>
        <v>36991</v>
      </c>
      <c r="L52" s="46"/>
    </row>
    <row r="53" spans="1:12" s="2" customFormat="1" ht="20.100000000000001" customHeight="1" x14ac:dyDescent="0.25">
      <c r="A53" s="66" t="s">
        <v>68</v>
      </c>
      <c r="B53" s="60"/>
      <c r="C53" s="60">
        <f>48322749-10315</f>
        <v>48312434</v>
      </c>
      <c r="D53" s="47">
        <v>9.4159999999999994E-2</v>
      </c>
      <c r="E53" s="47"/>
      <c r="F53" s="47">
        <v>9.6680000000000002E-2</v>
      </c>
      <c r="G53" s="47">
        <f>+D53-F53</f>
        <v>-2.5200000000000083E-3</v>
      </c>
      <c r="H53" s="48">
        <f>+B53*D53</f>
        <v>0</v>
      </c>
      <c r="I53" s="48">
        <f>+B53*F53</f>
        <v>0</v>
      </c>
      <c r="J53" s="48">
        <f t="shared" si="1"/>
        <v>0</v>
      </c>
      <c r="K53" s="48"/>
      <c r="L53" s="46"/>
    </row>
    <row r="54" spans="1:12" s="2" customFormat="1" ht="20.100000000000001" customHeight="1" x14ac:dyDescent="0.25">
      <c r="A54" s="66" t="s">
        <v>52</v>
      </c>
      <c r="B54" s="60"/>
      <c r="C54" s="60">
        <f>2397501-42008</f>
        <v>2355493</v>
      </c>
      <c r="D54" s="47">
        <v>6.7049999999999998E-2</v>
      </c>
      <c r="E54" s="47"/>
      <c r="F54" s="47">
        <v>9.5590000000000008E-2</v>
      </c>
      <c r="G54" s="47">
        <f>+D54-F54</f>
        <v>-2.854000000000001E-2</v>
      </c>
      <c r="H54" s="48">
        <f>+B54*D54</f>
        <v>0</v>
      </c>
      <c r="I54" s="48">
        <f>+B54*F54</f>
        <v>0</v>
      </c>
      <c r="J54" s="48">
        <f t="shared" si="1"/>
        <v>0</v>
      </c>
      <c r="K54" s="48"/>
      <c r="L54" s="46"/>
    </row>
    <row r="55" spans="1:12" s="2" customFormat="1" ht="25.5" x14ac:dyDescent="0.25">
      <c r="A55" s="96" t="s">
        <v>76</v>
      </c>
      <c r="B55" s="61">
        <v>8925714</v>
      </c>
      <c r="C55" s="61"/>
      <c r="D55" s="51"/>
      <c r="E55" s="51"/>
      <c r="F55" s="51"/>
      <c r="G55" s="51"/>
      <c r="H55" s="52"/>
      <c r="I55" s="52"/>
      <c r="J55" s="52">
        <f>52102-J53-J54</f>
        <v>52102</v>
      </c>
      <c r="K55" s="52">
        <f>SUM(J53:J55)</f>
        <v>52102</v>
      </c>
      <c r="L55" s="46"/>
    </row>
    <row r="56" spans="1:12" s="2" customFormat="1" ht="20.100000000000001" customHeight="1" x14ac:dyDescent="0.25">
      <c r="A56" s="66" t="s">
        <v>69</v>
      </c>
      <c r="B56" s="60">
        <v>48391644</v>
      </c>
      <c r="C56" s="60">
        <v>1397671</v>
      </c>
      <c r="D56" s="47">
        <v>9.2280000000000001E-2</v>
      </c>
      <c r="E56" s="47"/>
      <c r="F56" s="47">
        <v>9.5400000000000013E-2</v>
      </c>
      <c r="G56" s="47">
        <f>+D56-F56</f>
        <v>-3.1200000000000117E-3</v>
      </c>
      <c r="H56" s="48">
        <f>+B56*D56</f>
        <v>4465580.9083200004</v>
      </c>
      <c r="I56" s="48">
        <f>+B56*F56</f>
        <v>4616562.8376000002</v>
      </c>
      <c r="J56" s="48">
        <f t="shared" si="1"/>
        <v>150981.92927999981</v>
      </c>
      <c r="K56" s="48"/>
      <c r="L56" s="46"/>
    </row>
    <row r="57" spans="1:12" s="2" customFormat="1" ht="20.100000000000001" customHeight="1" x14ac:dyDescent="0.25">
      <c r="A57" s="66" t="s">
        <v>53</v>
      </c>
      <c r="B57" s="60"/>
      <c r="C57" s="60">
        <v>2037033</v>
      </c>
      <c r="D57" s="47">
        <v>9.4159999999999994E-2</v>
      </c>
      <c r="E57" s="47"/>
      <c r="F57" s="47">
        <v>9.6680000000000002E-2</v>
      </c>
      <c r="G57" s="47">
        <f>+D57-F57</f>
        <v>-2.5200000000000083E-3</v>
      </c>
      <c r="H57" s="48">
        <f>+B57*D57</f>
        <v>0</v>
      </c>
      <c r="I57" s="48">
        <f>+B57*F57</f>
        <v>0</v>
      </c>
      <c r="J57" s="48">
        <f t="shared" ref="J57" si="3">+I57-H57</f>
        <v>0</v>
      </c>
      <c r="K57" s="48"/>
      <c r="L57" s="46"/>
    </row>
    <row r="58" spans="1:12" s="2" customFormat="1" ht="25.5" x14ac:dyDescent="0.25">
      <c r="A58" s="96" t="s">
        <v>76</v>
      </c>
      <c r="B58" s="61">
        <v>439054</v>
      </c>
      <c r="C58" s="61"/>
      <c r="D58" s="51"/>
      <c r="E58" s="51"/>
      <c r="F58" s="51"/>
      <c r="G58" s="51"/>
      <c r="H58" s="52"/>
      <c r="I58" s="52"/>
      <c r="J58" s="52">
        <f>146812-J56-J57</f>
        <v>-4169.9292799998075</v>
      </c>
      <c r="K58" s="52">
        <f>SUM(J56:J58)</f>
        <v>146812</v>
      </c>
      <c r="L58" s="46"/>
    </row>
    <row r="59" spans="1:12" s="2" customFormat="1" ht="20.100000000000001" customHeight="1" x14ac:dyDescent="0.25">
      <c r="A59" s="66" t="s">
        <v>64</v>
      </c>
      <c r="B59" s="60"/>
      <c r="C59" s="60">
        <f>53604890</f>
        <v>53604890</v>
      </c>
      <c r="D59" s="47">
        <v>8.8880000000000001E-2</v>
      </c>
      <c r="E59" s="47"/>
      <c r="F59" s="47">
        <v>7.8829999999999997E-2</v>
      </c>
      <c r="G59" s="47">
        <f>+D59-F59</f>
        <v>1.0050000000000003E-2</v>
      </c>
      <c r="H59" s="48">
        <f>+B59*D59</f>
        <v>0</v>
      </c>
      <c r="I59" s="48">
        <f>+B59*F59</f>
        <v>0</v>
      </c>
      <c r="J59" s="48">
        <f t="shared" si="1"/>
        <v>0</v>
      </c>
      <c r="K59" s="48"/>
      <c r="L59" s="46"/>
    </row>
    <row r="60" spans="1:12" s="2" customFormat="1" ht="20.100000000000001" customHeight="1" x14ac:dyDescent="0.25">
      <c r="A60" s="66" t="s">
        <v>54</v>
      </c>
      <c r="B60" s="60"/>
      <c r="C60" s="60">
        <f>2558754-171-249477</f>
        <v>2309106</v>
      </c>
      <c r="D60" s="47">
        <v>9.2280000000000001E-2</v>
      </c>
      <c r="E60" s="47"/>
      <c r="F60" s="47">
        <v>9.5400000000000013E-2</v>
      </c>
      <c r="G60" s="47">
        <f>+D60-F60</f>
        <v>-3.1200000000000117E-3</v>
      </c>
      <c r="H60" s="48">
        <f>+B60*D60</f>
        <v>0</v>
      </c>
      <c r="I60" s="48">
        <f>+B60*F60</f>
        <v>0</v>
      </c>
      <c r="J60" s="48">
        <f t="shared" ref="J60" si="4">+I60-H60</f>
        <v>0</v>
      </c>
      <c r="K60" s="48"/>
      <c r="L60" s="46"/>
    </row>
    <row r="61" spans="1:12" s="2" customFormat="1" ht="25.5" x14ac:dyDescent="0.25">
      <c r="A61" s="96" t="s">
        <v>76</v>
      </c>
      <c r="B61" s="61">
        <v>3250533</v>
      </c>
      <c r="C61" s="61"/>
      <c r="D61" s="51"/>
      <c r="E61" s="51"/>
      <c r="F61" s="51"/>
      <c r="G61" s="51"/>
      <c r="H61" s="52"/>
      <c r="I61" s="52"/>
      <c r="J61" s="52">
        <f>-31820-J59-J60</f>
        <v>-31820</v>
      </c>
      <c r="K61" s="52">
        <f>SUM(J59:J61)</f>
        <v>-31820</v>
      </c>
      <c r="L61" s="46"/>
    </row>
    <row r="62" spans="1:12" s="2" customFormat="1" ht="20.100000000000001" customHeight="1" x14ac:dyDescent="0.25">
      <c r="A62" s="66" t="s">
        <v>65</v>
      </c>
      <c r="B62" s="60"/>
      <c r="C62" s="60">
        <f>54707372-432718</f>
        <v>54274654</v>
      </c>
      <c r="D62" s="47">
        <v>8.8050000000000003E-2</v>
      </c>
      <c r="E62" s="47"/>
      <c r="F62" s="47">
        <v>8.0099999999999991E-2</v>
      </c>
      <c r="G62" s="47">
        <f>+D62-F62</f>
        <v>7.9500000000000126E-3</v>
      </c>
      <c r="H62" s="48">
        <f>+B62*D62</f>
        <v>0</v>
      </c>
      <c r="I62" s="48">
        <f>+B62*F62</f>
        <v>0</v>
      </c>
      <c r="J62" s="48">
        <f t="shared" si="1"/>
        <v>0</v>
      </c>
      <c r="K62" s="48"/>
      <c r="L62" s="46"/>
    </row>
    <row r="63" spans="1:12" s="2" customFormat="1" ht="20.100000000000001" customHeight="1" x14ac:dyDescent="0.25">
      <c r="A63" s="66" t="s">
        <v>55</v>
      </c>
      <c r="B63" s="60"/>
      <c r="C63" s="60">
        <f>3091025-670114</f>
        <v>2420911</v>
      </c>
      <c r="D63" s="47">
        <v>8.8880000000000001E-2</v>
      </c>
      <c r="E63" s="47"/>
      <c r="F63" s="47">
        <v>7.8829999999999997E-2</v>
      </c>
      <c r="G63" s="47">
        <f>+D63-F63</f>
        <v>1.0050000000000003E-2</v>
      </c>
      <c r="H63" s="48">
        <f>+B63*D63</f>
        <v>0</v>
      </c>
      <c r="I63" s="48">
        <f>+B63*F63</f>
        <v>0</v>
      </c>
      <c r="J63" s="48">
        <f t="shared" ref="J63" si="5">+I63-H63</f>
        <v>0</v>
      </c>
      <c r="K63" s="48"/>
      <c r="L63" s="46"/>
    </row>
    <row r="64" spans="1:12" s="2" customFormat="1" ht="25.5" x14ac:dyDescent="0.25">
      <c r="A64" s="96" t="s">
        <v>76</v>
      </c>
      <c r="B64" s="61">
        <v>1578151</v>
      </c>
      <c r="C64" s="61"/>
      <c r="D64" s="51"/>
      <c r="E64" s="51"/>
      <c r="F64" s="51"/>
      <c r="G64" s="51"/>
      <c r="H64" s="52"/>
      <c r="I64" s="52"/>
      <c r="J64" s="52">
        <f>-14086-J62-J63</f>
        <v>-14086</v>
      </c>
      <c r="K64" s="52">
        <f>SUM(J62:J64)</f>
        <v>-14086</v>
      </c>
      <c r="L64" s="46"/>
    </row>
    <row r="65" spans="1:12" s="2" customFormat="1" ht="20.100000000000001" customHeight="1" x14ac:dyDescent="0.25">
      <c r="A65" s="66" t="s">
        <v>66</v>
      </c>
      <c r="B65" s="60"/>
      <c r="C65" s="60">
        <f>44164960+6335071</f>
        <v>50500031</v>
      </c>
      <c r="D65" s="47">
        <v>8.270000000000001E-2</v>
      </c>
      <c r="E65" s="47"/>
      <c r="F65" s="47">
        <v>6.7030000000000006E-2</v>
      </c>
      <c r="G65" s="47">
        <f>+D65-F65</f>
        <v>1.5670000000000003E-2</v>
      </c>
      <c r="H65" s="48">
        <f>+B65*D65</f>
        <v>0</v>
      </c>
      <c r="I65" s="48">
        <f>+B65*F65</f>
        <v>0</v>
      </c>
      <c r="J65" s="48">
        <f t="shared" si="1"/>
        <v>0</v>
      </c>
      <c r="K65" s="48"/>
      <c r="L65" s="46"/>
    </row>
    <row r="66" spans="1:12" s="2" customFormat="1" ht="20.100000000000001" customHeight="1" x14ac:dyDescent="0.25">
      <c r="A66" s="66" t="s">
        <v>56</v>
      </c>
      <c r="B66" s="60"/>
      <c r="C66" s="60">
        <f>2762923-9309</f>
        <v>2753614</v>
      </c>
      <c r="D66" s="47">
        <v>8.8050000000000003E-2</v>
      </c>
      <c r="E66" s="47"/>
      <c r="F66" s="47">
        <v>8.0099999999999991E-2</v>
      </c>
      <c r="G66" s="47">
        <f>+D66-F66</f>
        <v>7.9500000000000126E-3</v>
      </c>
      <c r="H66" s="48">
        <f>+B66*D66</f>
        <v>0</v>
      </c>
      <c r="I66" s="48">
        <f>+B66*F66</f>
        <v>0</v>
      </c>
      <c r="J66" s="48">
        <f t="shared" ref="J66" si="6">+I66-H66</f>
        <v>0</v>
      </c>
      <c r="K66" s="48"/>
      <c r="L66" s="46"/>
    </row>
    <row r="67" spans="1:12" s="2" customFormat="1" ht="25.5" x14ac:dyDescent="0.25">
      <c r="A67" s="96" t="s">
        <v>76</v>
      </c>
      <c r="B67" s="61">
        <v>2837293</v>
      </c>
      <c r="C67" s="61"/>
      <c r="D67" s="51"/>
      <c r="E67" s="51"/>
      <c r="F67" s="51"/>
      <c r="G67" s="51"/>
      <c r="H67" s="52"/>
      <c r="I67" s="52"/>
      <c r="J67" s="52">
        <f>-37813-J65-J66</f>
        <v>-37813</v>
      </c>
      <c r="K67" s="52">
        <f>SUM(J65:J67)</f>
        <v>-37813</v>
      </c>
      <c r="L67" s="46"/>
    </row>
    <row r="68" spans="1:12" s="2" customFormat="1" ht="20.100000000000001" customHeight="1" x14ac:dyDescent="0.25">
      <c r="A68" s="66" t="s">
        <v>63</v>
      </c>
      <c r="B68" s="60"/>
      <c r="C68" s="60">
        <f>7668631+39026539</f>
        <v>46695170</v>
      </c>
      <c r="D68" s="47">
        <v>6.3710000000000003E-2</v>
      </c>
      <c r="E68" s="47"/>
      <c r="F68" s="47">
        <v>7.5439999999999993E-2</v>
      </c>
      <c r="G68" s="47">
        <f>+D68-F68</f>
        <v>-1.172999999999999E-2</v>
      </c>
      <c r="H68" s="49">
        <f>+B68*D68</f>
        <v>0</v>
      </c>
      <c r="I68" s="49">
        <f>+B68*F68</f>
        <v>0</v>
      </c>
      <c r="J68" s="48">
        <f t="shared" si="1"/>
        <v>0</v>
      </c>
      <c r="K68" s="48"/>
      <c r="L68" s="46"/>
    </row>
    <row r="69" spans="1:12" s="2" customFormat="1" ht="20.100000000000001" customHeight="1" x14ac:dyDescent="0.25">
      <c r="A69" s="66" t="s">
        <v>58</v>
      </c>
      <c r="B69" s="60"/>
      <c r="C69" s="60">
        <f>2081223-10180+40602-40602</f>
        <v>2071043</v>
      </c>
      <c r="D69" s="47">
        <v>8.270000000000001E-2</v>
      </c>
      <c r="E69" s="47"/>
      <c r="F69" s="47">
        <v>6.7030000000000006E-2</v>
      </c>
      <c r="G69" s="47">
        <f>+D69-F69</f>
        <v>1.5670000000000003E-2</v>
      </c>
      <c r="H69" s="48">
        <f>+B69*D69</f>
        <v>0</v>
      </c>
      <c r="I69" s="48">
        <f>+B69*F69</f>
        <v>0</v>
      </c>
      <c r="J69" s="48">
        <f t="shared" ref="J69" si="7">+I69-H69</f>
        <v>0</v>
      </c>
      <c r="K69" s="48"/>
      <c r="L69" s="46"/>
    </row>
    <row r="70" spans="1:12" s="2" customFormat="1" ht="25.5" x14ac:dyDescent="0.25">
      <c r="A70" s="96" t="s">
        <v>76</v>
      </c>
      <c r="B70" s="61">
        <v>2048749</v>
      </c>
      <c r="C70" s="61"/>
      <c r="D70" s="51"/>
      <c r="E70" s="51"/>
      <c r="F70" s="51"/>
      <c r="G70" s="51"/>
      <c r="H70" s="83"/>
      <c r="I70" s="83"/>
      <c r="J70" s="52">
        <f>17875-J68-J69</f>
        <v>17875</v>
      </c>
      <c r="K70" s="52">
        <f>SUM(J68:J70)</f>
        <v>17875</v>
      </c>
      <c r="L70" s="46"/>
    </row>
    <row r="71" spans="1:12" s="2" customFormat="1" ht="20.100000000000001" customHeight="1" x14ac:dyDescent="0.25">
      <c r="A71" s="66" t="s">
        <v>62</v>
      </c>
      <c r="B71" s="60"/>
      <c r="C71" s="60">
        <f>39736+45765438</f>
        <v>45805174</v>
      </c>
      <c r="D71" s="47">
        <v>7.6230000000000006E-2</v>
      </c>
      <c r="E71" s="47"/>
      <c r="F71" s="47">
        <v>0.11320000000000001</v>
      </c>
      <c r="G71" s="47">
        <f>+D71-F71</f>
        <v>-3.6970000000000003E-2</v>
      </c>
      <c r="H71" s="49">
        <f>+B71*D71</f>
        <v>0</v>
      </c>
      <c r="I71" s="49">
        <f>+B71*F71</f>
        <v>0</v>
      </c>
      <c r="J71" s="48">
        <f t="shared" si="1"/>
        <v>0</v>
      </c>
      <c r="K71" s="48"/>
      <c r="L71" s="46"/>
    </row>
    <row r="72" spans="1:12" s="2" customFormat="1" ht="20.100000000000001" customHeight="1" x14ac:dyDescent="0.25">
      <c r="A72" s="66" t="s">
        <v>59</v>
      </c>
      <c r="B72" s="60"/>
      <c r="C72" s="60">
        <f>2429939-525430</f>
        <v>1904509</v>
      </c>
      <c r="D72" s="47">
        <v>6.3710000000000003E-2</v>
      </c>
      <c r="E72" s="47"/>
      <c r="F72" s="47">
        <v>7.5439999999999993E-2</v>
      </c>
      <c r="G72" s="47">
        <f>+D72-F72</f>
        <v>-1.172999999999999E-2</v>
      </c>
      <c r="H72" s="49">
        <f>+B72*D72</f>
        <v>0</v>
      </c>
      <c r="I72" s="49">
        <f>+B72*F72</f>
        <v>0</v>
      </c>
      <c r="J72" s="48">
        <f t="shared" ref="J72" si="8">+I72-H72</f>
        <v>0</v>
      </c>
      <c r="K72" s="48"/>
      <c r="L72" s="46"/>
    </row>
    <row r="73" spans="1:12" s="2" customFormat="1" ht="25.5" x14ac:dyDescent="0.25">
      <c r="A73" s="96" t="s">
        <v>76</v>
      </c>
      <c r="B73" s="61">
        <v>907883</v>
      </c>
      <c r="C73" s="61"/>
      <c r="D73" s="51"/>
      <c r="E73" s="51"/>
      <c r="F73" s="51"/>
      <c r="G73" s="51"/>
      <c r="H73" s="83"/>
      <c r="I73" s="83"/>
      <c r="J73" s="52">
        <f>19793-J71-J72</f>
        <v>19793</v>
      </c>
      <c r="K73" s="52">
        <f>SUM(J71:J73)</f>
        <v>19793</v>
      </c>
      <c r="L73" s="46"/>
    </row>
    <row r="74" spans="1:12" s="2" customFormat="1" ht="20.100000000000001" customHeight="1" x14ac:dyDescent="0.25">
      <c r="A74" s="66" t="s">
        <v>61</v>
      </c>
      <c r="B74" s="76"/>
      <c r="C74" s="77">
        <f>48783681-653050</f>
        <v>48130631</v>
      </c>
      <c r="D74" s="47">
        <v>0.11462000000000001</v>
      </c>
      <c r="E74" s="47"/>
      <c r="F74" s="47">
        <v>9.4710000000000003E-2</v>
      </c>
      <c r="G74" s="47">
        <f>+D74-F74</f>
        <v>1.9910000000000011E-2</v>
      </c>
      <c r="H74" s="49">
        <f>+B74*D74</f>
        <v>0</v>
      </c>
      <c r="I74" s="49">
        <f>+B74*F74</f>
        <v>0</v>
      </c>
      <c r="J74" s="86">
        <f t="shared" si="1"/>
        <v>0</v>
      </c>
      <c r="K74" s="91"/>
      <c r="L74" s="46"/>
    </row>
    <row r="75" spans="1:12" s="2" customFormat="1" ht="20.100000000000001" customHeight="1" x14ac:dyDescent="0.25">
      <c r="A75" s="66" t="s">
        <v>60</v>
      </c>
      <c r="B75" s="76"/>
      <c r="C75" s="77">
        <f>2215936-3689</f>
        <v>2212247</v>
      </c>
      <c r="D75" s="47">
        <v>7.6230000000000006E-2</v>
      </c>
      <c r="E75" s="47"/>
      <c r="F75" s="47">
        <v>0.11320000000000001</v>
      </c>
      <c r="G75" s="47">
        <f>+D75-F75</f>
        <v>-3.6970000000000003E-2</v>
      </c>
      <c r="H75" s="49">
        <f>+B75*D75</f>
        <v>0</v>
      </c>
      <c r="I75" s="49">
        <f>+B75*F75</f>
        <v>0</v>
      </c>
      <c r="J75" s="48">
        <f t="shared" ref="J75" si="9">+I75-H75</f>
        <v>0</v>
      </c>
      <c r="K75" s="75"/>
      <c r="L75" s="46"/>
    </row>
    <row r="76" spans="1:12" s="2" customFormat="1" ht="25.5" x14ac:dyDescent="0.25">
      <c r="A76" s="96" t="s">
        <v>76</v>
      </c>
      <c r="B76" s="89">
        <v>793398</v>
      </c>
      <c r="C76" s="90"/>
      <c r="D76" s="51"/>
      <c r="E76" s="51"/>
      <c r="F76" s="51"/>
      <c r="G76" s="51"/>
      <c r="H76" s="83"/>
      <c r="I76" s="83"/>
      <c r="J76" s="83">
        <f>-17299-J74-J75</f>
        <v>-17299</v>
      </c>
      <c r="K76" s="92">
        <f>SUM(J74:J76)</f>
        <v>-17299</v>
      </c>
      <c r="L76" s="46"/>
    </row>
    <row r="77" spans="1:12" s="2" customFormat="1" ht="20.100000000000001" customHeight="1" x14ac:dyDescent="0.25">
      <c r="B77" s="50">
        <f>SUM(B44:B76)</f>
        <v>222997460</v>
      </c>
      <c r="C77" s="50">
        <f>SUM(C44:C74)</f>
        <v>411162521</v>
      </c>
      <c r="D77" s="51">
        <f>AVERAGE(D44:D74)</f>
        <v>7.7094499999999982E-2</v>
      </c>
      <c r="E77" s="51"/>
      <c r="F77" s="51">
        <f>AVERAGE(F44:F74)</f>
        <v>8.0106999999999998E-2</v>
      </c>
      <c r="G77" s="51">
        <f>AVERAGE(G44:G74)</f>
        <v>-3.0124999999999991E-3</v>
      </c>
      <c r="H77" s="52">
        <f>SUM(H44:H76)</f>
        <v>12599098.758030001</v>
      </c>
      <c r="I77" s="52">
        <f>SUM(I44:I76)</f>
        <v>12375014.68705</v>
      </c>
      <c r="J77" s="52">
        <f>SUM(J44:J76)</f>
        <v>-258370</v>
      </c>
      <c r="K77" s="85">
        <f>SUM(K44:K76)</f>
        <v>-258370</v>
      </c>
      <c r="L77" s="68"/>
    </row>
    <row r="78" spans="1:12" s="2" customFormat="1" ht="20.100000000000001" customHeight="1" x14ac:dyDescent="0.25">
      <c r="B78" s="54"/>
      <c r="C78" s="54"/>
      <c r="D78" s="67"/>
      <c r="E78" s="67"/>
      <c r="F78" s="67"/>
      <c r="G78" s="68"/>
      <c r="H78" s="68"/>
      <c r="I78" s="69"/>
      <c r="J78" s="53"/>
      <c r="K78" s="53"/>
    </row>
    <row r="79" spans="1:12" s="2" customFormat="1" ht="20.100000000000001" customHeight="1" thickBot="1" x14ac:dyDescent="0.3">
      <c r="B79" s="54"/>
      <c r="C79" s="54"/>
      <c r="D79" s="67"/>
      <c r="E79" s="67"/>
      <c r="F79" s="67"/>
      <c r="G79" s="68"/>
      <c r="H79" s="68"/>
      <c r="I79" s="94" t="s">
        <v>43</v>
      </c>
      <c r="J79" s="95">
        <f>J37+J77</f>
        <v>918113.69808999868</v>
      </c>
      <c r="K79" s="95">
        <f>K37+K77</f>
        <v>918113.69808999868</v>
      </c>
    </row>
    <row r="80" spans="1:12" s="2" customFormat="1" ht="20.100000000000001" customHeight="1" thickTop="1" x14ac:dyDescent="0.25">
      <c r="A80" s="66" t="s">
        <v>74</v>
      </c>
      <c r="B80" s="54"/>
      <c r="C80" s="54"/>
      <c r="D80" s="67"/>
      <c r="E80" s="67"/>
      <c r="F80" s="67"/>
      <c r="G80" s="68"/>
      <c r="H80" s="68"/>
      <c r="I80" s="69"/>
      <c r="J80" s="53"/>
      <c r="K80" s="53"/>
    </row>
    <row r="81" spans="1:15" s="2" customFormat="1" ht="20.100000000000001" customHeight="1" x14ac:dyDescent="0.25">
      <c r="A81" s="2" t="s">
        <v>75</v>
      </c>
      <c r="B81" s="54"/>
      <c r="C81" s="54"/>
      <c r="D81" s="67"/>
      <c r="E81" s="67"/>
      <c r="F81" s="67"/>
      <c r="G81" s="68"/>
      <c r="H81" s="68"/>
      <c r="I81" s="69"/>
      <c r="J81" s="53"/>
      <c r="K81" s="53"/>
    </row>
    <row r="82" spans="1:15" s="2" customFormat="1" ht="20.100000000000001" customHeight="1" x14ac:dyDescent="0.25">
      <c r="B82" s="54"/>
      <c r="C82" s="54"/>
      <c r="D82" s="67"/>
      <c r="E82" s="67"/>
      <c r="F82" s="67"/>
      <c r="G82" s="68"/>
      <c r="H82" s="68"/>
      <c r="I82" s="69"/>
      <c r="J82" s="53"/>
      <c r="K82" s="53"/>
    </row>
    <row r="83" spans="1:15" s="2" customFormat="1" ht="20.100000000000001" customHeight="1" x14ac:dyDescent="0.25">
      <c r="B83" s="54"/>
      <c r="C83" s="54"/>
      <c r="D83" s="67"/>
      <c r="E83" s="67"/>
      <c r="F83" s="67"/>
      <c r="G83" s="68"/>
      <c r="H83" s="68"/>
      <c r="I83" s="69"/>
      <c r="J83" s="53"/>
      <c r="K83" s="53"/>
    </row>
    <row r="84" spans="1:15" s="2" customFormat="1" ht="20.100000000000001" customHeight="1" x14ac:dyDescent="0.25">
      <c r="B84" s="62" t="s">
        <v>13</v>
      </c>
      <c r="C84" s="63"/>
      <c r="D84" s="63"/>
      <c r="E84" s="63"/>
      <c r="F84" s="63"/>
      <c r="I84" s="1"/>
    </row>
    <row r="85" spans="1:15" s="2" customFormat="1" ht="20.100000000000001" customHeight="1" x14ac:dyDescent="0.25">
      <c r="B85" s="62"/>
      <c r="C85" s="63"/>
      <c r="D85" s="63"/>
      <c r="E85" s="63"/>
      <c r="F85" s="63"/>
      <c r="I85" s="1"/>
    </row>
    <row r="86" spans="1:15" s="2" customFormat="1" ht="20.100000000000001" customHeight="1" x14ac:dyDescent="0.25">
      <c r="B86" s="70">
        <v>2015</v>
      </c>
      <c r="C86" s="70" t="s">
        <v>15</v>
      </c>
      <c r="D86" s="70" t="s">
        <v>16</v>
      </c>
      <c r="E86" s="70" t="s">
        <v>28</v>
      </c>
      <c r="F86" s="70" t="s">
        <v>29</v>
      </c>
      <c r="G86" s="70" t="s">
        <v>30</v>
      </c>
      <c r="H86" s="70" t="s">
        <v>31</v>
      </c>
      <c r="I86" s="70" t="s">
        <v>32</v>
      </c>
      <c r="J86" s="70" t="s">
        <v>33</v>
      </c>
      <c r="K86" s="70"/>
      <c r="L86" s="70" t="s">
        <v>34</v>
      </c>
      <c r="M86" s="70" t="s">
        <v>35</v>
      </c>
      <c r="N86" s="70" t="s">
        <v>36</v>
      </c>
      <c r="O86" s="70" t="s">
        <v>37</v>
      </c>
    </row>
    <row r="87" spans="1:15" s="2" customFormat="1" ht="54.75" customHeight="1" x14ac:dyDescent="0.25">
      <c r="B87" s="71" t="s">
        <v>38</v>
      </c>
      <c r="C87" s="71">
        <v>55.49</v>
      </c>
      <c r="D87" s="71">
        <v>69.81</v>
      </c>
      <c r="E87" s="71">
        <v>36.04</v>
      </c>
      <c r="F87" s="71">
        <v>67.05</v>
      </c>
      <c r="G87" s="71">
        <v>94.16</v>
      </c>
      <c r="H87" s="71">
        <v>92.28</v>
      </c>
      <c r="I87" s="71">
        <v>88.88</v>
      </c>
      <c r="J87" s="71">
        <v>88.05</v>
      </c>
      <c r="K87" s="71"/>
      <c r="L87" s="71">
        <v>82.7</v>
      </c>
      <c r="M87" s="71">
        <v>63.71</v>
      </c>
      <c r="N87" s="71">
        <v>76.23</v>
      </c>
      <c r="O87" s="71">
        <v>114.62</v>
      </c>
    </row>
    <row r="88" spans="1:15" s="2" customFormat="1" ht="53.25" customHeight="1" x14ac:dyDescent="0.25">
      <c r="B88" s="71" t="s">
        <v>39</v>
      </c>
      <c r="C88" s="71">
        <v>61.61</v>
      </c>
      <c r="D88" s="71">
        <v>40.950000000000003</v>
      </c>
      <c r="E88" s="71">
        <v>57.4</v>
      </c>
      <c r="F88" s="71">
        <v>92.68</v>
      </c>
      <c r="G88" s="71">
        <v>97.3</v>
      </c>
      <c r="H88" s="71">
        <v>97.68</v>
      </c>
      <c r="I88" s="71">
        <v>84.13</v>
      </c>
      <c r="J88" s="71">
        <v>73.55</v>
      </c>
      <c r="K88" s="71"/>
      <c r="L88" s="71">
        <v>71.91</v>
      </c>
      <c r="M88" s="71">
        <v>71.930000000000007</v>
      </c>
      <c r="N88" s="71">
        <v>124.48</v>
      </c>
      <c r="O88" s="71">
        <v>88.09</v>
      </c>
    </row>
    <row r="89" spans="1:15" s="2" customFormat="1" ht="43.5" customHeight="1" x14ac:dyDescent="0.25">
      <c r="B89" s="72" t="s">
        <v>40</v>
      </c>
      <c r="C89" s="71">
        <v>50.68</v>
      </c>
      <c r="D89" s="71">
        <v>39.61</v>
      </c>
      <c r="E89" s="71">
        <v>62.9</v>
      </c>
      <c r="F89" s="71">
        <v>95.59</v>
      </c>
      <c r="G89" s="71">
        <v>96.68</v>
      </c>
      <c r="H89" s="71">
        <v>95.4</v>
      </c>
      <c r="I89" s="71">
        <v>78.83</v>
      </c>
      <c r="J89" s="71">
        <v>80.099999999999994</v>
      </c>
      <c r="K89" s="71"/>
      <c r="L89" s="71">
        <v>67.03</v>
      </c>
      <c r="M89" s="71">
        <v>75.44</v>
      </c>
      <c r="N89" s="71">
        <v>113.2</v>
      </c>
      <c r="O89" s="71">
        <v>94.71</v>
      </c>
    </row>
    <row r="90" spans="1:15" s="2" customFormat="1" ht="20.100000000000001" customHeight="1" x14ac:dyDescent="0.3">
      <c r="B90" s="62"/>
      <c r="C90" s="63"/>
      <c r="D90" s="63"/>
      <c r="E90" s="63"/>
      <c r="F90" s="63"/>
      <c r="I90" s="1"/>
    </row>
    <row r="91" spans="1:15" s="2" customFormat="1" ht="20.100000000000001" customHeight="1" x14ac:dyDescent="0.3">
      <c r="B91" s="62"/>
      <c r="C91" s="63"/>
      <c r="D91" s="63"/>
      <c r="E91" s="63"/>
      <c r="F91" s="63"/>
      <c r="I91" s="1"/>
    </row>
    <row r="92" spans="1:15" s="2" customFormat="1" ht="20.100000000000001" customHeight="1" x14ac:dyDescent="0.3">
      <c r="I92" s="1"/>
    </row>
    <row r="93" spans="1:15" s="2" customFormat="1" ht="20.100000000000001" customHeight="1" x14ac:dyDescent="0.3">
      <c r="I93" s="1"/>
    </row>
    <row r="94" spans="1:15" s="2" customFormat="1" ht="20.100000000000001" customHeight="1" x14ac:dyDescent="0.3">
      <c r="I94" s="1"/>
    </row>
    <row r="95" spans="1:15" s="2" customFormat="1" ht="20.100000000000001" customHeight="1" x14ac:dyDescent="0.3">
      <c r="I95" s="1"/>
    </row>
    <row r="96" spans="1:15" s="2" customFormat="1" ht="20.100000000000001" customHeight="1" x14ac:dyDescent="0.3">
      <c r="I96" s="1"/>
    </row>
    <row r="97" spans="9:11" x14ac:dyDescent="0.25">
      <c r="I97" s="56"/>
      <c r="J97" s="55"/>
      <c r="K97" s="55"/>
    </row>
    <row r="98" spans="9:11" x14ac:dyDescent="0.25">
      <c r="I98" s="56"/>
      <c r="J98" s="55"/>
      <c r="K98" s="55"/>
    </row>
    <row r="99" spans="9:11" x14ac:dyDescent="0.25">
      <c r="I99" s="56"/>
      <c r="J99" s="55"/>
      <c r="K99" s="55"/>
    </row>
    <row r="100" spans="9:11" x14ac:dyDescent="0.25">
      <c r="I100" s="56"/>
      <c r="J100" s="55"/>
      <c r="K100" s="55"/>
    </row>
    <row r="101" spans="9:11" x14ac:dyDescent="0.25">
      <c r="I101" s="56"/>
      <c r="J101" s="55"/>
      <c r="K101" s="55"/>
    </row>
    <row r="102" spans="9:11" x14ac:dyDescent="0.25">
      <c r="I102" s="56"/>
      <c r="J102" s="55"/>
      <c r="K102" s="55"/>
    </row>
    <row r="103" spans="9:11" ht="15.75" customHeight="1" x14ac:dyDescent="0.25">
      <c r="I103" s="56"/>
      <c r="J103" s="55"/>
      <c r="K103" s="55"/>
    </row>
    <row r="104" spans="9:11" x14ac:dyDescent="0.25">
      <c r="I104" s="56"/>
      <c r="J104" s="55"/>
      <c r="K104" s="55"/>
    </row>
    <row r="105" spans="9:11" x14ac:dyDescent="0.25">
      <c r="I105" s="56"/>
      <c r="J105" s="55"/>
      <c r="K105" s="55"/>
    </row>
    <row r="106" spans="9:11" x14ac:dyDescent="0.25">
      <c r="I106" s="56"/>
      <c r="J106" s="55"/>
      <c r="K106" s="55"/>
    </row>
    <row r="107" spans="9:11" x14ac:dyDescent="0.25">
      <c r="I107" s="56"/>
      <c r="J107" s="55"/>
      <c r="K107" s="55"/>
    </row>
    <row r="108" spans="9:11" x14ac:dyDescent="0.25">
      <c r="I108" s="56"/>
      <c r="J108" s="55"/>
      <c r="K108" s="55"/>
    </row>
    <row r="109" spans="9:11" x14ac:dyDescent="0.25">
      <c r="I109" s="56"/>
      <c r="J109" s="55"/>
      <c r="K109" s="55"/>
    </row>
    <row r="110" spans="9:11" x14ac:dyDescent="0.25">
      <c r="I110" s="56"/>
      <c r="J110" s="55"/>
      <c r="K110" s="55"/>
    </row>
    <row r="111" spans="9:11" x14ac:dyDescent="0.25">
      <c r="I111" s="56"/>
      <c r="J111" s="55"/>
      <c r="K111" s="55"/>
    </row>
    <row r="112" spans="9:11" x14ac:dyDescent="0.25">
      <c r="I112" s="56"/>
      <c r="J112" s="55"/>
      <c r="K112" s="55"/>
    </row>
    <row r="113" spans="9:11" x14ac:dyDescent="0.25">
      <c r="I113" s="56"/>
      <c r="J113" s="55"/>
      <c r="K113" s="55"/>
    </row>
    <row r="114" spans="9:11" x14ac:dyDescent="0.25">
      <c r="I114" s="56"/>
      <c r="J114" s="55"/>
      <c r="K114" s="55"/>
    </row>
    <row r="115" spans="9:11" x14ac:dyDescent="0.25">
      <c r="I115" s="56"/>
      <c r="J115" s="55"/>
      <c r="K115" s="55"/>
    </row>
    <row r="116" spans="9:11" x14ac:dyDescent="0.25">
      <c r="I116" s="56"/>
      <c r="J116" s="55"/>
      <c r="K116" s="55"/>
    </row>
    <row r="117" spans="9:11" x14ac:dyDescent="0.25">
      <c r="I117" s="56"/>
      <c r="J117" s="55"/>
      <c r="K117" s="55"/>
    </row>
    <row r="118" spans="9:11" x14ac:dyDescent="0.25">
      <c r="I118" s="56"/>
      <c r="J118" s="55"/>
      <c r="K118" s="55"/>
    </row>
    <row r="119" spans="9:11" x14ac:dyDescent="0.25">
      <c r="I119" s="56"/>
      <c r="J119" s="55"/>
      <c r="K119" s="55"/>
    </row>
    <row r="120" spans="9:11" x14ac:dyDescent="0.25">
      <c r="I120" s="56"/>
      <c r="J120" s="55"/>
      <c r="K120" s="55"/>
    </row>
    <row r="121" spans="9:11" x14ac:dyDescent="0.25">
      <c r="I121" s="56"/>
      <c r="J121" s="55"/>
      <c r="K121" s="55"/>
    </row>
    <row r="122" spans="9:11" x14ac:dyDescent="0.25">
      <c r="I122" s="56"/>
      <c r="J122" s="55"/>
      <c r="K122" s="55"/>
    </row>
    <row r="123" spans="9:11" x14ac:dyDescent="0.25">
      <c r="I123" s="56"/>
      <c r="J123" s="55"/>
      <c r="K123" s="55"/>
    </row>
    <row r="124" spans="9:11" x14ac:dyDescent="0.25">
      <c r="I124" s="56"/>
      <c r="J124" s="55"/>
      <c r="K124" s="55"/>
    </row>
    <row r="125" spans="9:11" x14ac:dyDescent="0.25">
      <c r="I125" s="56"/>
      <c r="J125" s="55"/>
      <c r="K125" s="55"/>
    </row>
    <row r="126" spans="9:11" x14ac:dyDescent="0.25">
      <c r="I126" s="56"/>
      <c r="J126" s="55"/>
      <c r="K126" s="55"/>
    </row>
    <row r="127" spans="9:11" x14ac:dyDescent="0.25">
      <c r="I127" s="56"/>
      <c r="J127" s="55"/>
      <c r="K127" s="55"/>
    </row>
    <row r="128" spans="9:11" x14ac:dyDescent="0.25">
      <c r="I128" s="56"/>
      <c r="J128" s="55"/>
      <c r="K128" s="55"/>
    </row>
    <row r="129" spans="9:11" x14ac:dyDescent="0.25">
      <c r="I129" s="56"/>
      <c r="J129" s="55"/>
      <c r="K129" s="55"/>
    </row>
    <row r="130" spans="9:11" x14ac:dyDescent="0.25">
      <c r="I130" s="56"/>
      <c r="J130" s="55"/>
      <c r="K130" s="55"/>
    </row>
    <row r="131" spans="9:11" x14ac:dyDescent="0.25">
      <c r="I131" s="56"/>
      <c r="J131" s="55"/>
      <c r="K131" s="55"/>
    </row>
    <row r="132" spans="9:11" x14ac:dyDescent="0.25">
      <c r="I132" s="56"/>
      <c r="J132" s="55"/>
      <c r="K132" s="55"/>
    </row>
    <row r="133" spans="9:11" x14ac:dyDescent="0.25">
      <c r="I133" s="56"/>
      <c r="J133" s="55"/>
      <c r="K133" s="55"/>
    </row>
    <row r="134" spans="9:11" x14ac:dyDescent="0.25">
      <c r="I134" s="56"/>
      <c r="J134" s="55"/>
      <c r="K134" s="55"/>
    </row>
    <row r="135" spans="9:11" x14ac:dyDescent="0.25">
      <c r="I135" s="56"/>
      <c r="J135" s="55"/>
      <c r="K135" s="55"/>
    </row>
    <row r="136" spans="9:11" x14ac:dyDescent="0.25">
      <c r="I136" s="56"/>
      <c r="J136" s="55"/>
      <c r="K136" s="55"/>
    </row>
    <row r="137" spans="9:11" x14ac:dyDescent="0.25">
      <c r="I137" s="56"/>
      <c r="J137" s="55"/>
      <c r="K137" s="55"/>
    </row>
    <row r="138" spans="9:11" x14ac:dyDescent="0.25">
      <c r="I138" s="56"/>
      <c r="J138" s="55"/>
      <c r="K138" s="55"/>
    </row>
    <row r="139" spans="9:11" x14ac:dyDescent="0.25">
      <c r="I139" s="56"/>
      <c r="J139" s="55"/>
      <c r="K139" s="55"/>
    </row>
    <row r="140" spans="9:11" x14ac:dyDescent="0.25">
      <c r="I140" s="56"/>
      <c r="J140" s="55"/>
      <c r="K140" s="55"/>
    </row>
    <row r="141" spans="9:11" x14ac:dyDescent="0.25">
      <c r="I141" s="56"/>
      <c r="J141" s="55"/>
      <c r="K141" s="55"/>
    </row>
    <row r="142" spans="9:11" x14ac:dyDescent="0.25">
      <c r="I142" s="56"/>
      <c r="J142" s="55"/>
      <c r="K142" s="55"/>
    </row>
    <row r="143" spans="9:11" x14ac:dyDescent="0.25">
      <c r="I143" s="56"/>
      <c r="J143" s="55"/>
      <c r="K143" s="55"/>
    </row>
    <row r="144" spans="9:11" x14ac:dyDescent="0.25">
      <c r="I144" s="56"/>
      <c r="J144" s="55"/>
      <c r="K144" s="55"/>
    </row>
    <row r="145" spans="9:11" x14ac:dyDescent="0.25">
      <c r="I145" s="56"/>
      <c r="J145" s="55"/>
      <c r="K145" s="55"/>
    </row>
    <row r="146" spans="9:11" x14ac:dyDescent="0.25">
      <c r="I146" s="56"/>
      <c r="J146" s="55"/>
      <c r="K146" s="55"/>
    </row>
    <row r="147" spans="9:11" x14ac:dyDescent="0.25">
      <c r="I147" s="56"/>
      <c r="J147" s="55"/>
      <c r="K147" s="55"/>
    </row>
    <row r="148" spans="9:11" x14ac:dyDescent="0.25">
      <c r="I148" s="56"/>
      <c r="J148" s="55"/>
      <c r="K148" s="55"/>
    </row>
    <row r="149" spans="9:11" x14ac:dyDescent="0.25">
      <c r="I149" s="56"/>
      <c r="J149" s="55"/>
      <c r="K149" s="55"/>
    </row>
    <row r="150" spans="9:11" x14ac:dyDescent="0.25">
      <c r="I150" s="56"/>
      <c r="J150" s="55"/>
      <c r="K150" s="55"/>
    </row>
    <row r="151" spans="9:11" x14ac:dyDescent="0.25">
      <c r="I151" s="56"/>
      <c r="J151" s="55"/>
      <c r="K151" s="55"/>
    </row>
    <row r="152" spans="9:11" x14ac:dyDescent="0.25">
      <c r="I152" s="56"/>
      <c r="J152" s="55"/>
      <c r="K152" s="55"/>
    </row>
    <row r="153" spans="9:11" x14ac:dyDescent="0.25">
      <c r="I153" s="56"/>
      <c r="J153" s="55"/>
      <c r="K153" s="55"/>
    </row>
    <row r="154" spans="9:11" x14ac:dyDescent="0.25">
      <c r="I154" s="56"/>
      <c r="J154" s="55"/>
      <c r="K154" s="55"/>
    </row>
    <row r="155" spans="9:11" x14ac:dyDescent="0.25">
      <c r="I155" s="56"/>
      <c r="J155" s="55"/>
      <c r="K155" s="55"/>
    </row>
    <row r="156" spans="9:11" x14ac:dyDescent="0.25">
      <c r="I156" s="56"/>
      <c r="J156" s="55"/>
      <c r="K156" s="55"/>
    </row>
    <row r="157" spans="9:11" x14ac:dyDescent="0.25">
      <c r="I157" s="56"/>
      <c r="J157" s="55"/>
      <c r="K157" s="55"/>
    </row>
    <row r="158" spans="9:11" x14ac:dyDescent="0.25">
      <c r="I158" s="56"/>
      <c r="J158" s="55"/>
      <c r="K158" s="55"/>
    </row>
    <row r="159" spans="9:11" x14ac:dyDescent="0.25">
      <c r="I159" s="56"/>
      <c r="J159" s="55"/>
      <c r="K159" s="55"/>
    </row>
    <row r="160" spans="9:11" x14ac:dyDescent="0.25">
      <c r="I160" s="56"/>
      <c r="J160" s="55"/>
      <c r="K160" s="55"/>
    </row>
    <row r="161" spans="9:11" x14ac:dyDescent="0.25">
      <c r="I161" s="56"/>
      <c r="J161" s="55"/>
      <c r="K161" s="55"/>
    </row>
    <row r="162" spans="9:11" x14ac:dyDescent="0.25">
      <c r="I162" s="56"/>
      <c r="J162" s="55"/>
      <c r="K162" s="55"/>
    </row>
    <row r="163" spans="9:11" x14ac:dyDescent="0.25">
      <c r="I163" s="56"/>
      <c r="J163" s="55"/>
      <c r="K163" s="55"/>
    </row>
    <row r="164" spans="9:11" x14ac:dyDescent="0.25">
      <c r="I164" s="56"/>
      <c r="J164" s="55"/>
      <c r="K164" s="55"/>
    </row>
    <row r="165" spans="9:11" x14ac:dyDescent="0.25">
      <c r="I165" s="56"/>
      <c r="J165" s="55"/>
      <c r="K165" s="55"/>
    </row>
    <row r="166" spans="9:11" x14ac:dyDescent="0.25">
      <c r="I166" s="56"/>
      <c r="J166" s="55"/>
      <c r="K166" s="55"/>
    </row>
    <row r="167" spans="9:11" x14ac:dyDescent="0.25">
      <c r="I167" s="56"/>
      <c r="J167" s="55"/>
      <c r="K167" s="55"/>
    </row>
    <row r="168" spans="9:11" x14ac:dyDescent="0.25">
      <c r="I168" s="56"/>
      <c r="J168" s="55"/>
      <c r="K168" s="55"/>
    </row>
    <row r="169" spans="9:11" x14ac:dyDescent="0.25">
      <c r="I169" s="56"/>
      <c r="J169" s="55"/>
      <c r="K169" s="55"/>
    </row>
    <row r="170" spans="9:11" x14ac:dyDescent="0.25">
      <c r="I170" s="56"/>
      <c r="J170" s="55"/>
      <c r="K170" s="55"/>
    </row>
    <row r="171" spans="9:11" x14ac:dyDescent="0.25">
      <c r="I171" s="56"/>
      <c r="J171" s="55"/>
      <c r="K171" s="55"/>
    </row>
    <row r="172" spans="9:11" x14ac:dyDescent="0.25">
      <c r="I172" s="56"/>
      <c r="J172" s="55"/>
      <c r="K172" s="55"/>
    </row>
    <row r="173" spans="9:11" x14ac:dyDescent="0.25">
      <c r="I173" s="56"/>
      <c r="J173" s="55"/>
      <c r="K173" s="55"/>
    </row>
    <row r="174" spans="9:11" x14ac:dyDescent="0.25">
      <c r="I174" s="56"/>
      <c r="J174" s="55"/>
      <c r="K174" s="55"/>
    </row>
    <row r="175" spans="9:11" x14ac:dyDescent="0.25">
      <c r="I175" s="56"/>
      <c r="J175" s="55"/>
      <c r="K175" s="55"/>
    </row>
    <row r="176" spans="9:11" x14ac:dyDescent="0.25">
      <c r="I176" s="56"/>
      <c r="J176" s="55"/>
      <c r="K176" s="55"/>
    </row>
    <row r="177" spans="9:11" x14ac:dyDescent="0.25">
      <c r="I177" s="56"/>
      <c r="J177" s="55"/>
      <c r="K177" s="55"/>
    </row>
    <row r="178" spans="9:11" x14ac:dyDescent="0.25">
      <c r="I178" s="56"/>
      <c r="J178" s="55"/>
      <c r="K178" s="55"/>
    </row>
    <row r="179" spans="9:11" x14ac:dyDescent="0.25">
      <c r="I179" s="56"/>
      <c r="J179" s="55"/>
      <c r="K179" s="55"/>
    </row>
    <row r="180" spans="9:11" x14ac:dyDescent="0.25">
      <c r="I180" s="56"/>
      <c r="J180" s="55"/>
      <c r="K180" s="55"/>
    </row>
    <row r="181" spans="9:11" x14ac:dyDescent="0.25">
      <c r="I181" s="56"/>
      <c r="J181" s="55"/>
      <c r="K181" s="55"/>
    </row>
    <row r="182" spans="9:11" x14ac:dyDescent="0.25">
      <c r="I182" s="56"/>
      <c r="J182" s="55"/>
      <c r="K182" s="55"/>
    </row>
    <row r="183" spans="9:11" x14ac:dyDescent="0.25">
      <c r="I183" s="56"/>
      <c r="J183" s="55"/>
      <c r="K183" s="55"/>
    </row>
    <row r="184" spans="9:11" x14ac:dyDescent="0.25">
      <c r="I184" s="56"/>
      <c r="J184" s="55"/>
      <c r="K184" s="55"/>
    </row>
    <row r="185" spans="9:11" x14ac:dyDescent="0.25">
      <c r="I185" s="56"/>
      <c r="J185" s="55"/>
      <c r="K185" s="55"/>
    </row>
    <row r="186" spans="9:11" x14ac:dyDescent="0.25">
      <c r="I186" s="56"/>
      <c r="J186" s="55"/>
      <c r="K186" s="55"/>
    </row>
    <row r="187" spans="9:11" x14ac:dyDescent="0.25">
      <c r="I187" s="56"/>
      <c r="J187" s="55"/>
      <c r="K187" s="55"/>
    </row>
    <row r="188" spans="9:11" x14ac:dyDescent="0.25">
      <c r="I188" s="56"/>
      <c r="J188" s="55"/>
      <c r="K188" s="55"/>
    </row>
    <row r="189" spans="9:11" x14ac:dyDescent="0.25">
      <c r="I189" s="56"/>
      <c r="J189" s="55"/>
      <c r="K189" s="55"/>
    </row>
    <row r="190" spans="9:11" x14ac:dyDescent="0.25">
      <c r="I190" s="56"/>
      <c r="J190" s="55"/>
      <c r="K190" s="55"/>
    </row>
    <row r="191" spans="9:11" x14ac:dyDescent="0.25">
      <c r="I191" s="56"/>
      <c r="J191" s="55"/>
      <c r="K191" s="55"/>
    </row>
    <row r="192" spans="9:11" x14ac:dyDescent="0.25">
      <c r="I192" s="56"/>
      <c r="J192" s="55"/>
      <c r="K192" s="55"/>
    </row>
    <row r="193" spans="9:11" x14ac:dyDescent="0.25">
      <c r="I193" s="56"/>
      <c r="J193" s="55"/>
      <c r="K193" s="55"/>
    </row>
    <row r="194" spans="9:11" x14ac:dyDescent="0.25">
      <c r="I194" s="56"/>
      <c r="J194" s="55"/>
      <c r="K194" s="55"/>
    </row>
    <row r="195" spans="9:11" x14ac:dyDescent="0.25">
      <c r="I195" s="56"/>
      <c r="J195" s="55"/>
      <c r="K195" s="55"/>
    </row>
    <row r="196" spans="9:11" x14ac:dyDescent="0.25">
      <c r="I196" s="56"/>
      <c r="J196" s="55"/>
      <c r="K196" s="55"/>
    </row>
    <row r="197" spans="9:11" x14ac:dyDescent="0.25">
      <c r="I197" s="56"/>
      <c r="J197" s="55"/>
      <c r="K197" s="55"/>
    </row>
    <row r="198" spans="9:11" x14ac:dyDescent="0.25">
      <c r="I198" s="56"/>
      <c r="J198" s="55"/>
      <c r="K198" s="55"/>
    </row>
    <row r="199" spans="9:11" x14ac:dyDescent="0.25">
      <c r="I199" s="56"/>
      <c r="J199" s="55"/>
      <c r="K199" s="55"/>
    </row>
    <row r="200" spans="9:11" x14ac:dyDescent="0.25">
      <c r="I200" s="56"/>
      <c r="J200" s="55"/>
      <c r="K200" s="55"/>
    </row>
    <row r="201" spans="9:11" x14ac:dyDescent="0.25">
      <c r="I201" s="56"/>
      <c r="J201" s="55"/>
      <c r="K201" s="55"/>
    </row>
    <row r="202" spans="9:11" x14ac:dyDescent="0.25">
      <c r="I202" s="56"/>
      <c r="J202" s="55"/>
      <c r="K202" s="55"/>
    </row>
    <row r="203" spans="9:11" x14ac:dyDescent="0.25">
      <c r="I203" s="56"/>
      <c r="J203" s="55"/>
      <c r="K203" s="55"/>
    </row>
    <row r="204" spans="9:11" x14ac:dyDescent="0.25">
      <c r="I204" s="56"/>
      <c r="J204" s="55"/>
      <c r="K204" s="55"/>
    </row>
    <row r="205" spans="9:11" x14ac:dyDescent="0.25">
      <c r="I205" s="56"/>
      <c r="J205" s="55"/>
      <c r="K205" s="55"/>
    </row>
    <row r="206" spans="9:11" x14ac:dyDescent="0.25">
      <c r="I206" s="56"/>
      <c r="J206" s="55"/>
      <c r="K206" s="55"/>
    </row>
    <row r="207" spans="9:11" x14ac:dyDescent="0.25">
      <c r="I207" s="56"/>
      <c r="J207" s="55"/>
      <c r="K207" s="55"/>
    </row>
    <row r="208" spans="9:11" x14ac:dyDescent="0.25">
      <c r="I208" s="56"/>
      <c r="J208" s="55"/>
      <c r="K208" s="55"/>
    </row>
    <row r="209" spans="9:11" x14ac:dyDescent="0.25">
      <c r="I209" s="56"/>
      <c r="J209" s="55"/>
      <c r="K209" s="55"/>
    </row>
    <row r="210" spans="9:11" x14ac:dyDescent="0.25">
      <c r="I210" s="56"/>
      <c r="J210" s="55"/>
      <c r="K210" s="55"/>
    </row>
    <row r="211" spans="9:11" x14ac:dyDescent="0.25">
      <c r="I211" s="56"/>
      <c r="J211" s="55"/>
      <c r="K211" s="55"/>
    </row>
    <row r="212" spans="9:11" x14ac:dyDescent="0.25">
      <c r="I212" s="56"/>
      <c r="J212" s="55"/>
      <c r="K212" s="55"/>
    </row>
    <row r="213" spans="9:11" x14ac:dyDescent="0.25">
      <c r="I213" s="56"/>
      <c r="J213" s="55"/>
      <c r="K213" s="55"/>
    </row>
    <row r="214" spans="9:11" x14ac:dyDescent="0.25">
      <c r="I214" s="56"/>
      <c r="J214" s="55"/>
      <c r="K214" s="55"/>
    </row>
    <row r="215" spans="9:11" x14ac:dyDescent="0.25">
      <c r="I215" s="56"/>
      <c r="J215" s="55"/>
      <c r="K215" s="55"/>
    </row>
    <row r="216" spans="9:11" x14ac:dyDescent="0.25">
      <c r="I216" s="56"/>
      <c r="J216" s="55"/>
      <c r="K216" s="55"/>
    </row>
    <row r="217" spans="9:11" x14ac:dyDescent="0.25">
      <c r="I217" s="56"/>
      <c r="J217" s="55"/>
      <c r="K217" s="55"/>
    </row>
    <row r="218" spans="9:11" x14ac:dyDescent="0.25">
      <c r="I218" s="56"/>
      <c r="J218" s="55"/>
      <c r="K218" s="55"/>
    </row>
    <row r="219" spans="9:11" x14ac:dyDescent="0.25">
      <c r="I219" s="56"/>
      <c r="J219" s="55"/>
      <c r="K219" s="55"/>
    </row>
    <row r="220" spans="9:11" x14ac:dyDescent="0.25">
      <c r="I220" s="56"/>
      <c r="J220" s="55"/>
      <c r="K220" s="55"/>
    </row>
    <row r="221" spans="9:11" x14ac:dyDescent="0.25">
      <c r="I221" s="56"/>
      <c r="J221" s="55"/>
      <c r="K221" s="55"/>
    </row>
    <row r="222" spans="9:11" x14ac:dyDescent="0.25">
      <c r="I222" s="56"/>
      <c r="J222" s="55"/>
      <c r="K222" s="55"/>
    </row>
    <row r="223" spans="9:11" x14ac:dyDescent="0.25">
      <c r="I223" s="56"/>
      <c r="J223" s="55"/>
      <c r="K223" s="55"/>
    </row>
  </sheetData>
  <mergeCells count="1">
    <mergeCell ref="B1:I1"/>
  </mergeCells>
  <pageMargins left="0.70866141732283472" right="0.70866141732283472" top="0.42" bottom="0.37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</vt:lpstr>
      <vt:lpstr>GA!Print_Area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Mona Habashy</cp:lastModifiedBy>
  <cp:lastPrinted>2017-03-13T18:43:29Z</cp:lastPrinted>
  <dcterms:created xsi:type="dcterms:W3CDTF">2017-01-05T15:56:55Z</dcterms:created>
  <dcterms:modified xsi:type="dcterms:W3CDTF">2017-03-23T13:49:03Z</dcterms:modified>
</cp:coreProperties>
</file>