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5180" windowHeight="7812"/>
  </bookViews>
  <sheets>
    <sheet name="1588 and 1589" sheetId="4" r:id="rId1"/>
    <sheet name="Sheet2" sheetId="2" r:id="rId2"/>
    <sheet name="Sheet3" sheetId="3" r:id="rId3"/>
  </sheets>
  <definedNames>
    <definedName name="_xlnm.Print_Titles" localSheetId="0">'1588 and 1589'!$2:$3</definedName>
  </definedNames>
  <calcPr calcId="145621"/>
</workbook>
</file>

<file path=xl/calcChain.xml><?xml version="1.0" encoding="utf-8"?>
<calcChain xmlns="http://schemas.openxmlformats.org/spreadsheetml/2006/main">
  <c r="O38" i="4" l="1"/>
  <c r="M36" i="4"/>
  <c r="M35" i="4"/>
  <c r="M34" i="4"/>
  <c r="M33" i="4"/>
  <c r="M32" i="4"/>
  <c r="M31" i="4"/>
  <c r="M30" i="4"/>
  <c r="M28" i="4"/>
  <c r="M27" i="4"/>
  <c r="M26" i="4"/>
  <c r="M25" i="4"/>
  <c r="L37" i="4"/>
  <c r="K29" i="4"/>
  <c r="K37" i="4" s="1"/>
  <c r="M22" i="4"/>
  <c r="L20" i="4"/>
  <c r="M18" i="4"/>
  <c r="M17" i="4"/>
  <c r="M16" i="4"/>
  <c r="M15" i="4"/>
  <c r="M14" i="4"/>
  <c r="M13" i="4"/>
  <c r="M12" i="4"/>
  <c r="M11" i="4"/>
  <c r="M10" i="4"/>
  <c r="M8" i="4"/>
  <c r="K19" i="4"/>
  <c r="M19" i="4" s="1"/>
  <c r="K9" i="4"/>
  <c r="K20" i="4" s="1"/>
  <c r="M5" i="4"/>
  <c r="M4" i="4"/>
  <c r="L6" i="4"/>
  <c r="K6" i="4"/>
  <c r="G36" i="4"/>
  <c r="G35" i="4"/>
  <c r="O35" i="4" s="1"/>
  <c r="G34" i="4"/>
  <c r="G33" i="4"/>
  <c r="G32" i="4"/>
  <c r="G31" i="4"/>
  <c r="G30" i="4"/>
  <c r="G28" i="4"/>
  <c r="G27" i="4"/>
  <c r="O27" i="4" s="1"/>
  <c r="G26" i="4"/>
  <c r="O26" i="4" s="1"/>
  <c r="G25" i="4"/>
  <c r="F37" i="4"/>
  <c r="E29" i="4"/>
  <c r="E37" i="4" s="1"/>
  <c r="L21" i="4" l="1"/>
  <c r="O30" i="4"/>
  <c r="O33" i="4"/>
  <c r="O25" i="4"/>
  <c r="O34" i="4"/>
  <c r="O36" i="4"/>
  <c r="M9" i="4"/>
  <c r="M20" i="4" s="1"/>
  <c r="O28" i="4"/>
  <c r="K21" i="4"/>
  <c r="O31" i="4"/>
  <c r="M29" i="4"/>
  <c r="M37" i="4" s="1"/>
  <c r="O32" i="4"/>
  <c r="K23" i="4"/>
  <c r="K39" i="4" s="1"/>
  <c r="L23" i="4"/>
  <c r="L39" i="4" s="1"/>
  <c r="G29" i="4"/>
  <c r="M6" i="4"/>
  <c r="M21" i="4" l="1"/>
  <c r="M23" i="4"/>
  <c r="M39" i="4" s="1"/>
  <c r="O29" i="4"/>
  <c r="G37" i="4"/>
  <c r="O37" i="4" s="1"/>
  <c r="G22" i="4"/>
  <c r="O22" i="4" s="1"/>
  <c r="G9" i="4"/>
  <c r="O9" i="4" s="1"/>
  <c r="G10" i="4"/>
  <c r="O10" i="4" s="1"/>
  <c r="G11" i="4"/>
  <c r="O11" i="4" s="1"/>
  <c r="G12" i="4"/>
  <c r="O12" i="4" s="1"/>
  <c r="G13" i="4"/>
  <c r="O13" i="4" s="1"/>
  <c r="G14" i="4"/>
  <c r="O14" i="4" s="1"/>
  <c r="G15" i="4"/>
  <c r="O15" i="4" s="1"/>
  <c r="G16" i="4"/>
  <c r="O16" i="4" s="1"/>
  <c r="G17" i="4"/>
  <c r="O17" i="4" s="1"/>
  <c r="G18" i="4"/>
  <c r="O18" i="4" s="1"/>
  <c r="G19" i="4"/>
  <c r="O19" i="4" s="1"/>
  <c r="G8" i="4"/>
  <c r="O8" i="4" s="1"/>
  <c r="F20" i="4"/>
  <c r="E9" i="4"/>
  <c r="E20" i="4" s="1"/>
  <c r="G5" i="4"/>
  <c r="G4" i="4"/>
  <c r="O4" i="4" s="1"/>
  <c r="F6" i="4"/>
  <c r="F23" i="4" s="1"/>
  <c r="F39" i="4" s="1"/>
  <c r="E6" i="4"/>
  <c r="E23" i="4" l="1"/>
  <c r="E39" i="4" s="1"/>
  <c r="E21" i="4"/>
  <c r="F21" i="4"/>
  <c r="G6" i="4"/>
  <c r="O5" i="4"/>
  <c r="C27" i="4"/>
  <c r="C26" i="4"/>
  <c r="C25" i="4"/>
  <c r="O6" i="4" l="1"/>
  <c r="C30" i="4"/>
  <c r="C36" i="4"/>
  <c r="C35" i="4"/>
  <c r="C34" i="4"/>
  <c r="C33" i="4"/>
  <c r="C32" i="4"/>
  <c r="C31" i="4"/>
  <c r="C29" i="4"/>
  <c r="C28" i="4"/>
  <c r="C19" i="4" l="1"/>
  <c r="C18" i="4"/>
  <c r="C17" i="4"/>
  <c r="C16" i="4"/>
  <c r="C15" i="4"/>
  <c r="C14" i="4"/>
  <c r="C13" i="4"/>
  <c r="C12" i="4"/>
  <c r="C11" i="4"/>
  <c r="C10" i="4"/>
  <c r="C9" i="4"/>
  <c r="C8" i="4"/>
  <c r="I26" i="4" l="1"/>
  <c r="J26" i="4" s="1"/>
  <c r="I27" i="4"/>
  <c r="J27" i="4" s="1"/>
  <c r="I28" i="4"/>
  <c r="J28" i="4" s="1"/>
  <c r="I30" i="4"/>
  <c r="J30" i="4" s="1"/>
  <c r="I31" i="4"/>
  <c r="J31" i="4" s="1"/>
  <c r="I32" i="4"/>
  <c r="J32" i="4" s="1"/>
  <c r="I33" i="4"/>
  <c r="J33" i="4" s="1"/>
  <c r="I34" i="4"/>
  <c r="J34" i="4" s="1"/>
  <c r="I36" i="4"/>
  <c r="J36" i="4" s="1"/>
  <c r="I25" i="4"/>
  <c r="I11" i="4"/>
  <c r="J11" i="4" s="1"/>
  <c r="I13" i="4"/>
  <c r="J13" i="4" s="1"/>
  <c r="I16" i="4"/>
  <c r="J16" i="4" s="1"/>
  <c r="I17" i="4"/>
  <c r="J17" i="4" s="1"/>
  <c r="I18" i="4"/>
  <c r="J18" i="4" s="1"/>
  <c r="I19" i="4"/>
  <c r="J19" i="4" s="1"/>
  <c r="I8" i="4"/>
  <c r="J8" i="4" s="1"/>
  <c r="N38" i="4"/>
  <c r="P38" i="4" s="1"/>
  <c r="J22" i="4"/>
  <c r="N7" i="4"/>
  <c r="I6" i="4"/>
  <c r="J5" i="4"/>
  <c r="J4" i="4"/>
  <c r="C6" i="4"/>
  <c r="H37" i="4"/>
  <c r="D35" i="4"/>
  <c r="D29" i="4"/>
  <c r="D22" i="4"/>
  <c r="H20" i="4"/>
  <c r="D15" i="4"/>
  <c r="D14" i="4"/>
  <c r="D12" i="4"/>
  <c r="D10" i="4"/>
  <c r="D9" i="4"/>
  <c r="H6" i="4"/>
  <c r="D5" i="4"/>
  <c r="N5" i="4" l="1"/>
  <c r="P5" i="4" s="1"/>
  <c r="D4" i="4"/>
  <c r="N22" i="4"/>
  <c r="P22" i="4" s="1"/>
  <c r="D6" i="4"/>
  <c r="N4" i="4"/>
  <c r="P4" i="4" s="1"/>
  <c r="H23" i="4"/>
  <c r="H39" i="4" s="1"/>
  <c r="H21" i="4"/>
  <c r="J6" i="4"/>
  <c r="D25" i="4"/>
  <c r="D36" i="4"/>
  <c r="N36" i="4" s="1"/>
  <c r="P36" i="4" s="1"/>
  <c r="D28" i="4"/>
  <c r="N28" i="4" s="1"/>
  <c r="P28" i="4" s="1"/>
  <c r="I15" i="4"/>
  <c r="J15" i="4" s="1"/>
  <c r="N15" i="4" s="1"/>
  <c r="P15" i="4" s="1"/>
  <c r="D17" i="4"/>
  <c r="N17" i="4" s="1"/>
  <c r="P17" i="4" s="1"/>
  <c r="D16" i="4"/>
  <c r="N16" i="4" s="1"/>
  <c r="P16" i="4" s="1"/>
  <c r="I10" i="4"/>
  <c r="J10" i="4" s="1"/>
  <c r="N10" i="4" s="1"/>
  <c r="P10" i="4" s="1"/>
  <c r="D11" i="4"/>
  <c r="N11" i="4" s="1"/>
  <c r="P11" i="4" s="1"/>
  <c r="D19" i="4"/>
  <c r="N19" i="4" s="1"/>
  <c r="P19" i="4" s="1"/>
  <c r="D34" i="4"/>
  <c r="N34" i="4" s="1"/>
  <c r="P34" i="4" s="1"/>
  <c r="D18" i="4"/>
  <c r="N18" i="4" s="1"/>
  <c r="P18" i="4" s="1"/>
  <c r="D32" i="4"/>
  <c r="N32" i="4" s="1"/>
  <c r="P32" i="4" s="1"/>
  <c r="D27" i="4"/>
  <c r="N27" i="4" s="1"/>
  <c r="P27" i="4" s="1"/>
  <c r="I9" i="4"/>
  <c r="J9" i="4" s="1"/>
  <c r="N9" i="4" s="1"/>
  <c r="P9" i="4" s="1"/>
  <c r="D26" i="4"/>
  <c r="N26" i="4" s="1"/>
  <c r="P26" i="4" s="1"/>
  <c r="I35" i="4"/>
  <c r="J35" i="4" s="1"/>
  <c r="N35" i="4" s="1"/>
  <c r="P35" i="4" s="1"/>
  <c r="D33" i="4"/>
  <c r="N33" i="4" s="1"/>
  <c r="P33" i="4" s="1"/>
  <c r="D13" i="4"/>
  <c r="N13" i="4" s="1"/>
  <c r="P13" i="4" s="1"/>
  <c r="D8" i="4"/>
  <c r="N8" i="4" s="1"/>
  <c r="P8" i="4" s="1"/>
  <c r="I29" i="4"/>
  <c r="J29" i="4" s="1"/>
  <c r="N29" i="4" s="1"/>
  <c r="P29" i="4" s="1"/>
  <c r="D31" i="4"/>
  <c r="N31" i="4" s="1"/>
  <c r="P31" i="4" s="1"/>
  <c r="C37" i="4"/>
  <c r="D30" i="4"/>
  <c r="N30" i="4" s="1"/>
  <c r="P30" i="4" s="1"/>
  <c r="J25" i="4"/>
  <c r="I14" i="4"/>
  <c r="J14" i="4" s="1"/>
  <c r="N14" i="4" s="1"/>
  <c r="P14" i="4" s="1"/>
  <c r="I12" i="4"/>
  <c r="J12" i="4" s="1"/>
  <c r="N12" i="4" s="1"/>
  <c r="P12" i="4" s="1"/>
  <c r="C20" i="4"/>
  <c r="B6" i="4"/>
  <c r="B20" i="4"/>
  <c r="B37" i="4"/>
  <c r="N6" i="4" l="1"/>
  <c r="P6" i="4" s="1"/>
  <c r="B21" i="4"/>
  <c r="C23" i="4"/>
  <c r="C39" i="4" s="1"/>
  <c r="C21" i="4"/>
  <c r="D20" i="4"/>
  <c r="J20" i="4"/>
  <c r="I37" i="4"/>
  <c r="J37" i="4"/>
  <c r="D37" i="4"/>
  <c r="N25" i="4"/>
  <c r="P25" i="4" s="1"/>
  <c r="I20" i="4"/>
  <c r="B23" i="4"/>
  <c r="J23" i="4" l="1"/>
  <c r="J39" i="4" s="1"/>
  <c r="J21" i="4"/>
  <c r="D23" i="4"/>
  <c r="D39" i="4" s="1"/>
  <c r="D21" i="4"/>
  <c r="I23" i="4"/>
  <c r="I39" i="4" s="1"/>
  <c r="I21" i="4"/>
  <c r="N37" i="4"/>
  <c r="P37" i="4" s="1"/>
  <c r="N20" i="4"/>
  <c r="B39" i="4"/>
  <c r="G20" i="4" l="1"/>
  <c r="N23" i="4"/>
  <c r="N21" i="4"/>
  <c r="N39" i="4" l="1"/>
  <c r="O20" i="4"/>
  <c r="G21" i="4"/>
  <c r="G23" i="4"/>
  <c r="G39" i="4" s="1"/>
  <c r="O21" i="4" l="1"/>
  <c r="P21" i="4" s="1"/>
  <c r="O23" i="4"/>
  <c r="P20" i="4"/>
  <c r="O39" i="4" l="1"/>
  <c r="P39" i="4" s="1"/>
  <c r="P23" i="4"/>
</calcChain>
</file>

<file path=xl/sharedStrings.xml><?xml version="1.0" encoding="utf-8"?>
<sst xmlns="http://schemas.openxmlformats.org/spreadsheetml/2006/main" count="33" uniqueCount="26">
  <si>
    <t>Non-RPP GA Variance</t>
  </si>
  <si>
    <t>Balance at Jan 1, 2014</t>
  </si>
  <si>
    <t>Total 1588</t>
  </si>
  <si>
    <t>2013 Activity</t>
  </si>
  <si>
    <t>Dispose 2012 Balances in 2014</t>
  </si>
  <si>
    <t>Excludes Carrying Charges</t>
  </si>
  <si>
    <t>Dispose 2013 balances in 2015</t>
  </si>
  <si>
    <t>2015 Activity</t>
  </si>
  <si>
    <t>2014 Activity</t>
  </si>
  <si>
    <t>Dispose 2014 balances in 2016 did not meet threshold</t>
  </si>
  <si>
    <t>Claim in 2017 IRM</t>
  </si>
  <si>
    <t>Revised GL variance</t>
  </si>
  <si>
    <t>GL Balance December 31, 2014</t>
  </si>
  <si>
    <t>GA True UP</t>
  </si>
  <si>
    <t>Estimate vs Actual rate</t>
  </si>
  <si>
    <t>1588 Carrying Charges</t>
  </si>
  <si>
    <t>1588 Carrying Charges True-Up</t>
  </si>
  <si>
    <t>Revised 1588 Carrying Charges</t>
  </si>
  <si>
    <t>Total Principal</t>
  </si>
  <si>
    <t>Total CC</t>
  </si>
  <si>
    <t>Total Principal and CC</t>
  </si>
  <si>
    <t>1589 Carrying Charges</t>
  </si>
  <si>
    <t>1589 Carrying Charges True-Up</t>
  </si>
  <si>
    <t>Revised 1589 Carrying Charges</t>
  </si>
  <si>
    <t>Continuity Schedule - Account #1588 RSVA - Power and #1589 RSVA - Global Adjustment</t>
  </si>
  <si>
    <t>Total Non-RPP GA Variance = $918,101 agrees to the OEB Global Adjustment Analysis Templete in Attachment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</si>
</sst>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165" fontId="0" fillId="0" borderId="0" xfId="1" applyNumberFormat="1" applyFont="1" applyFill="1" applyBorder="1"/>
    <xf numFmtId="165" fontId="0" fillId="0" borderId="1" xfId="1" applyNumberFormat="1" applyFont="1" applyBorder="1"/>
    <xf numFmtId="165" fontId="0" fillId="0" borderId="0" xfId="1" applyNumberFormat="1" applyFont="1" applyBorder="1"/>
    <xf numFmtId="0" fontId="0" fillId="0" borderId="0" xfId="0" applyBorder="1"/>
    <xf numFmtId="165" fontId="0" fillId="0" borderId="0" xfId="0" applyNumberFormat="1" applyBorder="1"/>
    <xf numFmtId="0" fontId="0" fillId="0" borderId="0" xfId="0" applyFill="1"/>
    <xf numFmtId="165" fontId="0" fillId="0" borderId="1" xfId="1" applyNumberFormat="1" applyFont="1" applyFill="1" applyBorder="1"/>
    <xf numFmtId="165" fontId="0" fillId="0" borderId="1" xfId="0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0" fillId="0" borderId="2" xfId="0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4" xfId="0" applyFill="1" applyBorder="1"/>
    <xf numFmtId="0" fontId="0" fillId="0" borderId="5" xfId="0" applyBorder="1"/>
    <xf numFmtId="0" fontId="0" fillId="0" borderId="5" xfId="0" quotePrefix="1" applyBorder="1"/>
    <xf numFmtId="165" fontId="0" fillId="0" borderId="6" xfId="0" applyNumberFormat="1" applyFill="1" applyBorder="1"/>
    <xf numFmtId="165" fontId="0" fillId="0" borderId="7" xfId="1" applyNumberFormat="1" applyFont="1" applyFill="1" applyBorder="1"/>
    <xf numFmtId="15" fontId="0" fillId="0" borderId="5" xfId="0" quotePrefix="1" applyNumberFormat="1" applyBorder="1" applyAlignment="1">
      <alignment horizontal="left"/>
    </xf>
    <xf numFmtId="165" fontId="0" fillId="0" borderId="7" xfId="0" applyNumberFormat="1" applyFill="1" applyBorder="1"/>
    <xf numFmtId="165" fontId="0" fillId="0" borderId="6" xfId="1" applyNumberFormat="1" applyFont="1" applyFill="1" applyBorder="1"/>
    <xf numFmtId="0" fontId="0" fillId="0" borderId="6" xfId="0" applyFill="1" applyBorder="1"/>
    <xf numFmtId="15" fontId="3" fillId="0" borderId="5" xfId="0" quotePrefix="1" applyNumberFormat="1" applyFont="1" applyFill="1" applyBorder="1" applyAlignment="1">
      <alignment horizontal="left"/>
    </xf>
    <xf numFmtId="165" fontId="3" fillId="0" borderId="0" xfId="1" applyNumberFormat="1" applyFont="1" applyFill="1" applyBorder="1"/>
    <xf numFmtId="165" fontId="3" fillId="0" borderId="6" xfId="1" applyNumberFormat="1" applyFont="1" applyFill="1" applyBorder="1"/>
    <xf numFmtId="0" fontId="0" fillId="0" borderId="5" xfId="0" applyBorder="1" applyAlignment="1">
      <alignment wrapText="1"/>
    </xf>
    <xf numFmtId="0" fontId="0" fillId="0" borderId="8" xfId="0" applyBorder="1"/>
    <xf numFmtId="165" fontId="0" fillId="0" borderId="9" xfId="0" applyNumberFormat="1" applyBorder="1"/>
    <xf numFmtId="165" fontId="0" fillId="0" borderId="9" xfId="0" applyNumberFormat="1" applyFill="1" applyBorder="1"/>
    <xf numFmtId="165" fontId="0" fillId="2" borderId="9" xfId="0" applyNumberFormat="1" applyFill="1" applyBorder="1"/>
    <xf numFmtId="165" fontId="0" fillId="0" borderId="10" xfId="0" applyNumberFormat="1" applyFill="1" applyBorder="1"/>
    <xf numFmtId="0" fontId="2" fillId="0" borderId="11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5" fontId="0" fillId="0" borderId="5" xfId="1" applyNumberFormat="1" applyFont="1" applyBorder="1"/>
    <xf numFmtId="165" fontId="0" fillId="0" borderId="13" xfId="1" applyNumberFormat="1" applyFont="1" applyBorder="1"/>
    <xf numFmtId="165" fontId="3" fillId="0" borderId="5" xfId="1" applyNumberFormat="1" applyFont="1" applyFill="1" applyBorder="1"/>
    <xf numFmtId="165" fontId="0" fillId="0" borderId="14" xfId="0" applyNumberFormat="1" applyBorder="1"/>
    <xf numFmtId="165" fontId="3" fillId="2" borderId="10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165" fontId="0" fillId="0" borderId="5" xfId="1" applyNumberFormat="1" applyFont="1" applyFill="1" applyBorder="1"/>
    <xf numFmtId="165" fontId="0" fillId="0" borderId="13" xfId="1" applyNumberFormat="1" applyFont="1" applyFill="1" applyBorder="1"/>
    <xf numFmtId="165" fontId="0" fillId="0" borderId="14" xfId="0" applyNumberFormat="1" applyFill="1" applyBorder="1"/>
    <xf numFmtId="165" fontId="0" fillId="2" borderId="10" xfId="0" applyNumberFormat="1" applyFill="1" applyBorder="1"/>
    <xf numFmtId="0" fontId="0" fillId="0" borderId="5" xfId="0" applyFill="1" applyBorder="1"/>
    <xf numFmtId="0" fontId="0" fillId="0" borderId="2" xfId="0" applyFill="1" applyBorder="1"/>
    <xf numFmtId="165" fontId="0" fillId="0" borderId="5" xfId="0" applyNumberFormat="1" applyFill="1" applyBorder="1"/>
    <xf numFmtId="165" fontId="0" fillId="0" borderId="13" xfId="0" applyNumberFormat="1" applyFill="1" applyBorder="1"/>
    <xf numFmtId="0" fontId="2" fillId="0" borderId="0" xfId="0" applyFont="1"/>
    <xf numFmtId="165" fontId="0" fillId="3" borderId="10" xfId="0" applyNumberFormat="1" applyFont="1" applyFill="1" applyBorder="1"/>
    <xf numFmtId="165" fontId="0" fillId="3" borderId="0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32.88671875" customWidth="1"/>
    <col min="2" max="3" width="12.88671875" customWidth="1"/>
    <col min="4" max="4" width="12.88671875" style="6" customWidth="1"/>
    <col min="5" max="5" width="11.109375" style="6" customWidth="1"/>
    <col min="6" max="6" width="11.44140625" style="6" customWidth="1"/>
    <col min="7" max="7" width="9.6640625" style="6" bestFit="1" customWidth="1"/>
    <col min="8" max="8" width="13.88671875" style="6" customWidth="1"/>
    <col min="9" max="9" width="13.5546875" style="6" customWidth="1"/>
    <col min="10" max="10" width="13.44140625" style="6" customWidth="1"/>
    <col min="11" max="11" width="13.6640625" style="6" customWidth="1"/>
    <col min="12" max="12" width="11.44140625" style="6" customWidth="1"/>
    <col min="13" max="13" width="9.88671875" style="6" customWidth="1"/>
    <col min="14" max="16" width="12.109375" style="6" customWidth="1"/>
  </cols>
  <sheetData>
    <row r="1" spans="1:16" ht="32.25" customHeight="1" thickBot="1" x14ac:dyDescent="0.3">
      <c r="C1" s="54" t="s">
        <v>24</v>
      </c>
    </row>
    <row r="2" spans="1:16" ht="45" x14ac:dyDescent="0.25">
      <c r="A2" s="11"/>
      <c r="B2" s="36" t="s">
        <v>5</v>
      </c>
      <c r="C2" s="12" t="s">
        <v>13</v>
      </c>
      <c r="D2" s="37" t="s">
        <v>2</v>
      </c>
      <c r="E2" s="13"/>
      <c r="F2" s="13"/>
      <c r="G2" s="13"/>
      <c r="H2" s="44" t="s">
        <v>5</v>
      </c>
      <c r="I2" s="13" t="s">
        <v>13</v>
      </c>
      <c r="J2" s="37" t="s">
        <v>0</v>
      </c>
      <c r="K2" s="44"/>
      <c r="L2" s="13"/>
      <c r="M2" s="37"/>
      <c r="N2" s="51"/>
      <c r="O2" s="14"/>
      <c r="P2" s="15"/>
    </row>
    <row r="3" spans="1:16" ht="60.75" thickBot="1" x14ac:dyDescent="0.3">
      <c r="A3" s="28"/>
      <c r="B3" s="38" t="s">
        <v>2</v>
      </c>
      <c r="C3" s="33" t="s">
        <v>14</v>
      </c>
      <c r="D3" s="35" t="s">
        <v>11</v>
      </c>
      <c r="E3" s="34" t="s">
        <v>15</v>
      </c>
      <c r="F3" s="34" t="s">
        <v>16</v>
      </c>
      <c r="G3" s="34" t="s">
        <v>17</v>
      </c>
      <c r="H3" s="45" t="s">
        <v>0</v>
      </c>
      <c r="I3" s="34" t="s">
        <v>14</v>
      </c>
      <c r="J3" s="35" t="s">
        <v>11</v>
      </c>
      <c r="K3" s="45" t="s">
        <v>21</v>
      </c>
      <c r="L3" s="34" t="s">
        <v>22</v>
      </c>
      <c r="M3" s="35" t="s">
        <v>23</v>
      </c>
      <c r="N3" s="45" t="s">
        <v>18</v>
      </c>
      <c r="O3" s="34" t="s">
        <v>19</v>
      </c>
      <c r="P3" s="35" t="s">
        <v>20</v>
      </c>
    </row>
    <row r="4" spans="1:16" ht="15" x14ac:dyDescent="0.25">
      <c r="A4" s="17" t="s">
        <v>1</v>
      </c>
      <c r="B4" s="39">
        <v>-6269441.3200000003</v>
      </c>
      <c r="C4" s="3"/>
      <c r="D4" s="22">
        <f t="shared" ref="D4:D5" si="0">SUM(B4:C4)</f>
        <v>-6269441.3200000003</v>
      </c>
      <c r="E4" s="1">
        <v>-204786.72</v>
      </c>
      <c r="F4" s="1"/>
      <c r="G4" s="1">
        <f>E4+F4</f>
        <v>-204786.72</v>
      </c>
      <c r="H4" s="46">
        <v>5291581.3600000003</v>
      </c>
      <c r="I4" s="1"/>
      <c r="J4" s="22">
        <f t="shared" ref="J4:J5" si="1">SUM(H4:I4)</f>
        <v>5291581.3600000003</v>
      </c>
      <c r="K4" s="46">
        <v>55598.16</v>
      </c>
      <c r="L4" s="1"/>
      <c r="M4" s="22">
        <f>K4+L4</f>
        <v>55598.16</v>
      </c>
      <c r="N4" s="52">
        <f t="shared" ref="N4:N20" si="2">D4+J4</f>
        <v>-977859.96</v>
      </c>
      <c r="O4" s="10">
        <f>G4+M4</f>
        <v>-149188.56</v>
      </c>
      <c r="P4" s="18">
        <f>N4+O4</f>
        <v>-1127048.52</v>
      </c>
    </row>
    <row r="5" spans="1:16" ht="15" x14ac:dyDescent="0.25">
      <c r="A5" s="16" t="s">
        <v>4</v>
      </c>
      <c r="B5" s="40">
        <v>4719277.9899999993</v>
      </c>
      <c r="C5" s="2"/>
      <c r="D5" s="19">
        <f t="shared" si="0"/>
        <v>4719277.9899999993</v>
      </c>
      <c r="E5" s="7">
        <v>197021.81</v>
      </c>
      <c r="F5" s="7"/>
      <c r="G5" s="7">
        <f>E5+F5</f>
        <v>197021.81</v>
      </c>
      <c r="H5" s="47">
        <v>-3681340.6</v>
      </c>
      <c r="I5" s="7"/>
      <c r="J5" s="19">
        <f t="shared" si="1"/>
        <v>-3681340.6</v>
      </c>
      <c r="K5" s="47">
        <v>-114938.53</v>
      </c>
      <c r="L5" s="7"/>
      <c r="M5" s="19">
        <f>K5+L5</f>
        <v>-114938.53</v>
      </c>
      <c r="N5" s="47">
        <f t="shared" si="2"/>
        <v>1037937.3899999992</v>
      </c>
      <c r="O5" s="7">
        <f>G5+M5</f>
        <v>82083.28</v>
      </c>
      <c r="P5" s="19">
        <f t="shared" ref="P5:P39" si="3">N5+O5</f>
        <v>1120020.6699999992</v>
      </c>
    </row>
    <row r="6" spans="1:16" ht="15" x14ac:dyDescent="0.25">
      <c r="A6" s="16" t="s">
        <v>3</v>
      </c>
      <c r="B6" s="39">
        <f t="shared" ref="B6:M6" si="4">SUM(B4:B5)</f>
        <v>-1550163.330000001</v>
      </c>
      <c r="C6" s="3">
        <f t="shared" si="4"/>
        <v>0</v>
      </c>
      <c r="D6" s="22">
        <f t="shared" si="4"/>
        <v>-1550163.330000001</v>
      </c>
      <c r="E6" s="1">
        <f t="shared" si="4"/>
        <v>-7764.9100000000035</v>
      </c>
      <c r="F6" s="1">
        <f t="shared" si="4"/>
        <v>0</v>
      </c>
      <c r="G6" s="1">
        <f t="shared" si="4"/>
        <v>-7764.9100000000035</v>
      </c>
      <c r="H6" s="46">
        <f t="shared" si="4"/>
        <v>1610240.7600000002</v>
      </c>
      <c r="I6" s="1">
        <f t="shared" si="4"/>
        <v>0</v>
      </c>
      <c r="J6" s="22">
        <f t="shared" si="4"/>
        <v>1610240.7600000002</v>
      </c>
      <c r="K6" s="46">
        <f t="shared" si="4"/>
        <v>-59340.369999999995</v>
      </c>
      <c r="L6" s="1">
        <f t="shared" si="4"/>
        <v>0</v>
      </c>
      <c r="M6" s="22">
        <f t="shared" si="4"/>
        <v>-59340.369999999995</v>
      </c>
      <c r="N6" s="52">
        <f t="shared" si="2"/>
        <v>60077.429999999236</v>
      </c>
      <c r="O6" s="10">
        <f>G6+M6</f>
        <v>-67105.279999999999</v>
      </c>
      <c r="P6" s="18">
        <f t="shared" si="3"/>
        <v>-7027.8500000007625</v>
      </c>
    </row>
    <row r="7" spans="1:16" ht="15" x14ac:dyDescent="0.25">
      <c r="A7" s="16"/>
      <c r="B7" s="39"/>
      <c r="C7" s="3"/>
      <c r="D7" s="22"/>
      <c r="E7" s="1"/>
      <c r="F7" s="1"/>
      <c r="G7" s="1"/>
      <c r="H7" s="46"/>
      <c r="I7" s="1"/>
      <c r="J7" s="22"/>
      <c r="K7" s="46"/>
      <c r="L7" s="1"/>
      <c r="M7" s="22"/>
      <c r="N7" s="52">
        <f t="shared" si="2"/>
        <v>0</v>
      </c>
      <c r="O7" s="10"/>
      <c r="P7" s="18"/>
    </row>
    <row r="8" spans="1:16" ht="15" x14ac:dyDescent="0.25">
      <c r="A8" s="20">
        <v>41640</v>
      </c>
      <c r="B8" s="39">
        <v>1897968.2199999988</v>
      </c>
      <c r="C8" s="3">
        <f>-3195247+1422941.84</f>
        <v>-1772305.16</v>
      </c>
      <c r="D8" s="22">
        <f>SUM(B8:C8)</f>
        <v>125663.05999999889</v>
      </c>
      <c r="E8" s="1">
        <v>-8859.9599999999991</v>
      </c>
      <c r="F8" s="1"/>
      <c r="G8" s="1">
        <f>E8+F8</f>
        <v>-8859.9599999999991</v>
      </c>
      <c r="H8" s="46">
        <v>-3195247.4899999998</v>
      </c>
      <c r="I8" s="1">
        <f t="shared" ref="I8:I19" si="5">-C8</f>
        <v>1772305.16</v>
      </c>
      <c r="J8" s="22">
        <f>SUM(H8:I8)</f>
        <v>-1422942.3299999998</v>
      </c>
      <c r="K8" s="46">
        <v>1189.03</v>
      </c>
      <c r="L8" s="1"/>
      <c r="M8" s="22">
        <f t="shared" ref="M8:M19" si="6">K8+L8</f>
        <v>1189.03</v>
      </c>
      <c r="N8" s="52">
        <f t="shared" si="2"/>
        <v>-1297279.2700000009</v>
      </c>
      <c r="O8" s="10">
        <f t="shared" ref="O8:O20" si="7">G8+M8</f>
        <v>-7670.9299999999994</v>
      </c>
      <c r="P8" s="18">
        <f t="shared" si="3"/>
        <v>-1304950.2000000009</v>
      </c>
    </row>
    <row r="9" spans="1:16" ht="15" x14ac:dyDescent="0.25">
      <c r="A9" s="20">
        <v>41671</v>
      </c>
      <c r="B9" s="39">
        <v>559338.02000000142</v>
      </c>
      <c r="C9" s="3">
        <f>-1787915+494945.87</f>
        <v>-1292969.1299999999</v>
      </c>
      <c r="D9" s="22">
        <f t="shared" ref="D9:D22" si="8">SUM(B9:C9)</f>
        <v>-733631.10999999847</v>
      </c>
      <c r="E9" s="1">
        <f>-8591.59+1032.61</f>
        <v>-7558.9800000000005</v>
      </c>
      <c r="F9" s="1"/>
      <c r="G9" s="1">
        <f t="shared" ref="G9:G19" si="9">E9+F9</f>
        <v>-7558.9800000000005</v>
      </c>
      <c r="H9" s="46">
        <v>-1787915.42</v>
      </c>
      <c r="I9" s="1">
        <f t="shared" si="5"/>
        <v>1292969.1299999999</v>
      </c>
      <c r="J9" s="22">
        <f t="shared" ref="J9:J22" si="10">SUM(H9:I9)</f>
        <v>-494946.29000000004</v>
      </c>
      <c r="K9" s="46">
        <f>5430.38+5417.48</f>
        <v>10847.86</v>
      </c>
      <c r="L9" s="1"/>
      <c r="M9" s="22">
        <f t="shared" si="6"/>
        <v>10847.86</v>
      </c>
      <c r="N9" s="52">
        <f t="shared" si="2"/>
        <v>-1228577.3999999985</v>
      </c>
      <c r="O9" s="10">
        <f t="shared" si="7"/>
        <v>3288.88</v>
      </c>
      <c r="P9" s="18">
        <f t="shared" si="3"/>
        <v>-1225288.5199999986</v>
      </c>
    </row>
    <row r="10" spans="1:16" ht="15" x14ac:dyDescent="0.25">
      <c r="A10" s="20">
        <v>41699</v>
      </c>
      <c r="B10" s="39">
        <v>-706927.13</v>
      </c>
      <c r="C10" s="3">
        <f>-1056745+568647.22</f>
        <v>-488097.78</v>
      </c>
      <c r="D10" s="22">
        <f t="shared" si="8"/>
        <v>-1195024.9100000001</v>
      </c>
      <c r="E10" s="1">
        <v>-10086.34</v>
      </c>
      <c r="F10" s="1"/>
      <c r="G10" s="1">
        <f t="shared" si="9"/>
        <v>-10086.34</v>
      </c>
      <c r="H10" s="46">
        <v>-1056745.0900000001</v>
      </c>
      <c r="I10" s="1">
        <f t="shared" si="5"/>
        <v>488097.78</v>
      </c>
      <c r="J10" s="22">
        <f t="shared" si="10"/>
        <v>-568647.31000000006</v>
      </c>
      <c r="K10" s="46">
        <v>4023.13</v>
      </c>
      <c r="L10" s="1"/>
      <c r="M10" s="22">
        <f t="shared" si="6"/>
        <v>4023.13</v>
      </c>
      <c r="N10" s="52">
        <f t="shared" si="2"/>
        <v>-1763672.2200000002</v>
      </c>
      <c r="O10" s="10">
        <f t="shared" si="7"/>
        <v>-6063.21</v>
      </c>
      <c r="P10" s="18">
        <f t="shared" si="3"/>
        <v>-1769735.4300000002</v>
      </c>
    </row>
    <row r="11" spans="1:16" ht="15" x14ac:dyDescent="0.25">
      <c r="A11" s="20">
        <v>41730</v>
      </c>
      <c r="B11" s="39">
        <v>-2942409.7400000012</v>
      </c>
      <c r="C11" s="3">
        <f>-2286801+1642846</f>
        <v>-643955</v>
      </c>
      <c r="D11" s="22">
        <f t="shared" si="8"/>
        <v>-3586364.7400000012</v>
      </c>
      <c r="E11" s="1">
        <v>-8792.7900000000009</v>
      </c>
      <c r="F11" s="1"/>
      <c r="G11" s="1">
        <f t="shared" si="9"/>
        <v>-8792.7900000000009</v>
      </c>
      <c r="H11" s="46">
        <v>1642845.7799999998</v>
      </c>
      <c r="I11" s="1">
        <f t="shared" si="5"/>
        <v>643955</v>
      </c>
      <c r="J11" s="22">
        <f t="shared" si="10"/>
        <v>2286800.7799999998</v>
      </c>
      <c r="K11" s="46">
        <v>3249.81</v>
      </c>
      <c r="L11" s="1"/>
      <c r="M11" s="22">
        <f t="shared" si="6"/>
        <v>3249.81</v>
      </c>
      <c r="N11" s="52">
        <f t="shared" si="2"/>
        <v>-1299563.9600000014</v>
      </c>
      <c r="O11" s="10">
        <f t="shared" si="7"/>
        <v>-5542.9800000000014</v>
      </c>
      <c r="P11" s="18">
        <f t="shared" si="3"/>
        <v>-1305106.9400000013</v>
      </c>
    </row>
    <row r="12" spans="1:16" ht="15" x14ac:dyDescent="0.25">
      <c r="A12" s="20">
        <v>41760</v>
      </c>
      <c r="B12" s="39">
        <v>-648120.45000000112</v>
      </c>
      <c r="C12" s="3">
        <f>-991165.78+3842269</f>
        <v>2851103.2199999997</v>
      </c>
      <c r="D12" s="22">
        <f t="shared" si="8"/>
        <v>2202982.7699999986</v>
      </c>
      <c r="E12" s="1">
        <v>-9942.23</v>
      </c>
      <c r="F12" s="1"/>
      <c r="G12" s="1">
        <f t="shared" si="9"/>
        <v>-9942.23</v>
      </c>
      <c r="H12" s="46">
        <v>3842268.7600000002</v>
      </c>
      <c r="I12" s="1">
        <f t="shared" si="5"/>
        <v>-2851103.2199999997</v>
      </c>
      <c r="J12" s="22">
        <f t="shared" si="10"/>
        <v>991165.5400000005</v>
      </c>
      <c r="K12" s="46">
        <v>2701.33</v>
      </c>
      <c r="L12" s="1"/>
      <c r="M12" s="22">
        <f t="shared" si="6"/>
        <v>2701.33</v>
      </c>
      <c r="N12" s="52">
        <f t="shared" si="2"/>
        <v>3194148.3099999991</v>
      </c>
      <c r="O12" s="10">
        <f t="shared" si="7"/>
        <v>-7240.9</v>
      </c>
      <c r="P12" s="18">
        <f t="shared" si="3"/>
        <v>3186907.4099999992</v>
      </c>
    </row>
    <row r="13" spans="1:16" ht="15" x14ac:dyDescent="0.25">
      <c r="A13" s="20">
        <v>41791</v>
      </c>
      <c r="B13" s="39">
        <v>666557.70000000019</v>
      </c>
      <c r="C13" s="3">
        <f>1702248+566285.86</f>
        <v>2268533.86</v>
      </c>
      <c r="D13" s="22">
        <f t="shared" si="8"/>
        <v>2935091.56</v>
      </c>
      <c r="E13" s="1">
        <v>-3510.39</v>
      </c>
      <c r="F13" s="1"/>
      <c r="G13" s="1">
        <f t="shared" si="9"/>
        <v>-3510.39</v>
      </c>
      <c r="H13" s="46">
        <v>1702248.2400000002</v>
      </c>
      <c r="I13" s="1">
        <f t="shared" si="5"/>
        <v>-2268533.86</v>
      </c>
      <c r="J13" s="22">
        <f t="shared" si="10"/>
        <v>-566285.61999999965</v>
      </c>
      <c r="K13" s="46">
        <v>1128.8800000000001</v>
      </c>
      <c r="L13" s="1"/>
      <c r="M13" s="22">
        <f t="shared" si="6"/>
        <v>1128.8800000000001</v>
      </c>
      <c r="N13" s="52">
        <f t="shared" si="2"/>
        <v>2368805.9400000004</v>
      </c>
      <c r="O13" s="10">
        <f t="shared" si="7"/>
        <v>-2381.5099999999998</v>
      </c>
      <c r="P13" s="18">
        <f t="shared" si="3"/>
        <v>2366424.4300000006</v>
      </c>
    </row>
    <row r="14" spans="1:16" ht="15" x14ac:dyDescent="0.25">
      <c r="A14" s="20">
        <v>41821</v>
      </c>
      <c r="B14" s="39">
        <v>84223.080000001006</v>
      </c>
      <c r="C14" s="3">
        <f>-126503+340776</f>
        <v>214273</v>
      </c>
      <c r="D14" s="22">
        <f t="shared" si="8"/>
        <v>298496.08000000101</v>
      </c>
      <c r="E14" s="1">
        <v>-3488.24</v>
      </c>
      <c r="F14" s="1"/>
      <c r="G14" s="1">
        <f t="shared" si="9"/>
        <v>-3488.24</v>
      </c>
      <c r="H14" s="46">
        <v>340775.83000000007</v>
      </c>
      <c r="I14" s="1">
        <f t="shared" si="5"/>
        <v>-214273</v>
      </c>
      <c r="J14" s="22">
        <f t="shared" si="10"/>
        <v>126502.83000000007</v>
      </c>
      <c r="K14" s="46">
        <v>2692.73</v>
      </c>
      <c r="L14" s="1"/>
      <c r="M14" s="22">
        <f t="shared" si="6"/>
        <v>2692.73</v>
      </c>
      <c r="N14" s="52">
        <f t="shared" si="2"/>
        <v>424998.91000000108</v>
      </c>
      <c r="O14" s="10">
        <f t="shared" si="7"/>
        <v>-795.50999999999976</v>
      </c>
      <c r="P14" s="18">
        <f t="shared" si="3"/>
        <v>424203.40000000107</v>
      </c>
    </row>
    <row r="15" spans="1:16" ht="15" x14ac:dyDescent="0.25">
      <c r="A15" s="20">
        <v>41852</v>
      </c>
      <c r="B15" s="39">
        <v>-265165.68999999855</v>
      </c>
      <c r="C15" s="3">
        <f>-363211+381502</f>
        <v>18291</v>
      </c>
      <c r="D15" s="22">
        <f t="shared" si="8"/>
        <v>-246874.68999999855</v>
      </c>
      <c r="E15" s="1">
        <v>-3770.49</v>
      </c>
      <c r="F15" s="1"/>
      <c r="G15" s="1">
        <f t="shared" si="9"/>
        <v>-3770.49</v>
      </c>
      <c r="H15" s="46">
        <v>381502.3200000003</v>
      </c>
      <c r="I15" s="1">
        <f t="shared" si="5"/>
        <v>-18291</v>
      </c>
      <c r="J15" s="22">
        <f t="shared" si="10"/>
        <v>363211.3200000003</v>
      </c>
      <c r="K15" s="46">
        <v>3439.44</v>
      </c>
      <c r="L15" s="1"/>
      <c r="M15" s="22">
        <f t="shared" si="6"/>
        <v>3439.44</v>
      </c>
      <c r="N15" s="52">
        <f t="shared" si="2"/>
        <v>116336.63000000175</v>
      </c>
      <c r="O15" s="10">
        <f t="shared" si="7"/>
        <v>-331.04999999999973</v>
      </c>
      <c r="P15" s="18">
        <f t="shared" si="3"/>
        <v>116005.58000000175</v>
      </c>
    </row>
    <row r="16" spans="1:16" ht="15" x14ac:dyDescent="0.25">
      <c r="A16" s="20">
        <v>41883</v>
      </c>
      <c r="B16" s="39">
        <v>-806811.47000000067</v>
      </c>
      <c r="C16" s="3">
        <f>584424+17380.66</f>
        <v>601804.66</v>
      </c>
      <c r="D16" s="22">
        <f t="shared" si="8"/>
        <v>-205006.81000000064</v>
      </c>
      <c r="E16" s="1">
        <v>-4851.45</v>
      </c>
      <c r="F16" s="1"/>
      <c r="G16" s="1">
        <f t="shared" si="9"/>
        <v>-4851.45</v>
      </c>
      <c r="H16" s="46">
        <v>584423.84999999963</v>
      </c>
      <c r="I16" s="1">
        <f t="shared" si="5"/>
        <v>-601804.66</v>
      </c>
      <c r="J16" s="22">
        <f t="shared" si="10"/>
        <v>-17380.810000000405</v>
      </c>
      <c r="K16" s="46">
        <v>3831.38</v>
      </c>
      <c r="L16" s="1"/>
      <c r="M16" s="22">
        <f t="shared" si="6"/>
        <v>3831.38</v>
      </c>
      <c r="N16" s="52">
        <f t="shared" si="2"/>
        <v>-222387.62000000104</v>
      </c>
      <c r="O16" s="10">
        <f t="shared" si="7"/>
        <v>-1020.0699999999997</v>
      </c>
      <c r="P16" s="18">
        <f t="shared" si="3"/>
        <v>-223407.69000000105</v>
      </c>
    </row>
    <row r="17" spans="1:16" ht="15" x14ac:dyDescent="0.25">
      <c r="A17" s="20">
        <v>41913</v>
      </c>
      <c r="B17" s="39">
        <v>-606351.14999999944</v>
      </c>
      <c r="C17" s="3">
        <f>-1191325.56+28130</f>
        <v>-1163195.56</v>
      </c>
      <c r="D17" s="22">
        <f t="shared" si="8"/>
        <v>-1769546.7099999995</v>
      </c>
      <c r="E17" s="1">
        <v>-4698.63</v>
      </c>
      <c r="F17" s="1"/>
      <c r="G17" s="1">
        <f t="shared" si="9"/>
        <v>-4698.63</v>
      </c>
      <c r="H17" s="46">
        <v>28130.479999999516</v>
      </c>
      <c r="I17" s="1">
        <f t="shared" si="5"/>
        <v>1163195.56</v>
      </c>
      <c r="J17" s="22">
        <f t="shared" si="10"/>
        <v>1191326.0399999996</v>
      </c>
      <c r="K17" s="46">
        <v>4362</v>
      </c>
      <c r="L17" s="1"/>
      <c r="M17" s="22">
        <f t="shared" si="6"/>
        <v>4362</v>
      </c>
      <c r="N17" s="52">
        <f t="shared" si="2"/>
        <v>-578220.66999999993</v>
      </c>
      <c r="O17" s="10">
        <f t="shared" si="7"/>
        <v>-336.63000000000011</v>
      </c>
      <c r="P17" s="18">
        <f t="shared" si="3"/>
        <v>-578557.29999999993</v>
      </c>
    </row>
    <row r="18" spans="1:16" ht="15" x14ac:dyDescent="0.25">
      <c r="A18" s="20">
        <v>41944</v>
      </c>
      <c r="B18" s="39">
        <v>-45657.689999999478</v>
      </c>
      <c r="C18" s="3">
        <f>816452+722880.16</f>
        <v>1539332.1600000001</v>
      </c>
      <c r="D18" s="22">
        <f t="shared" si="8"/>
        <v>1493674.4700000007</v>
      </c>
      <c r="E18" s="1">
        <v>-4898.78</v>
      </c>
      <c r="F18" s="1"/>
      <c r="G18" s="1">
        <f t="shared" si="9"/>
        <v>-4898.78</v>
      </c>
      <c r="H18" s="46">
        <v>816451.62999999989</v>
      </c>
      <c r="I18" s="1">
        <f t="shared" si="5"/>
        <v>-1539332.1600000001</v>
      </c>
      <c r="J18" s="22">
        <f t="shared" si="10"/>
        <v>-722880.53000000026</v>
      </c>
      <c r="K18" s="46">
        <v>3564.87</v>
      </c>
      <c r="L18" s="1"/>
      <c r="M18" s="22">
        <f t="shared" si="6"/>
        <v>3564.87</v>
      </c>
      <c r="N18" s="52">
        <f t="shared" si="2"/>
        <v>770793.94000000041</v>
      </c>
      <c r="O18" s="10">
        <f t="shared" si="7"/>
        <v>-1333.9099999999999</v>
      </c>
      <c r="P18" s="18">
        <f t="shared" si="3"/>
        <v>769460.03000000038</v>
      </c>
    </row>
    <row r="19" spans="1:16" ht="15" x14ac:dyDescent="0.25">
      <c r="A19" s="20">
        <v>41974</v>
      </c>
      <c r="B19" s="40">
        <v>-295813.25999999885</v>
      </c>
      <c r="C19" s="2">
        <f>-470222-10546.05</f>
        <v>-480768.05</v>
      </c>
      <c r="D19" s="19">
        <f t="shared" si="8"/>
        <v>-776581.30999999889</v>
      </c>
      <c r="E19" s="7">
        <v>-4235.3</v>
      </c>
      <c r="F19" s="7">
        <v>-10274.629999999999</v>
      </c>
      <c r="G19" s="7">
        <f t="shared" si="9"/>
        <v>-14509.93</v>
      </c>
      <c r="H19" s="47">
        <v>-470222.11000000034</v>
      </c>
      <c r="I19" s="7">
        <f t="shared" si="5"/>
        <v>480768.05</v>
      </c>
      <c r="J19" s="19">
        <f t="shared" si="10"/>
        <v>10545.939999999653</v>
      </c>
      <c r="K19" s="47">
        <f>4819.98-116.96</f>
        <v>4703.0199999999995</v>
      </c>
      <c r="L19" s="7">
        <v>10274.629999999999</v>
      </c>
      <c r="M19" s="19">
        <f t="shared" si="6"/>
        <v>14977.649999999998</v>
      </c>
      <c r="N19" s="47">
        <f t="shared" si="2"/>
        <v>-766035.36999999918</v>
      </c>
      <c r="O19" s="7">
        <f t="shared" si="7"/>
        <v>467.71999999999753</v>
      </c>
      <c r="P19" s="19">
        <f t="shared" si="3"/>
        <v>-765567.64999999921</v>
      </c>
    </row>
    <row r="20" spans="1:16" ht="15" x14ac:dyDescent="0.25">
      <c r="A20" s="16" t="s">
        <v>8</v>
      </c>
      <c r="B20" s="39">
        <f t="shared" ref="B20:J20" si="11">SUM(B8:B19)</f>
        <v>-3109169.5599999977</v>
      </c>
      <c r="C20" s="3">
        <f t="shared" si="11"/>
        <v>1652047.2199999995</v>
      </c>
      <c r="D20" s="22">
        <f t="shared" si="11"/>
        <v>-1457122.3399999982</v>
      </c>
      <c r="E20" s="1">
        <f>SUM(E8:E19)</f>
        <v>-74693.58</v>
      </c>
      <c r="F20" s="1">
        <f t="shared" ref="F20:G20" si="12">SUM(F8:F19)</f>
        <v>-10274.629999999999</v>
      </c>
      <c r="G20" s="1">
        <f t="shared" si="12"/>
        <v>-84968.209999999992</v>
      </c>
      <c r="H20" s="46">
        <f t="shared" si="11"/>
        <v>2828516.7799999989</v>
      </c>
      <c r="I20" s="1">
        <f t="shared" si="11"/>
        <v>-1652047.2199999995</v>
      </c>
      <c r="J20" s="22">
        <f t="shared" si="11"/>
        <v>1176469.5599999998</v>
      </c>
      <c r="K20" s="46">
        <f>SUM(K8:K19)</f>
        <v>45733.48</v>
      </c>
      <c r="L20" s="1">
        <f t="shared" ref="L20" si="13">SUM(L8:L19)</f>
        <v>10274.629999999999</v>
      </c>
      <c r="M20" s="22">
        <f t="shared" ref="M20" si="14">SUM(M8:M19)</f>
        <v>56008.11</v>
      </c>
      <c r="N20" s="52">
        <f t="shared" si="2"/>
        <v>-280652.7799999984</v>
      </c>
      <c r="O20" s="10">
        <f t="shared" si="7"/>
        <v>-28960.099999999991</v>
      </c>
      <c r="P20" s="18">
        <f t="shared" si="3"/>
        <v>-309612.87999999837</v>
      </c>
    </row>
    <row r="21" spans="1:16" ht="15" x14ac:dyDescent="0.25">
      <c r="A21" s="16" t="s">
        <v>12</v>
      </c>
      <c r="B21" s="40">
        <f t="shared" ref="B21" si="15">B6+B20</f>
        <v>-4659332.8899999987</v>
      </c>
      <c r="C21" s="2">
        <f t="shared" ref="C21" si="16">C6+C20</f>
        <v>1652047.2199999995</v>
      </c>
      <c r="D21" s="19">
        <f t="shared" ref="D21:G21" si="17">D6+D20</f>
        <v>-3007285.669999999</v>
      </c>
      <c r="E21" s="7">
        <f t="shared" si="17"/>
        <v>-82458.490000000005</v>
      </c>
      <c r="F21" s="7">
        <f t="shared" si="17"/>
        <v>-10274.629999999999</v>
      </c>
      <c r="G21" s="7">
        <f t="shared" si="17"/>
        <v>-92733.119999999995</v>
      </c>
      <c r="H21" s="47">
        <f t="shared" ref="H21" si="18">H6+H20</f>
        <v>4438757.5399999991</v>
      </c>
      <c r="I21" s="7">
        <f t="shared" ref="I21" si="19">I6+I20</f>
        <v>-1652047.2199999995</v>
      </c>
      <c r="J21" s="19">
        <f t="shared" ref="J21" si="20">J6+J20</f>
        <v>2786710.3200000003</v>
      </c>
      <c r="K21" s="47">
        <f t="shared" ref="K21:M21" si="21">K6+K20</f>
        <v>-13606.889999999992</v>
      </c>
      <c r="L21" s="7">
        <f t="shared" si="21"/>
        <v>10274.629999999999</v>
      </c>
      <c r="M21" s="19">
        <f t="shared" si="21"/>
        <v>-3332.2599999999948</v>
      </c>
      <c r="N21" s="47">
        <f t="shared" ref="N21:O21" si="22">N6+N20</f>
        <v>-220575.34999999916</v>
      </c>
      <c r="O21" s="7">
        <f t="shared" si="22"/>
        <v>-96065.37999999999</v>
      </c>
      <c r="P21" s="19">
        <f t="shared" si="3"/>
        <v>-316640.72999999917</v>
      </c>
    </row>
    <row r="22" spans="1:16" ht="15" x14ac:dyDescent="0.25">
      <c r="A22" s="16" t="s">
        <v>6</v>
      </c>
      <c r="B22" s="40">
        <v>1550163.3299999998</v>
      </c>
      <c r="C22" s="2"/>
      <c r="D22" s="19">
        <f t="shared" si="8"/>
        <v>1550163.3299999998</v>
      </c>
      <c r="E22" s="7">
        <v>38148</v>
      </c>
      <c r="F22" s="7">
        <v>0</v>
      </c>
      <c r="G22" s="7">
        <f>SUM(E22:F22)</f>
        <v>38148</v>
      </c>
      <c r="H22" s="47">
        <v>-1610240.76</v>
      </c>
      <c r="I22" s="7"/>
      <c r="J22" s="19">
        <f t="shared" si="10"/>
        <v>-1610240.76</v>
      </c>
      <c r="K22" s="47">
        <v>27779</v>
      </c>
      <c r="L22" s="7">
        <v>0</v>
      </c>
      <c r="M22" s="19">
        <f>SUM(K22:L22)</f>
        <v>27779</v>
      </c>
      <c r="N22" s="53">
        <f>D22+J22</f>
        <v>-60077.430000000168</v>
      </c>
      <c r="O22" s="8">
        <f>G22+M22</f>
        <v>65927</v>
      </c>
      <c r="P22" s="21">
        <f t="shared" si="3"/>
        <v>5849.5699999998324</v>
      </c>
    </row>
    <row r="23" spans="1:16" ht="15" x14ac:dyDescent="0.25">
      <c r="A23" s="16" t="s">
        <v>8</v>
      </c>
      <c r="B23" s="39">
        <f t="shared" ref="B23:O23" si="23">B6+B20+B22</f>
        <v>-3109169.5599999987</v>
      </c>
      <c r="C23" s="3">
        <f t="shared" si="23"/>
        <v>1652047.2199999995</v>
      </c>
      <c r="D23" s="22">
        <f t="shared" si="23"/>
        <v>-1457122.3399999992</v>
      </c>
      <c r="E23" s="1">
        <f t="shared" si="23"/>
        <v>-44310.490000000005</v>
      </c>
      <c r="F23" s="1">
        <f t="shared" si="23"/>
        <v>-10274.629999999999</v>
      </c>
      <c r="G23" s="1">
        <f t="shared" si="23"/>
        <v>-54585.119999999995</v>
      </c>
      <c r="H23" s="46">
        <f t="shared" si="23"/>
        <v>2828516.7799999993</v>
      </c>
      <c r="I23" s="1">
        <f t="shared" si="23"/>
        <v>-1652047.2199999995</v>
      </c>
      <c r="J23" s="22">
        <f t="shared" si="23"/>
        <v>1176469.5600000003</v>
      </c>
      <c r="K23" s="46">
        <f t="shared" si="23"/>
        <v>14172.110000000008</v>
      </c>
      <c r="L23" s="1">
        <f t="shared" si="23"/>
        <v>10274.629999999999</v>
      </c>
      <c r="M23" s="22">
        <f t="shared" si="23"/>
        <v>24446.740000000005</v>
      </c>
      <c r="N23" s="46">
        <f t="shared" si="23"/>
        <v>-280652.77999999933</v>
      </c>
      <c r="O23" s="1">
        <f t="shared" si="23"/>
        <v>-30138.37999999999</v>
      </c>
      <c r="P23" s="22">
        <f t="shared" si="3"/>
        <v>-310791.15999999933</v>
      </c>
    </row>
    <row r="24" spans="1:16" ht="15" x14ac:dyDescent="0.25">
      <c r="A24" s="16"/>
      <c r="B24" s="39"/>
      <c r="C24" s="3"/>
      <c r="D24" s="22"/>
      <c r="E24" s="1"/>
      <c r="F24" s="1"/>
      <c r="G24" s="1"/>
      <c r="H24" s="46"/>
      <c r="I24" s="1"/>
      <c r="J24" s="22"/>
      <c r="K24" s="46"/>
      <c r="L24" s="1"/>
      <c r="M24" s="22"/>
      <c r="N24" s="50"/>
      <c r="O24" s="9"/>
      <c r="P24" s="23"/>
    </row>
    <row r="25" spans="1:16" ht="15" x14ac:dyDescent="0.25">
      <c r="A25" s="20">
        <v>42005</v>
      </c>
      <c r="B25" s="39">
        <v>-188621.75</v>
      </c>
      <c r="C25" s="3">
        <f>-1207447+255974.15</f>
        <v>-951472.85</v>
      </c>
      <c r="D25" s="22">
        <f>SUM(B25:C25)</f>
        <v>-1140094.6000000001</v>
      </c>
      <c r="E25" s="1">
        <v>-4235.3</v>
      </c>
      <c r="F25" s="1"/>
      <c r="G25" s="1">
        <f t="shared" ref="G25:G36" si="24">E25+F25</f>
        <v>-4235.3</v>
      </c>
      <c r="H25" s="46">
        <v>-1207446.9499999997</v>
      </c>
      <c r="I25" s="1">
        <f t="shared" ref="I25:I36" si="25">-C25</f>
        <v>951472.85</v>
      </c>
      <c r="J25" s="22">
        <f>SUM(H25:I25)</f>
        <v>-255974.09999999974</v>
      </c>
      <c r="K25" s="46">
        <v>4703.04</v>
      </c>
      <c r="L25" s="1"/>
      <c r="M25" s="22">
        <f t="shared" ref="M25:M36" si="26">K25+L25</f>
        <v>4703.04</v>
      </c>
      <c r="N25" s="52">
        <f t="shared" ref="N25:N38" si="27">D25+J25</f>
        <v>-1396068.6999999997</v>
      </c>
      <c r="O25" s="10">
        <f t="shared" ref="O25:O38" si="28">G25+M25</f>
        <v>467.73999999999978</v>
      </c>
      <c r="P25" s="18">
        <f t="shared" si="3"/>
        <v>-1395600.9599999997</v>
      </c>
    </row>
    <row r="26" spans="1:16" ht="15" x14ac:dyDescent="0.25">
      <c r="A26" s="20">
        <v>42036</v>
      </c>
      <c r="B26" s="39">
        <v>1894678.459999999</v>
      </c>
      <c r="C26" s="3">
        <f>-1383017+1484976.54</f>
        <v>101959.54000000004</v>
      </c>
      <c r="D26" s="22">
        <f t="shared" ref="D26:D36" si="29">SUM(B26:C26)</f>
        <v>1996637.9999999991</v>
      </c>
      <c r="E26" s="1">
        <v>-5042.54</v>
      </c>
      <c r="F26" s="1"/>
      <c r="G26" s="1">
        <f t="shared" si="24"/>
        <v>-5042.54</v>
      </c>
      <c r="H26" s="46">
        <v>-1383017.4799999997</v>
      </c>
      <c r="I26" s="1">
        <f t="shared" si="25"/>
        <v>-101959.54000000004</v>
      </c>
      <c r="J26" s="22">
        <f t="shared" ref="J26:J36" si="30">SUM(H26:I26)</f>
        <v>-1484977.0199999998</v>
      </c>
      <c r="K26" s="46">
        <v>3894.07</v>
      </c>
      <c r="L26" s="1"/>
      <c r="M26" s="22">
        <f t="shared" si="26"/>
        <v>3894.07</v>
      </c>
      <c r="N26" s="52">
        <f t="shared" si="27"/>
        <v>511660.97999999928</v>
      </c>
      <c r="O26" s="10">
        <f t="shared" si="28"/>
        <v>-1148.4699999999998</v>
      </c>
      <c r="P26" s="18">
        <f t="shared" si="3"/>
        <v>510512.50999999931</v>
      </c>
    </row>
    <row r="27" spans="1:16" ht="15" x14ac:dyDescent="0.25">
      <c r="A27" s="20">
        <v>42064</v>
      </c>
      <c r="B27" s="39">
        <v>-1109958.4999999981</v>
      </c>
      <c r="C27" s="3">
        <f>-822193-1310026.38</f>
        <v>-2132219.38</v>
      </c>
      <c r="D27" s="22">
        <f t="shared" si="29"/>
        <v>-3242177.879999998</v>
      </c>
      <c r="E27" s="1">
        <v>-6383.68</v>
      </c>
      <c r="F27" s="1"/>
      <c r="G27" s="1">
        <f t="shared" si="24"/>
        <v>-6383.68</v>
      </c>
      <c r="H27" s="46">
        <v>-822193.17000000039</v>
      </c>
      <c r="I27" s="1">
        <f t="shared" si="25"/>
        <v>2132219.38</v>
      </c>
      <c r="J27" s="22">
        <f t="shared" si="30"/>
        <v>1310026.2099999995</v>
      </c>
      <c r="K27" s="46">
        <v>3651.55</v>
      </c>
      <c r="L27" s="1"/>
      <c r="M27" s="22">
        <f t="shared" si="26"/>
        <v>3651.55</v>
      </c>
      <c r="N27" s="52">
        <f t="shared" si="27"/>
        <v>-1932151.6699999985</v>
      </c>
      <c r="O27" s="10">
        <f t="shared" si="28"/>
        <v>-2732.13</v>
      </c>
      <c r="P27" s="18">
        <f t="shared" si="3"/>
        <v>-1934883.7999999984</v>
      </c>
    </row>
    <row r="28" spans="1:16" s="6" customFormat="1" ht="15" x14ac:dyDescent="0.25">
      <c r="A28" s="24">
        <v>42095</v>
      </c>
      <c r="B28" s="41">
        <v>280183.54999999888</v>
      </c>
      <c r="C28" s="25">
        <f>1911418-36991.15</f>
        <v>1874426.85</v>
      </c>
      <c r="D28" s="26">
        <f t="shared" si="29"/>
        <v>2154610.399999999</v>
      </c>
      <c r="E28" s="25">
        <v>-4993.4799999999996</v>
      </c>
      <c r="F28" s="25"/>
      <c r="G28" s="1">
        <f t="shared" si="24"/>
        <v>-4993.4799999999996</v>
      </c>
      <c r="H28" s="41">
        <v>1911418.33</v>
      </c>
      <c r="I28" s="25">
        <f t="shared" si="25"/>
        <v>-1874426.85</v>
      </c>
      <c r="J28" s="26">
        <f t="shared" si="30"/>
        <v>36991.479999999981</v>
      </c>
      <c r="K28" s="41">
        <v>1334.73</v>
      </c>
      <c r="L28" s="25"/>
      <c r="M28" s="22">
        <f t="shared" si="26"/>
        <v>1334.73</v>
      </c>
      <c r="N28" s="41">
        <f t="shared" si="27"/>
        <v>2191601.879999999</v>
      </c>
      <c r="O28" s="25">
        <f t="shared" si="28"/>
        <v>-3658.7499999999995</v>
      </c>
      <c r="P28" s="26">
        <f t="shared" si="3"/>
        <v>2187943.129999999</v>
      </c>
    </row>
    <row r="29" spans="1:16" ht="15" x14ac:dyDescent="0.25">
      <c r="A29" s="20">
        <v>42125</v>
      </c>
      <c r="B29" s="39">
        <v>2488.7799999993294</v>
      </c>
      <c r="C29" s="3">
        <f>1297463-52102.25</f>
        <v>1245360.75</v>
      </c>
      <c r="D29" s="22">
        <f t="shared" si="29"/>
        <v>1247849.5299999993</v>
      </c>
      <c r="E29" s="1">
        <f>-3497.83+1256.86</f>
        <v>-2240.9700000000003</v>
      </c>
      <c r="F29" s="1"/>
      <c r="G29" s="1">
        <f t="shared" si="24"/>
        <v>-2240.9700000000003</v>
      </c>
      <c r="H29" s="46">
        <v>1297463.1300000004</v>
      </c>
      <c r="I29" s="1">
        <f t="shared" si="25"/>
        <v>-1245360.75</v>
      </c>
      <c r="J29" s="22">
        <f t="shared" si="30"/>
        <v>52102.380000000354</v>
      </c>
      <c r="K29" s="46">
        <f>1765.4-335.95</f>
        <v>1429.45</v>
      </c>
      <c r="L29" s="1"/>
      <c r="M29" s="22">
        <f t="shared" si="26"/>
        <v>1429.45</v>
      </c>
      <c r="N29" s="52">
        <f t="shared" si="27"/>
        <v>1299951.9099999997</v>
      </c>
      <c r="O29" s="10">
        <f t="shared" si="28"/>
        <v>-811.52000000000021</v>
      </c>
      <c r="P29" s="18">
        <f t="shared" si="3"/>
        <v>1299140.3899999997</v>
      </c>
    </row>
    <row r="30" spans="1:16" ht="15" x14ac:dyDescent="0.25">
      <c r="A30" s="20">
        <v>42156</v>
      </c>
      <c r="B30" s="39">
        <v>-511119.72999999858</v>
      </c>
      <c r="C30" s="3">
        <f>206928-146812.01</f>
        <v>60115.989999999991</v>
      </c>
      <c r="D30" s="22">
        <f t="shared" si="29"/>
        <v>-451003.73999999859</v>
      </c>
      <c r="E30" s="1">
        <v>-1884.9</v>
      </c>
      <c r="F30" s="1"/>
      <c r="G30" s="1">
        <f t="shared" si="24"/>
        <v>-1884.9</v>
      </c>
      <c r="H30" s="46">
        <v>206927.88000000082</v>
      </c>
      <c r="I30" s="1">
        <f t="shared" si="25"/>
        <v>-60115.989999999991</v>
      </c>
      <c r="J30" s="22">
        <f t="shared" si="30"/>
        <v>146811.89000000083</v>
      </c>
      <c r="K30" s="46">
        <v>1712.45</v>
      </c>
      <c r="L30" s="1"/>
      <c r="M30" s="22">
        <f t="shared" si="26"/>
        <v>1712.45</v>
      </c>
      <c r="N30" s="52">
        <f t="shared" si="27"/>
        <v>-304191.84999999776</v>
      </c>
      <c r="O30" s="10">
        <f t="shared" si="28"/>
        <v>-172.45000000000005</v>
      </c>
      <c r="P30" s="18">
        <f t="shared" si="3"/>
        <v>-304364.29999999778</v>
      </c>
    </row>
    <row r="31" spans="1:16" ht="15" x14ac:dyDescent="0.25">
      <c r="A31" s="20">
        <v>42186</v>
      </c>
      <c r="B31" s="39">
        <v>21847.789999998175</v>
      </c>
      <c r="C31" s="3">
        <f>678542+31819.85</f>
        <v>710361.85</v>
      </c>
      <c r="D31" s="22">
        <f t="shared" si="29"/>
        <v>732209.63999999815</v>
      </c>
      <c r="E31" s="1">
        <v>-2468.81</v>
      </c>
      <c r="F31" s="1"/>
      <c r="G31" s="1">
        <f t="shared" si="24"/>
        <v>-2468.81</v>
      </c>
      <c r="H31" s="46">
        <v>678541.60000000056</v>
      </c>
      <c r="I31" s="1">
        <f t="shared" si="25"/>
        <v>-710361.85</v>
      </c>
      <c r="J31" s="22">
        <f t="shared" si="30"/>
        <v>-31820.249999999418</v>
      </c>
      <c r="K31" s="46">
        <v>1539.65</v>
      </c>
      <c r="L31" s="1"/>
      <c r="M31" s="22">
        <f t="shared" si="26"/>
        <v>1539.65</v>
      </c>
      <c r="N31" s="52">
        <f t="shared" si="27"/>
        <v>700389.38999999873</v>
      </c>
      <c r="O31" s="10">
        <f t="shared" si="28"/>
        <v>-929.15999999999985</v>
      </c>
      <c r="P31" s="18">
        <f t="shared" si="3"/>
        <v>699460.2299999987</v>
      </c>
    </row>
    <row r="32" spans="1:16" ht="15" x14ac:dyDescent="0.25">
      <c r="A32" s="20">
        <v>42217</v>
      </c>
      <c r="B32" s="39">
        <v>-173425.04999999981</v>
      </c>
      <c r="C32" s="3">
        <f>-439921+14085.79</f>
        <v>-425835.21</v>
      </c>
      <c r="D32" s="22">
        <f t="shared" si="29"/>
        <v>-599260.25999999978</v>
      </c>
      <c r="E32" s="1">
        <v>-2177.13</v>
      </c>
      <c r="F32" s="1"/>
      <c r="G32" s="1">
        <f t="shared" si="24"/>
        <v>-2177.13</v>
      </c>
      <c r="H32" s="46">
        <v>-439920.79999999981</v>
      </c>
      <c r="I32" s="1">
        <f t="shared" si="25"/>
        <v>425835.21</v>
      </c>
      <c r="J32" s="22">
        <f t="shared" si="30"/>
        <v>-14085.589999999793</v>
      </c>
      <c r="K32" s="46">
        <v>741.36</v>
      </c>
      <c r="L32" s="1"/>
      <c r="M32" s="22">
        <f t="shared" si="26"/>
        <v>741.36</v>
      </c>
      <c r="N32" s="52">
        <f t="shared" si="27"/>
        <v>-613345.84999999963</v>
      </c>
      <c r="O32" s="10">
        <f t="shared" si="28"/>
        <v>-1435.77</v>
      </c>
      <c r="P32" s="18">
        <f t="shared" si="3"/>
        <v>-614781.61999999965</v>
      </c>
    </row>
    <row r="33" spans="1:16" ht="15" x14ac:dyDescent="0.25">
      <c r="A33" s="20">
        <v>42248</v>
      </c>
      <c r="B33" s="39">
        <v>-924334.75000000186</v>
      </c>
      <c r="C33" s="3">
        <f>-1711200+37812.8</f>
        <v>-1673387.2</v>
      </c>
      <c r="D33" s="22">
        <f t="shared" si="29"/>
        <v>-2597721.950000002</v>
      </c>
      <c r="E33" s="1">
        <v>-3168.73</v>
      </c>
      <c r="F33" s="1"/>
      <c r="G33" s="1">
        <f t="shared" si="24"/>
        <v>-3168.73</v>
      </c>
      <c r="H33" s="46">
        <v>-1711200.2500000005</v>
      </c>
      <c r="I33" s="1">
        <f t="shared" si="25"/>
        <v>1673387.2</v>
      </c>
      <c r="J33" s="22">
        <f t="shared" si="30"/>
        <v>-37813.050000000512</v>
      </c>
      <c r="K33" s="46">
        <v>1504.01</v>
      </c>
      <c r="L33" s="1"/>
      <c r="M33" s="22">
        <f t="shared" si="26"/>
        <v>1504.01</v>
      </c>
      <c r="N33" s="52">
        <f t="shared" si="27"/>
        <v>-2635535.0000000028</v>
      </c>
      <c r="O33" s="10">
        <f t="shared" si="28"/>
        <v>-1664.72</v>
      </c>
      <c r="P33" s="18">
        <f t="shared" si="3"/>
        <v>-2637199.720000003</v>
      </c>
    </row>
    <row r="34" spans="1:16" ht="15" x14ac:dyDescent="0.25">
      <c r="A34" s="20">
        <v>42278</v>
      </c>
      <c r="B34" s="39">
        <v>-887895.3499999987</v>
      </c>
      <c r="C34" s="3">
        <f>-484850-17874.87</f>
        <v>-502724.87</v>
      </c>
      <c r="D34" s="22">
        <f t="shared" si="29"/>
        <v>-1390620.2199999988</v>
      </c>
      <c r="E34" s="1">
        <v>-4189.76</v>
      </c>
      <c r="F34" s="1"/>
      <c r="G34" s="1">
        <f t="shared" si="24"/>
        <v>-4189.76</v>
      </c>
      <c r="H34" s="46">
        <v>-484849.64000000013</v>
      </c>
      <c r="I34" s="1">
        <f t="shared" si="25"/>
        <v>502724.87</v>
      </c>
      <c r="J34" s="22">
        <f t="shared" si="30"/>
        <v>17875.229999999865</v>
      </c>
      <c r="K34" s="46">
        <v>601.69000000000005</v>
      </c>
      <c r="L34" s="1"/>
      <c r="M34" s="22">
        <f t="shared" si="26"/>
        <v>601.69000000000005</v>
      </c>
      <c r="N34" s="52">
        <f t="shared" si="27"/>
        <v>-1372744.9899999988</v>
      </c>
      <c r="O34" s="10">
        <f t="shared" si="28"/>
        <v>-3588.07</v>
      </c>
      <c r="P34" s="18">
        <f t="shared" si="3"/>
        <v>-1376333.0599999989</v>
      </c>
    </row>
    <row r="35" spans="1:16" ht="15" x14ac:dyDescent="0.25">
      <c r="A35" s="20">
        <v>42309</v>
      </c>
      <c r="B35" s="39">
        <v>63783.369999998249</v>
      </c>
      <c r="C35" s="3">
        <f>2156329-19793.25</f>
        <v>2136535.75</v>
      </c>
      <c r="D35" s="22">
        <f t="shared" si="29"/>
        <v>2200319.1199999982</v>
      </c>
      <c r="E35" s="1">
        <v>-3801.63</v>
      </c>
      <c r="F35" s="1"/>
      <c r="G35" s="1">
        <f t="shared" si="24"/>
        <v>-3801.63</v>
      </c>
      <c r="H35" s="46">
        <v>2156328.62</v>
      </c>
      <c r="I35" s="1">
        <f t="shared" si="25"/>
        <v>-2136535.75</v>
      </c>
      <c r="J35" s="22">
        <f t="shared" si="30"/>
        <v>19792.870000000112</v>
      </c>
      <c r="K35" s="46">
        <v>369.93</v>
      </c>
      <c r="L35" s="1"/>
      <c r="M35" s="22">
        <f t="shared" si="26"/>
        <v>369.93</v>
      </c>
      <c r="N35" s="52">
        <f t="shared" si="27"/>
        <v>2220111.9899999984</v>
      </c>
      <c r="O35" s="10">
        <f t="shared" si="28"/>
        <v>-3431.7000000000003</v>
      </c>
      <c r="P35" s="18">
        <f t="shared" si="3"/>
        <v>2216680.2899999982</v>
      </c>
    </row>
    <row r="36" spans="1:16" x14ac:dyDescent="0.3">
      <c r="A36" s="20">
        <v>42339</v>
      </c>
      <c r="B36" s="40">
        <v>3749.4600000008941</v>
      </c>
      <c r="C36" s="2">
        <f>-206277+17298.65</f>
        <v>-188978.35</v>
      </c>
      <c r="D36" s="19">
        <f t="shared" si="29"/>
        <v>-185228.88999999911</v>
      </c>
      <c r="E36" s="7">
        <v>-3735.83</v>
      </c>
      <c r="F36" s="7">
        <v>12864.89</v>
      </c>
      <c r="G36" s="7">
        <f t="shared" si="24"/>
        <v>9129.06</v>
      </c>
      <c r="H36" s="47">
        <v>-206277.15000000037</v>
      </c>
      <c r="I36" s="7">
        <f t="shared" si="25"/>
        <v>188978.35</v>
      </c>
      <c r="J36" s="19">
        <f t="shared" si="30"/>
        <v>-17298.800000000367</v>
      </c>
      <c r="K36" s="47">
        <v>2396.8000000000002</v>
      </c>
      <c r="L36" s="7">
        <v>-12864.89</v>
      </c>
      <c r="M36" s="19">
        <f t="shared" si="26"/>
        <v>-10468.09</v>
      </c>
      <c r="N36" s="47">
        <f t="shared" si="27"/>
        <v>-202527.68999999948</v>
      </c>
      <c r="O36" s="7">
        <f t="shared" si="28"/>
        <v>-1339.0300000000007</v>
      </c>
      <c r="P36" s="19">
        <f t="shared" si="3"/>
        <v>-203866.71999999948</v>
      </c>
    </row>
    <row r="37" spans="1:16" x14ac:dyDescent="0.3">
      <c r="A37" s="16" t="s">
        <v>7</v>
      </c>
      <c r="B37" s="39">
        <f>SUM(B25:B36)</f>
        <v>-1528623.7200000025</v>
      </c>
      <c r="C37" s="3">
        <f t="shared" ref="C37:G37" si="31">SUM(C25:C36)</f>
        <v>254142.8700000002</v>
      </c>
      <c r="D37" s="22">
        <f t="shared" si="31"/>
        <v>-1274480.8500000029</v>
      </c>
      <c r="E37" s="1">
        <f t="shared" si="31"/>
        <v>-44322.76</v>
      </c>
      <c r="F37" s="1">
        <f t="shared" si="31"/>
        <v>12864.89</v>
      </c>
      <c r="G37" s="1">
        <f t="shared" si="31"/>
        <v>-31457.870000000003</v>
      </c>
      <c r="H37" s="46">
        <f>SUM(H25:H36)</f>
        <v>-4225.8799999989569</v>
      </c>
      <c r="I37" s="1">
        <f t="shared" ref="I37:J37" si="32">SUM(I25:I36)</f>
        <v>-254142.8700000002</v>
      </c>
      <c r="J37" s="22">
        <f t="shared" si="32"/>
        <v>-258368.7499999991</v>
      </c>
      <c r="K37" s="46">
        <f t="shared" ref="K37:M37" si="33">SUM(K25:K36)</f>
        <v>23878.73</v>
      </c>
      <c r="L37" s="1">
        <f t="shared" si="33"/>
        <v>-12864.89</v>
      </c>
      <c r="M37" s="22">
        <f t="shared" si="33"/>
        <v>11013.84</v>
      </c>
      <c r="N37" s="52">
        <f t="shared" si="27"/>
        <v>-1532849.600000002</v>
      </c>
      <c r="O37" s="10">
        <f t="shared" si="28"/>
        <v>-20444.030000000002</v>
      </c>
      <c r="P37" s="18">
        <f t="shared" si="3"/>
        <v>-1553293.630000002</v>
      </c>
    </row>
    <row r="38" spans="1:16" ht="28.8" x14ac:dyDescent="0.3">
      <c r="A38" s="27" t="s">
        <v>9</v>
      </c>
      <c r="B38" s="16">
        <v>0</v>
      </c>
      <c r="C38" s="4"/>
      <c r="D38" s="23"/>
      <c r="E38" s="9"/>
      <c r="F38" s="9"/>
      <c r="G38" s="9"/>
      <c r="H38" s="46">
        <v>0</v>
      </c>
      <c r="I38" s="1"/>
      <c r="J38" s="22"/>
      <c r="K38" s="50"/>
      <c r="L38" s="9"/>
      <c r="M38" s="23"/>
      <c r="N38" s="52">
        <f t="shared" si="27"/>
        <v>0</v>
      </c>
      <c r="O38" s="10">
        <f t="shared" si="28"/>
        <v>0</v>
      </c>
      <c r="P38" s="18">
        <f t="shared" si="3"/>
        <v>0</v>
      </c>
    </row>
    <row r="39" spans="1:16" ht="15" thickBot="1" x14ac:dyDescent="0.35">
      <c r="A39" s="28" t="s">
        <v>10</v>
      </c>
      <c r="B39" s="42">
        <f t="shared" ref="B39:O39" si="34">B23+B37+B38</f>
        <v>-4637793.2800000012</v>
      </c>
      <c r="C39" s="29">
        <f t="shared" si="34"/>
        <v>1906190.0899999996</v>
      </c>
      <c r="D39" s="43">
        <f t="shared" si="34"/>
        <v>-2731603.1900000023</v>
      </c>
      <c r="E39" s="30">
        <f t="shared" si="34"/>
        <v>-88633.25</v>
      </c>
      <c r="F39" s="30">
        <f t="shared" si="34"/>
        <v>2590.2600000000002</v>
      </c>
      <c r="G39" s="31">
        <f t="shared" si="34"/>
        <v>-86042.989999999991</v>
      </c>
      <c r="H39" s="48">
        <f t="shared" si="34"/>
        <v>2824290.9000000004</v>
      </c>
      <c r="I39" s="30">
        <f t="shared" si="34"/>
        <v>-1906190.0899999996</v>
      </c>
      <c r="J39" s="55">
        <f>J23+J37+J38</f>
        <v>918100.81000000122</v>
      </c>
      <c r="K39" s="48">
        <f t="shared" si="34"/>
        <v>38050.840000000011</v>
      </c>
      <c r="L39" s="30">
        <f t="shared" si="34"/>
        <v>-2590.2600000000002</v>
      </c>
      <c r="M39" s="49">
        <f t="shared" si="34"/>
        <v>35460.58</v>
      </c>
      <c r="N39" s="48">
        <f t="shared" si="34"/>
        <v>-1813502.3800000013</v>
      </c>
      <c r="O39" s="30">
        <f t="shared" si="34"/>
        <v>-50582.409999999989</v>
      </c>
      <c r="P39" s="32">
        <f t="shared" si="3"/>
        <v>-1864084.7900000012</v>
      </c>
    </row>
    <row r="40" spans="1:16" x14ac:dyDescent="0.3">
      <c r="B40" s="5"/>
      <c r="C40" s="5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x14ac:dyDescent="0.3">
      <c r="B41" s="5"/>
      <c r="C41" s="56" t="s">
        <v>25</v>
      </c>
      <c r="D41" s="56"/>
      <c r="E41" s="56"/>
      <c r="F41" s="56"/>
      <c r="G41" s="56"/>
      <c r="H41" s="56"/>
      <c r="I41" s="56"/>
      <c r="J41" s="56"/>
      <c r="K41" s="10"/>
      <c r="L41" s="10"/>
      <c r="M41" s="10"/>
      <c r="N41" s="10"/>
      <c r="O41" s="10"/>
      <c r="P41" s="10"/>
    </row>
  </sheetData>
  <pageMargins left="0.25" right="0.25" top="0.43" bottom="0.45" header="0.3" footer="0.3"/>
  <pageSetup scale="61" fitToHeight="2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1588 and 1589</vt:lpstr>
      <vt:lpstr>Sheet2</vt:lpstr>
      <vt:lpstr>Sheet3</vt:lpstr>
      <vt:lpstr>'1588 and 1589'!Print_Titles</vt:lpstr>
    </vt:vector>
  </TitlesOfParts>
  <Company>Niagara Peninsula Energy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NPEI</dc:creator>
  <cp:lastModifiedBy>Mona Habashy</cp:lastModifiedBy>
  <cp:lastPrinted>2017-03-15T14:14:49Z</cp:lastPrinted>
  <dcterms:created xsi:type="dcterms:W3CDTF">2017-02-07T13:51:15Z</dcterms:created>
  <dcterms:modified xsi:type="dcterms:W3CDTF">2017-03-23T13:49:41Z</dcterms:modified>
</cp:coreProperties>
</file>