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6675" tabRatio="831" firstSheet="1" activeTab="1"/>
  </bookViews>
  <sheets>
    <sheet name="Exhibit 3 Tables" sheetId="28" r:id="rId1"/>
    <sheet name="Summary" sheetId="11" r:id="rId2"/>
    <sheet name="Purchased Power Model " sheetId="19" r:id="rId3"/>
    <sheet name="Purchased Power Model WN" sheetId="29" r:id="rId4"/>
    <sheet name="Rate Class Energy Model" sheetId="9" r:id="rId5"/>
    <sheet name="Rate Class Customer Model" sheetId="17" r:id="rId6"/>
    <sheet name="Rate Class Load Model" sheetId="18" r:id="rId7"/>
    <sheet name="CDM Activity" sheetId="23" r:id="rId8"/>
    <sheet name="Historical HDD &amp; CDD" sheetId="2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CAP1000" localSheetId="3">#REF!</definedName>
    <definedName name="__CAP1000">#REF!</definedName>
    <definedName name="__OP1000" localSheetId="3">#REF!</definedName>
    <definedName name="__OP100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[2]Sheet1!$G$40:$K$40</definedName>
    <definedName name="_Sort" localSheetId="0" hidden="1">[3]Sheet1!$G$40:$K$40</definedName>
    <definedName name="_Sort" localSheetId="8" hidden="1">[4]Sheet1!$G$40:$K$40</definedName>
    <definedName name="_Sort" hidden="1">[5]Sheet1!$G$40:$K$40</definedName>
    <definedName name="ALL" localSheetId="3">#REF!</definedName>
    <definedName name="ALL">#REF!</definedName>
    <definedName name="ApprovedYr">[6]Z1.ModelVariables!$C$12</definedName>
    <definedName name="CAfile" localSheetId="0">[7]Refs!$B$2</definedName>
    <definedName name="CAfile">[8]Refs!$B$2</definedName>
    <definedName name="CAPCOSTS" localSheetId="3">#REF!</definedName>
    <definedName name="CAPCOSTS">#REF!</definedName>
    <definedName name="CAPITAL" localSheetId="3">#REF!</definedName>
    <definedName name="CAPITAL">#REF!</definedName>
    <definedName name="CapitalExpListing" localSheetId="3">#REF!</definedName>
    <definedName name="CapitalExpListing">#REF!</definedName>
    <definedName name="CArevReq" localSheetId="0">[7]Refs!$B$6</definedName>
    <definedName name="CArevReq">[8]Refs!$B$6</definedName>
    <definedName name="CASHFLOW" localSheetId="3">#REF!</definedName>
    <definedName name="CASHFLOW">#REF!</definedName>
    <definedName name="cc" localSheetId="3">#REF!</definedName>
    <definedName name="cc">#REF!</definedName>
    <definedName name="ClassRange1" localSheetId="0">[7]Refs!$B$3</definedName>
    <definedName name="ClassRange1">[8]Refs!$B$3</definedName>
    <definedName name="ClassRange2" localSheetId="0">[7]Refs!$B$4</definedName>
    <definedName name="ClassRange2">[8]Refs!$B$4</definedName>
    <definedName name="contactf" localSheetId="3">#REF!</definedName>
    <definedName name="contactf">#REF!</definedName>
    <definedName name="_xlnm.Criteria" localSheetId="3">#REF!</definedName>
    <definedName name="_xlnm.Criteria">#REF!</definedName>
    <definedName name="CRLF">[6]Z1.ModelVariables!$C$10</definedName>
    <definedName name="_xlnm.Database" localSheetId="3">#REF!</definedName>
    <definedName name="_xlnm.Database">#REF!</definedName>
    <definedName name="DaysInPreviousYear">'[9]Distribution Revenue by Source'!$B$22</definedName>
    <definedName name="DaysInYear">'[9]Distribution Revenue by Source'!$B$21</definedName>
    <definedName name="DEBTREPAY" localSheetId="3">#REF!</definedName>
    <definedName name="DEBTREPAY">#REF!</definedName>
    <definedName name="DeptDiv" localSheetId="3">#REF!</definedName>
    <definedName name="DeptDiv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[6]Z1.ModelVariables!$C$14</definedName>
    <definedName name="FolderPath" localSheetId="0">[7]Menu!$C$8</definedName>
    <definedName name="FolderPath">[8]Menu!$C$8</definedName>
    <definedName name="histdate">[10]Financials!$E$76</definedName>
    <definedName name="Incr2000" localSheetId="3">#REF!</definedName>
    <definedName name="Incr2000">#REF!</definedName>
    <definedName name="INTERIM" localSheetId="3">#REF!</definedName>
    <definedName name="INTERIM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[7]Refs!$B$8</definedName>
    <definedName name="NewRevReq">[8]Refs!$B$8</definedName>
    <definedName name="NOTES" localSheetId="3">#REF!</definedName>
    <definedName name="NOTES">#REF!</definedName>
    <definedName name="OPERATING" localSheetId="3">#REF!</definedName>
    <definedName name="OPERATING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0">#REF!</definedName>
    <definedName name="PAGE11" localSheetId="8">#REF!</definedName>
    <definedName name="PAGE11" localSheetId="3">#REF!</definedName>
    <definedName name="PAGE11">#REF!</definedName>
    <definedName name="PAGE2" localSheetId="7">[2]Sheet1!$A$1:$I$40</definedName>
    <definedName name="PAGE2" localSheetId="0">[3]Sheet1!$A$1:$I$40</definedName>
    <definedName name="PAGE2" localSheetId="8">[4]Sheet1!$A$1:$I$40</definedName>
    <definedName name="PAGE2">[5]Sheet1!$A$1:$I$40</definedName>
    <definedName name="PAGE3" localSheetId="0">#REF!</definedName>
    <definedName name="PAGE3" localSheetId="8">#REF!</definedName>
    <definedName name="PAGE3" localSheetId="3">#REF!</definedName>
    <definedName name="PAGE3">#REF!</definedName>
    <definedName name="PAGE4" localSheetId="0">#REF!</definedName>
    <definedName name="PAGE4" localSheetId="8">#REF!</definedName>
    <definedName name="PAGE4" localSheetId="3">#REF!</definedName>
    <definedName name="PAGE4">#REF!</definedName>
    <definedName name="PAGE7" localSheetId="0">#REF!</definedName>
    <definedName name="PAGE7" localSheetId="8">#REF!</definedName>
    <definedName name="PAGE7" localSheetId="3">#REF!</definedName>
    <definedName name="PAGE7">#REF!</definedName>
    <definedName name="PAGE9" localSheetId="0">#REF!</definedName>
    <definedName name="PAGE9" localSheetId="8">#REF!</definedName>
    <definedName name="PAGE9" localSheetId="3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2">'Purchased Power Model '!$N$62:$R$85</definedName>
    <definedName name="_xlnm.Print_Area" localSheetId="3">'Purchased Power Model WN'!$N$62:$R$85</definedName>
    <definedName name="_xlnm.Print_Area" localSheetId="5">'Rate Class Customer Model'!$A$1:$C$2</definedName>
    <definedName name="_xlnm.Print_Area" localSheetId="4">'Rate Class Energy Model'!$A$1:$I$2</definedName>
    <definedName name="_xlnm.Print_Area" localSheetId="6">'Rate Class Load Model'!$A$1:$A$1</definedName>
    <definedName name="_xlnm.Print_Area" localSheetId="1">Summary!#REF!</definedName>
    <definedName name="Print_Area_MI" localSheetId="3">#REF!</definedName>
    <definedName name="Print_Area_MI">#REF!</definedName>
    <definedName name="print_end" localSheetId="3">#REF!</definedName>
    <definedName name="print_end">#REF!</definedName>
    <definedName name="PRIOR" localSheetId="3">#REF!</definedName>
    <definedName name="PRIOR">#REF!</definedName>
    <definedName name="Ratebase">'[9]Distribution Revenue by Source'!$C$25</definedName>
    <definedName name="RevReqLookupKey" localSheetId="0">[7]Refs!$B$5</definedName>
    <definedName name="RevReqLookupKey">[8]Refs!$B$5</definedName>
    <definedName name="RevReqRange" localSheetId="0">[7]Refs!$B$7</definedName>
    <definedName name="RevReqRange">[8]Refs!$B$7</definedName>
    <definedName name="RVCASHPR" localSheetId="3">#REF!</definedName>
    <definedName name="RVCASHPR">#REF!</definedName>
    <definedName name="SALBENF" localSheetId="3">#REF!</definedName>
    <definedName name="SALBENF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[6]A1.Admin!$C$13</definedName>
    <definedName name="TestYrPL">'[11]Revenue Requirement'!$B$10</definedName>
    <definedName name="total_dept" localSheetId="3">#REF!</definedName>
    <definedName name="total_dept">#REF!</definedName>
    <definedName name="total_manpower" localSheetId="3">#REF!</definedName>
    <definedName name="total_manpower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[10]Financials!$A$1</definedName>
    <definedName name="utitliy1">[12]Financials!$A$1</definedName>
    <definedName name="WAGBENF" localSheetId="3">#REF!</definedName>
    <definedName name="WAGBENF">#REF!</definedName>
    <definedName name="wagdob" localSheetId="3">#REF!</definedName>
    <definedName name="wagdob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45621" iterate="1"/>
</workbook>
</file>

<file path=xl/calcChain.xml><?xml version="1.0" encoding="utf-8"?>
<calcChain xmlns="http://schemas.openxmlformats.org/spreadsheetml/2006/main">
  <c r="AD15" i="23" l="1"/>
  <c r="W27" i="23"/>
  <c r="AF14" i="23"/>
  <c r="AE14" i="23"/>
  <c r="W30" i="23" s="1"/>
  <c r="AD14" i="23"/>
  <c r="V30" i="23" s="1"/>
  <c r="AC14" i="23"/>
  <c r="AF13" i="23"/>
  <c r="AE13" i="23"/>
  <c r="AD13" i="23"/>
  <c r="W29" i="23" s="1"/>
  <c r="AC13" i="23"/>
  <c r="V29" i="23" s="1"/>
  <c r="AB13" i="23"/>
  <c r="AF12" i="23"/>
  <c r="AE12" i="23"/>
  <c r="AD12" i="23"/>
  <c r="AC12" i="23"/>
  <c r="W28" i="23" s="1"/>
  <c r="AB12" i="23"/>
  <c r="V28" i="23" s="1"/>
  <c r="AA12" i="23"/>
  <c r="AF11" i="23"/>
  <c r="AE11" i="23"/>
  <c r="AD11" i="23"/>
  <c r="AC11" i="23"/>
  <c r="AB11" i="23"/>
  <c r="AA11" i="23"/>
  <c r="V27" i="23" s="1"/>
  <c r="Z11" i="23"/>
  <c r="AB608" i="28" l="1"/>
  <c r="AB607" i="28"/>
  <c r="AB606" i="28"/>
  <c r="AB605" i="28"/>
  <c r="AB604" i="28"/>
  <c r="AB603" i="28"/>
  <c r="AB602" i="28"/>
  <c r="AB601" i="28"/>
  <c r="AA545" i="28"/>
  <c r="AA544" i="28"/>
  <c r="AA543" i="28"/>
  <c r="AA542" i="28"/>
  <c r="AA541" i="28"/>
  <c r="AA540" i="28"/>
  <c r="AA539" i="28"/>
  <c r="W12" i="28"/>
  <c r="V12" i="28"/>
  <c r="U12" i="28"/>
  <c r="T12" i="28"/>
  <c r="S12" i="28"/>
  <c r="R12" i="28"/>
  <c r="Q12" i="28"/>
  <c r="P12" i="28"/>
  <c r="O12" i="28"/>
  <c r="AO626" i="28" l="1"/>
  <c r="AM626" i="28"/>
  <c r="AB571" i="28"/>
  <c r="AA602" i="28" s="1"/>
  <c r="AB572" i="28"/>
  <c r="AA603" i="28" s="1"/>
  <c r="AC603" i="28" s="1"/>
  <c r="AD603" i="28" s="1"/>
  <c r="AB573" i="28"/>
  <c r="AA604" i="28" s="1"/>
  <c r="AC604" i="28" s="1"/>
  <c r="AD604" i="28" s="1"/>
  <c r="AB574" i="28"/>
  <c r="AA605" i="28" s="1"/>
  <c r="AB575" i="28"/>
  <c r="AA606" i="28" s="1"/>
  <c r="AB576" i="28"/>
  <c r="AB540" i="28"/>
  <c r="AB541" i="28"/>
  <c r="AA572" i="28" s="1"/>
  <c r="AB542" i="28"/>
  <c r="AA573" i="28" s="1"/>
  <c r="AB543" i="28"/>
  <c r="AB544" i="28"/>
  <c r="AC544" i="28" s="1"/>
  <c r="AD544" i="28" s="1"/>
  <c r="AB545" i="28"/>
  <c r="AA576" i="28" s="1"/>
  <c r="AA538" i="28"/>
  <c r="AG520" i="28"/>
  <c r="AF520" i="28"/>
  <c r="AB509" i="28"/>
  <c r="AB510" i="28"/>
  <c r="AB511" i="28"/>
  <c r="AB512" i="28"/>
  <c r="AB513" i="28"/>
  <c r="AB514" i="28"/>
  <c r="AB508" i="28"/>
  <c r="AA478" i="28"/>
  <c r="AA479" i="28"/>
  <c r="AA480" i="28"/>
  <c r="AA481" i="28"/>
  <c r="AA482" i="28"/>
  <c r="AA483" i="28"/>
  <c r="AA477" i="28"/>
  <c r="AG489" i="28"/>
  <c r="AJ489" i="28" s="1"/>
  <c r="AN489" i="28" s="1"/>
  <c r="AF489" i="28"/>
  <c r="AI489" i="28" s="1"/>
  <c r="AH460" i="28"/>
  <c r="AH491" i="28" s="1"/>
  <c r="AH522" i="28" s="1"/>
  <c r="AH531" i="28" s="1"/>
  <c r="AH553" i="28" s="1"/>
  <c r="AH562" i="28" s="1"/>
  <c r="AH584" i="28" s="1"/>
  <c r="AH593" i="28" s="1"/>
  <c r="AH615" i="28" s="1"/>
  <c r="AH624" i="28" s="1"/>
  <c r="AH461" i="28"/>
  <c r="AH492" i="28" s="1"/>
  <c r="AH523" i="28" s="1"/>
  <c r="AH532" i="28" s="1"/>
  <c r="AH554" i="28" s="1"/>
  <c r="AH563" i="28" s="1"/>
  <c r="AH585" i="28" s="1"/>
  <c r="AH594" i="28" s="1"/>
  <c r="AH616" i="28" s="1"/>
  <c r="AH625" i="28" s="1"/>
  <c r="AH462" i="28"/>
  <c r="AH493" i="28" s="1"/>
  <c r="AH524" i="28" s="1"/>
  <c r="AH533" i="28" s="1"/>
  <c r="AH555" i="28" s="1"/>
  <c r="AH564" i="28" s="1"/>
  <c r="AH586" i="28" s="1"/>
  <c r="AH595" i="28" s="1"/>
  <c r="AH617" i="28" s="1"/>
  <c r="AH626" i="28" s="1"/>
  <c r="AH463" i="28"/>
  <c r="AH494" i="28" s="1"/>
  <c r="AH525" i="28" s="1"/>
  <c r="AH534" i="28" s="1"/>
  <c r="AH556" i="28" s="1"/>
  <c r="AH565" i="28" s="1"/>
  <c r="AH587" i="28" s="1"/>
  <c r="AH596" i="28" s="1"/>
  <c r="AH618" i="28" s="1"/>
  <c r="AH627" i="28" s="1"/>
  <c r="AH464" i="28"/>
  <c r="AH495" i="28" s="1"/>
  <c r="AH526" i="28" s="1"/>
  <c r="AH535" i="28" s="1"/>
  <c r="AH557" i="28" s="1"/>
  <c r="AH566" i="28" s="1"/>
  <c r="AH588" i="28" s="1"/>
  <c r="AH597" i="28" s="1"/>
  <c r="AH619" i="28" s="1"/>
  <c r="AH628" i="28" s="1"/>
  <c r="AH465" i="28"/>
  <c r="AH496" i="28" s="1"/>
  <c r="AH527" i="28" s="1"/>
  <c r="AH536" i="28" s="1"/>
  <c r="AH558" i="28" s="1"/>
  <c r="AH567" i="28" s="1"/>
  <c r="AH589" i="28" s="1"/>
  <c r="AH598" i="28" s="1"/>
  <c r="AH620" i="28" s="1"/>
  <c r="AH629" i="28" s="1"/>
  <c r="AH459" i="28"/>
  <c r="AH490" i="28" s="1"/>
  <c r="AH521" i="28" s="1"/>
  <c r="AH530" i="28" s="1"/>
  <c r="AH552" i="28" s="1"/>
  <c r="AH561" i="28" s="1"/>
  <c r="AH583" i="28" s="1"/>
  <c r="AH592" i="28" s="1"/>
  <c r="AH614" i="28" s="1"/>
  <c r="AH623" i="28" s="1"/>
  <c r="AB447" i="28"/>
  <c r="AB478" i="28" s="1"/>
  <c r="AA509" i="28" s="1"/>
  <c r="AB448" i="28"/>
  <c r="AB479" i="28" s="1"/>
  <c r="AA510" i="28" s="1"/>
  <c r="AB449" i="28"/>
  <c r="AB480" i="28" s="1"/>
  <c r="AA511" i="28" s="1"/>
  <c r="AB450" i="28"/>
  <c r="AB481" i="28" s="1"/>
  <c r="AA512" i="28" s="1"/>
  <c r="AC512" i="28" s="1"/>
  <c r="AD512" i="28" s="1"/>
  <c r="AB451" i="28"/>
  <c r="AB482" i="28" s="1"/>
  <c r="AA513" i="28" s="1"/>
  <c r="AB452" i="28"/>
  <c r="AB483" i="28" s="1"/>
  <c r="AB446" i="28"/>
  <c r="AA445" i="28"/>
  <c r="AC540" i="28" l="1"/>
  <c r="AD540" i="28" s="1"/>
  <c r="AA571" i="28"/>
  <c r="AC571" i="28" s="1"/>
  <c r="AD571" i="28" s="1"/>
  <c r="AC545" i="28"/>
  <c r="AD545" i="28" s="1"/>
  <c r="AC541" i="28"/>
  <c r="AD541" i="28" s="1"/>
  <c r="AC543" i="28"/>
  <c r="AD543" i="28" s="1"/>
  <c r="AC576" i="28"/>
  <c r="AD576" i="28" s="1"/>
  <c r="AC572" i="28"/>
  <c r="AD572" i="28" s="1"/>
  <c r="AA607" i="28"/>
  <c r="AC607" i="28" s="1"/>
  <c r="AD607" i="28" s="1"/>
  <c r="AA575" i="28"/>
  <c r="AC575" i="28" s="1"/>
  <c r="AD575" i="28" s="1"/>
  <c r="AC606" i="28"/>
  <c r="AD606" i="28" s="1"/>
  <c r="AC605" i="28"/>
  <c r="AD605" i="28" s="1"/>
  <c r="AA484" i="28"/>
  <c r="AA574" i="28"/>
  <c r="AC573" i="28"/>
  <c r="AD573" i="28" s="1"/>
  <c r="AC602" i="28"/>
  <c r="AD602" i="28" s="1"/>
  <c r="AC483" i="28"/>
  <c r="AD483" i="28" s="1"/>
  <c r="AC542" i="28"/>
  <c r="AD542" i="28" s="1"/>
  <c r="AB515" i="28"/>
  <c r="AC511" i="28"/>
  <c r="AD511" i="28" s="1"/>
  <c r="AC510" i="28"/>
  <c r="AD510" i="28" s="1"/>
  <c r="AC513" i="28"/>
  <c r="AD513" i="28" s="1"/>
  <c r="AC509" i="28"/>
  <c r="AD509" i="28" s="1"/>
  <c r="AB453" i="28"/>
  <c r="AA514" i="28"/>
  <c r="AC514" i="28" s="1"/>
  <c r="AD514" i="28" s="1"/>
  <c r="AC480" i="28"/>
  <c r="AD480" i="28" s="1"/>
  <c r="AC479" i="28"/>
  <c r="AD479" i="28" s="1"/>
  <c r="AC482" i="28"/>
  <c r="AD482" i="28" s="1"/>
  <c r="AC478" i="28"/>
  <c r="AD478" i="28" s="1"/>
  <c r="AC481" i="28"/>
  <c r="AD481" i="28" s="1"/>
  <c r="AB477" i="28"/>
  <c r="AK489" i="28"/>
  <c r="AO489" i="28" s="1"/>
  <c r="AM489" i="28"/>
  <c r="AL489" i="28"/>
  <c r="AP489" i="28" s="1"/>
  <c r="AH438" i="28"/>
  <c r="AH469" i="28" s="1"/>
  <c r="AH500" i="28" s="1"/>
  <c r="AH439" i="28"/>
  <c r="AH470" i="28" s="1"/>
  <c r="AH501" i="28" s="1"/>
  <c r="AH440" i="28"/>
  <c r="AH471" i="28" s="1"/>
  <c r="AH502" i="28" s="1"/>
  <c r="AH441" i="28"/>
  <c r="AH472" i="28" s="1"/>
  <c r="AH503" i="28" s="1"/>
  <c r="AH442" i="28"/>
  <c r="AH473" i="28" s="1"/>
  <c r="AH504" i="28" s="1"/>
  <c r="AH443" i="28"/>
  <c r="AH474" i="28" s="1"/>
  <c r="AH505" i="28" s="1"/>
  <c r="AH437" i="28"/>
  <c r="AH468" i="28" s="1"/>
  <c r="AH499" i="28" s="1"/>
  <c r="AB416" i="28"/>
  <c r="AA447" i="28" s="1"/>
  <c r="AB417" i="28"/>
  <c r="AA448" i="28" s="1"/>
  <c r="AC448" i="28" s="1"/>
  <c r="AD448" i="28" s="1"/>
  <c r="AB418" i="28"/>
  <c r="AA449" i="28" s="1"/>
  <c r="AC449" i="28" s="1"/>
  <c r="AD449" i="28" s="1"/>
  <c r="AB419" i="28"/>
  <c r="AA450" i="28" s="1"/>
  <c r="AC450" i="28" s="1"/>
  <c r="AD450" i="28" s="1"/>
  <c r="AB420" i="28"/>
  <c r="AA451" i="28" s="1"/>
  <c r="AC451" i="28" s="1"/>
  <c r="AD451" i="28" s="1"/>
  <c r="AB421" i="28"/>
  <c r="AA452" i="28" s="1"/>
  <c r="AC452" i="28" s="1"/>
  <c r="AD452" i="28" s="1"/>
  <c r="AA416" i="28"/>
  <c r="AA417" i="28"/>
  <c r="AA418" i="28"/>
  <c r="AA419" i="28"/>
  <c r="AA420" i="28"/>
  <c r="AA421" i="28"/>
  <c r="AA415" i="28"/>
  <c r="N11" i="28"/>
  <c r="Z421" i="28" s="1"/>
  <c r="Z416" i="28"/>
  <c r="Z447" i="28" s="1"/>
  <c r="Z478" i="28" s="1"/>
  <c r="Z509" i="28" s="1"/>
  <c r="Z540" i="28" s="1"/>
  <c r="Z571" i="28" s="1"/>
  <c r="Z602" i="28" s="1"/>
  <c r="Z417" i="28"/>
  <c r="N10" i="28"/>
  <c r="Z420" i="28" s="1"/>
  <c r="N9" i="28"/>
  <c r="Z419" i="28" s="1"/>
  <c r="N8" i="28"/>
  <c r="Z418" i="28" s="1"/>
  <c r="S405" i="28"/>
  <c r="AI496" i="28" s="1"/>
  <c r="S404" i="28"/>
  <c r="AF496" i="28" s="1"/>
  <c r="S401" i="28"/>
  <c r="AI495" i="28" s="1"/>
  <c r="S400" i="28"/>
  <c r="S399" i="28"/>
  <c r="AF495" i="28" s="1"/>
  <c r="S396" i="28"/>
  <c r="AI494" i="28" s="1"/>
  <c r="S395" i="28"/>
  <c r="S394" i="28"/>
  <c r="AF494" i="28" s="1"/>
  <c r="S391" i="28"/>
  <c r="AI493" i="28" s="1"/>
  <c r="S390" i="28"/>
  <c r="S389" i="28"/>
  <c r="AF493" i="28" s="1"/>
  <c r="S386" i="28"/>
  <c r="AI492" i="28" s="1"/>
  <c r="S385" i="28"/>
  <c r="S384" i="28"/>
  <c r="AF492" i="28" s="1"/>
  <c r="S381" i="28"/>
  <c r="AI491" i="28" s="1"/>
  <c r="S380" i="28"/>
  <c r="AF491" i="28" s="1"/>
  <c r="S377" i="28"/>
  <c r="AI490" i="28" s="1"/>
  <c r="AK490" i="28" s="1"/>
  <c r="S376" i="28"/>
  <c r="AF490" i="28" s="1"/>
  <c r="P390" i="28"/>
  <c r="P391" i="28"/>
  <c r="P389" i="28"/>
  <c r="C280" i="28"/>
  <c r="E288" i="28"/>
  <c r="E287" i="28"/>
  <c r="B279" i="28"/>
  <c r="E290" i="28" s="1"/>
  <c r="F309" i="28" s="1"/>
  <c r="AC574" i="28" l="1"/>
  <c r="AD574" i="28" s="1"/>
  <c r="AF497" i="28"/>
  <c r="AC477" i="28"/>
  <c r="AD477" i="28" s="1"/>
  <c r="AA508" i="28"/>
  <c r="AB484" i="28"/>
  <c r="AC484" i="28" s="1"/>
  <c r="AD484" i="28" s="1"/>
  <c r="AM492" i="28"/>
  <c r="AK492" i="28"/>
  <c r="AO492" i="28" s="1"/>
  <c r="AM491" i="28"/>
  <c r="AK491" i="28"/>
  <c r="AO491" i="28" s="1"/>
  <c r="AM495" i="28"/>
  <c r="AK495" i="28"/>
  <c r="AO495" i="28" s="1"/>
  <c r="AM490" i="28"/>
  <c r="AM494" i="28"/>
  <c r="AK494" i="28"/>
  <c r="AO494" i="28" s="1"/>
  <c r="AO490" i="28"/>
  <c r="AM493" i="28"/>
  <c r="AK493" i="28"/>
  <c r="AO493" i="28" s="1"/>
  <c r="AM496" i="28"/>
  <c r="AK496" i="28"/>
  <c r="AO496" i="28" s="1"/>
  <c r="AE430" i="28"/>
  <c r="AE461" i="28" s="1"/>
  <c r="AE523" i="28" s="1"/>
  <c r="Z448" i="28"/>
  <c r="Z479" i="28" s="1"/>
  <c r="Z510" i="28" s="1"/>
  <c r="Z541" i="28" s="1"/>
  <c r="Z572" i="28" s="1"/>
  <c r="Z603" i="28" s="1"/>
  <c r="AE429" i="28"/>
  <c r="AE460" i="28" s="1"/>
  <c r="AE522" i="28" s="1"/>
  <c r="AE431" i="28"/>
  <c r="Z449" i="28"/>
  <c r="Z480" i="28" s="1"/>
  <c r="Z511" i="28" s="1"/>
  <c r="Z542" i="28" s="1"/>
  <c r="Z573" i="28" s="1"/>
  <c r="Z604" i="28" s="1"/>
  <c r="AE432" i="28"/>
  <c r="Z450" i="28"/>
  <c r="Z481" i="28" s="1"/>
  <c r="Z512" i="28" s="1"/>
  <c r="Z543" i="28" s="1"/>
  <c r="Z574" i="28" s="1"/>
  <c r="Z605" i="28" s="1"/>
  <c r="AE433" i="28"/>
  <c r="Z451" i="28"/>
  <c r="Z482" i="28" s="1"/>
  <c r="Z513" i="28" s="1"/>
  <c r="Z544" i="28" s="1"/>
  <c r="Z575" i="28" s="1"/>
  <c r="Z606" i="28" s="1"/>
  <c r="AE434" i="28"/>
  <c r="Z452" i="28"/>
  <c r="Z483" i="28" s="1"/>
  <c r="Z514" i="28" s="1"/>
  <c r="Z545" i="28" s="1"/>
  <c r="Z576" i="28" s="1"/>
  <c r="Z607" i="28" s="1"/>
  <c r="AC447" i="28"/>
  <c r="AD447" i="28" s="1"/>
  <c r="AC419" i="28"/>
  <c r="AD419" i="28" s="1"/>
  <c r="AC421" i="28"/>
  <c r="AD421" i="28" s="1"/>
  <c r="AC417" i="28"/>
  <c r="AD417" i="28" s="1"/>
  <c r="AA422" i="28"/>
  <c r="AC420" i="28"/>
  <c r="AD420" i="28" s="1"/>
  <c r="AC416" i="28"/>
  <c r="AD416" i="28" s="1"/>
  <c r="AC418" i="28"/>
  <c r="AD418" i="28" s="1"/>
  <c r="S408" i="28"/>
  <c r="S410" i="28"/>
  <c r="S409" i="28"/>
  <c r="AE532" i="28" l="1"/>
  <c r="AE554" i="28"/>
  <c r="AE531" i="28"/>
  <c r="AE553" i="28"/>
  <c r="AA515" i="28"/>
  <c r="AC515" i="28" s="1"/>
  <c r="AD515" i="28" s="1"/>
  <c r="AC508" i="28"/>
  <c r="AD508" i="28" s="1"/>
  <c r="AE438" i="28"/>
  <c r="AE469" i="28"/>
  <c r="AE491" i="28"/>
  <c r="AE500" i="28" s="1"/>
  <c r="AE439" i="28"/>
  <c r="AE470" i="28"/>
  <c r="AE492" i="28"/>
  <c r="AE501" i="28" s="1"/>
  <c r="AE443" i="28"/>
  <c r="AE465" i="28"/>
  <c r="AE527" i="28" s="1"/>
  <c r="AE441" i="28"/>
  <c r="AE463" i="28"/>
  <c r="AE525" i="28" s="1"/>
  <c r="AE442" i="28"/>
  <c r="AE464" i="28"/>
  <c r="AE526" i="28" s="1"/>
  <c r="AE440" i="28"/>
  <c r="AE462" i="28"/>
  <c r="AE524" i="28" s="1"/>
  <c r="AE563" i="28" l="1"/>
  <c r="AE585" i="28"/>
  <c r="AE562" i="28"/>
  <c r="AE584" i="28"/>
  <c r="AE536" i="28"/>
  <c r="AE558" i="28"/>
  <c r="AE533" i="28"/>
  <c r="AE555" i="28"/>
  <c r="AE535" i="28"/>
  <c r="AE557" i="28"/>
  <c r="AE534" i="28"/>
  <c r="AE556" i="28"/>
  <c r="AE471" i="28"/>
  <c r="AE493" i="28"/>
  <c r="AE502" i="28" s="1"/>
  <c r="AE472" i="28"/>
  <c r="AE494" i="28"/>
  <c r="AE503" i="28" s="1"/>
  <c r="AE473" i="28"/>
  <c r="AE495" i="28"/>
  <c r="AE504" i="28" s="1"/>
  <c r="AE474" i="28"/>
  <c r="AE496" i="28"/>
  <c r="AE505" i="28" s="1"/>
  <c r="E275" i="28"/>
  <c r="F275" i="28"/>
  <c r="G275" i="28"/>
  <c r="H275" i="28"/>
  <c r="C275" i="28"/>
  <c r="D275" i="28"/>
  <c r="B275" i="28"/>
  <c r="E263" i="28"/>
  <c r="E264" i="28"/>
  <c r="E219" i="28"/>
  <c r="E220" i="28"/>
  <c r="E195" i="28"/>
  <c r="A183" i="28"/>
  <c r="A201" i="28" s="1"/>
  <c r="A226" i="28" s="1"/>
  <c r="A245" i="28" s="1"/>
  <c r="A320" i="28" s="1"/>
  <c r="A338" i="28" s="1"/>
  <c r="A184" i="28"/>
  <c r="A202" i="28" s="1"/>
  <c r="A227" i="28" s="1"/>
  <c r="A246" i="28" s="1"/>
  <c r="A321" i="28" s="1"/>
  <c r="A339" i="28" s="1"/>
  <c r="A185" i="28"/>
  <c r="A203" i="28" s="1"/>
  <c r="A228" i="28" s="1"/>
  <c r="A247" i="28" s="1"/>
  <c r="A322" i="28" s="1"/>
  <c r="A340" i="28" s="1"/>
  <c r="A186" i="28"/>
  <c r="A204" i="28" s="1"/>
  <c r="A229" i="28" s="1"/>
  <c r="A248" i="28" s="1"/>
  <c r="A323" i="28" s="1"/>
  <c r="A341" i="28" s="1"/>
  <c r="A187" i="28"/>
  <c r="A205" i="28" s="1"/>
  <c r="A230" i="28" s="1"/>
  <c r="A249" i="28" s="1"/>
  <c r="A324" i="28" s="1"/>
  <c r="A342" i="28" s="1"/>
  <c r="A188" i="28"/>
  <c r="A206" i="28" s="1"/>
  <c r="A231" i="28" s="1"/>
  <c r="A250" i="28" s="1"/>
  <c r="A325" i="28" s="1"/>
  <c r="A343" i="28" s="1"/>
  <c r="A189" i="28"/>
  <c r="A207" i="28" s="1"/>
  <c r="A232" i="28" s="1"/>
  <c r="A251" i="28" s="1"/>
  <c r="A326" i="28" s="1"/>
  <c r="A344" i="28" s="1"/>
  <c r="A190" i="28"/>
  <c r="A208" i="28" s="1"/>
  <c r="A233" i="28" s="1"/>
  <c r="A252" i="28" s="1"/>
  <c r="A327" i="28" s="1"/>
  <c r="A345" i="28" s="1"/>
  <c r="A191" i="28"/>
  <c r="A209" i="28" s="1"/>
  <c r="A234" i="28" s="1"/>
  <c r="A253" i="28" s="1"/>
  <c r="A328" i="28" s="1"/>
  <c r="A346" i="28" s="1"/>
  <c r="A192" i="28"/>
  <c r="A210" i="28" s="1"/>
  <c r="A235" i="28" s="1"/>
  <c r="A254" i="28" s="1"/>
  <c r="A329" i="28" s="1"/>
  <c r="A347" i="28" s="1"/>
  <c r="A193" i="28"/>
  <c r="A211" i="28" s="1"/>
  <c r="A236" i="28" s="1"/>
  <c r="A255" i="28" s="1"/>
  <c r="A330" i="28" s="1"/>
  <c r="A348" i="28" s="1"/>
  <c r="A194" i="28"/>
  <c r="A212" i="28" s="1"/>
  <c r="A237" i="28" s="1"/>
  <c r="A256" i="28" s="1"/>
  <c r="A331" i="28" s="1"/>
  <c r="A349" i="28" s="1"/>
  <c r="A195" i="28"/>
  <c r="A213" i="28" s="1"/>
  <c r="A238" i="28" s="1"/>
  <c r="A257" i="28" s="1"/>
  <c r="A332" i="28" s="1"/>
  <c r="A350" i="28" s="1"/>
  <c r="A182" i="28"/>
  <c r="A200" i="28" s="1"/>
  <c r="A225" i="28" s="1"/>
  <c r="A244" i="28" s="1"/>
  <c r="A319" i="28" s="1"/>
  <c r="A337" i="28" s="1"/>
  <c r="A118" i="28"/>
  <c r="H98" i="28"/>
  <c r="G98" i="28"/>
  <c r="F98" i="28"/>
  <c r="E98" i="28"/>
  <c r="D98" i="28"/>
  <c r="C98" i="28"/>
  <c r="B98" i="28"/>
  <c r="I86" i="28"/>
  <c r="I180" i="28" s="1"/>
  <c r="I217" i="28" s="1"/>
  <c r="I267" i="28" s="1"/>
  <c r="H77" i="28"/>
  <c r="G77" i="28"/>
  <c r="F77" i="28"/>
  <c r="E77" i="28"/>
  <c r="D77" i="28"/>
  <c r="C77" i="28"/>
  <c r="B77" i="28"/>
  <c r="A64" i="28"/>
  <c r="A80" i="28" s="1"/>
  <c r="A134" i="28" s="1"/>
  <c r="E247" i="29"/>
  <c r="J241" i="29"/>
  <c r="E241" i="29"/>
  <c r="H238" i="29"/>
  <c r="H237" i="29"/>
  <c r="H233" i="29"/>
  <c r="H247" i="29" s="1"/>
  <c r="G233" i="29"/>
  <c r="G247" i="29" s="1"/>
  <c r="E233" i="29"/>
  <c r="H232" i="29"/>
  <c r="H246" i="29" s="1"/>
  <c r="G232" i="29"/>
  <c r="G246" i="29" s="1"/>
  <c r="E232" i="29"/>
  <c r="E246" i="29" s="1"/>
  <c r="H231" i="29"/>
  <c r="H245" i="29" s="1"/>
  <c r="G231" i="29"/>
  <c r="G245" i="29" s="1"/>
  <c r="E231" i="29"/>
  <c r="E245" i="29" s="1"/>
  <c r="H230" i="29"/>
  <c r="H244" i="29" s="1"/>
  <c r="G230" i="29"/>
  <c r="G244" i="29" s="1"/>
  <c r="E230" i="29"/>
  <c r="E244" i="29" s="1"/>
  <c r="H229" i="29"/>
  <c r="H243" i="29" s="1"/>
  <c r="G229" i="29"/>
  <c r="G243" i="29" s="1"/>
  <c r="E229" i="29"/>
  <c r="E243" i="29" s="1"/>
  <c r="H228" i="29"/>
  <c r="H242" i="29" s="1"/>
  <c r="G228" i="29"/>
  <c r="G242" i="29" s="1"/>
  <c r="E228" i="29"/>
  <c r="E242" i="29" s="1"/>
  <c r="J227" i="29"/>
  <c r="H227" i="29"/>
  <c r="H241" i="29" s="1"/>
  <c r="G227" i="29"/>
  <c r="G241" i="29" s="1"/>
  <c r="E227" i="29"/>
  <c r="H226" i="29"/>
  <c r="H240" i="29" s="1"/>
  <c r="G226" i="29"/>
  <c r="G240" i="29" s="1"/>
  <c r="E226" i="29"/>
  <c r="E240" i="29" s="1"/>
  <c r="H225" i="29"/>
  <c r="H239" i="29" s="1"/>
  <c r="G225" i="29"/>
  <c r="G239" i="29" s="1"/>
  <c r="E225" i="29"/>
  <c r="E239" i="29" s="1"/>
  <c r="H224" i="29"/>
  <c r="G224" i="29"/>
  <c r="G238" i="29" s="1"/>
  <c r="E224" i="29"/>
  <c r="E238" i="29" s="1"/>
  <c r="H223" i="29"/>
  <c r="G223" i="29"/>
  <c r="G237" i="29" s="1"/>
  <c r="E223" i="29"/>
  <c r="E237" i="29" s="1"/>
  <c r="H222" i="29"/>
  <c r="H236" i="29" s="1"/>
  <c r="G222" i="29"/>
  <c r="G236" i="29" s="1"/>
  <c r="E222" i="29"/>
  <c r="E236" i="29" s="1"/>
  <c r="J170" i="29"/>
  <c r="B170" i="29"/>
  <c r="J169" i="29"/>
  <c r="B169" i="29"/>
  <c r="J168" i="29"/>
  <c r="B168" i="29"/>
  <c r="J167" i="29"/>
  <c r="B167" i="29"/>
  <c r="J166" i="29"/>
  <c r="B166" i="29"/>
  <c r="J165" i="29"/>
  <c r="B165" i="29"/>
  <c r="J164" i="29"/>
  <c r="B164" i="29"/>
  <c r="J163" i="29"/>
  <c r="B163" i="29"/>
  <c r="J162" i="29"/>
  <c r="B162" i="29"/>
  <c r="J161" i="29"/>
  <c r="B161" i="29"/>
  <c r="J160" i="29"/>
  <c r="B160" i="29"/>
  <c r="J159" i="29"/>
  <c r="B159" i="29"/>
  <c r="J158" i="29"/>
  <c r="B158" i="29"/>
  <c r="J157" i="29"/>
  <c r="B157" i="29"/>
  <c r="J156" i="29"/>
  <c r="B156" i="29"/>
  <c r="J155" i="29"/>
  <c r="B155" i="29"/>
  <c r="J154" i="29"/>
  <c r="B154" i="29"/>
  <c r="J153" i="29"/>
  <c r="B153" i="29"/>
  <c r="J152" i="29"/>
  <c r="B152" i="29"/>
  <c r="J151" i="29"/>
  <c r="B151" i="29"/>
  <c r="J150" i="29"/>
  <c r="B150" i="29"/>
  <c r="J149" i="29"/>
  <c r="B149" i="29"/>
  <c r="J148" i="29"/>
  <c r="B148" i="29"/>
  <c r="J147" i="29"/>
  <c r="B147" i="29"/>
  <c r="J146" i="29"/>
  <c r="B146" i="29"/>
  <c r="J145" i="29"/>
  <c r="B145" i="29"/>
  <c r="J144" i="29"/>
  <c r="B144" i="29"/>
  <c r="J143" i="29"/>
  <c r="B143" i="29"/>
  <c r="J142" i="29"/>
  <c r="B142" i="29"/>
  <c r="J141" i="29"/>
  <c r="B141" i="29"/>
  <c r="J140" i="29"/>
  <c r="B140" i="29"/>
  <c r="J139" i="29"/>
  <c r="B139" i="29"/>
  <c r="J138" i="29"/>
  <c r="B138" i="29"/>
  <c r="J137" i="29"/>
  <c r="B137" i="29"/>
  <c r="J136" i="29"/>
  <c r="B136" i="29"/>
  <c r="J135" i="29"/>
  <c r="B135" i="29"/>
  <c r="J134" i="29"/>
  <c r="B134" i="29"/>
  <c r="J133" i="29"/>
  <c r="B133" i="29"/>
  <c r="J132" i="29"/>
  <c r="B132" i="29"/>
  <c r="J131" i="29"/>
  <c r="B131" i="29"/>
  <c r="J130" i="29"/>
  <c r="B130" i="29"/>
  <c r="J129" i="29"/>
  <c r="B129" i="29"/>
  <c r="J128" i="29"/>
  <c r="B128" i="29"/>
  <c r="J127" i="29"/>
  <c r="B127" i="29"/>
  <c r="J126" i="29"/>
  <c r="B126" i="29"/>
  <c r="J125" i="29"/>
  <c r="B125" i="29"/>
  <c r="J124" i="29"/>
  <c r="B124" i="29"/>
  <c r="J123" i="29"/>
  <c r="B123" i="29"/>
  <c r="J122" i="29"/>
  <c r="B122" i="29"/>
  <c r="J121" i="29"/>
  <c r="B121" i="29"/>
  <c r="J120" i="29"/>
  <c r="B120" i="29"/>
  <c r="J119" i="29"/>
  <c r="B119" i="29"/>
  <c r="J118" i="29"/>
  <c r="B118" i="29"/>
  <c r="J117" i="29"/>
  <c r="B117" i="29"/>
  <c r="J116" i="29"/>
  <c r="B116" i="29"/>
  <c r="J115" i="29"/>
  <c r="B115" i="29"/>
  <c r="J114" i="29"/>
  <c r="B114" i="29"/>
  <c r="J113" i="29"/>
  <c r="B113" i="29"/>
  <c r="J112" i="29"/>
  <c r="B112" i="29"/>
  <c r="J111" i="29"/>
  <c r="B111" i="29"/>
  <c r="J110" i="29"/>
  <c r="B110" i="29"/>
  <c r="J109" i="29"/>
  <c r="B109" i="29"/>
  <c r="J108" i="29"/>
  <c r="B108" i="29"/>
  <c r="J107" i="29"/>
  <c r="B107" i="29"/>
  <c r="J106" i="29"/>
  <c r="B106" i="29"/>
  <c r="J105" i="29"/>
  <c r="B105" i="29"/>
  <c r="J104" i="29"/>
  <c r="B104" i="29"/>
  <c r="J103" i="29"/>
  <c r="B103" i="29"/>
  <c r="J102" i="29"/>
  <c r="B102" i="29"/>
  <c r="J101" i="29"/>
  <c r="B101" i="29"/>
  <c r="J100" i="29"/>
  <c r="B100" i="29"/>
  <c r="J99" i="29"/>
  <c r="B99" i="29"/>
  <c r="J98" i="29"/>
  <c r="B98" i="29"/>
  <c r="J97" i="29"/>
  <c r="B97" i="29"/>
  <c r="J96" i="29"/>
  <c r="B96" i="29"/>
  <c r="J95" i="29"/>
  <c r="B95" i="29"/>
  <c r="J94" i="29"/>
  <c r="B94" i="29"/>
  <c r="J93" i="29"/>
  <c r="B93" i="29"/>
  <c r="J92" i="29"/>
  <c r="B92" i="29"/>
  <c r="J91" i="29"/>
  <c r="B91" i="29"/>
  <c r="J90" i="29"/>
  <c r="B90" i="29"/>
  <c r="J89" i="29"/>
  <c r="B89" i="29"/>
  <c r="J88" i="29"/>
  <c r="B88" i="29"/>
  <c r="J87" i="29"/>
  <c r="B87" i="29"/>
  <c r="J86" i="29"/>
  <c r="B86" i="29"/>
  <c r="J85" i="29"/>
  <c r="B85" i="29"/>
  <c r="J84" i="29"/>
  <c r="B84" i="29"/>
  <c r="J83" i="29"/>
  <c r="B83" i="29"/>
  <c r="J82" i="29"/>
  <c r="B82" i="29"/>
  <c r="J81" i="29"/>
  <c r="B81" i="29"/>
  <c r="J80" i="29"/>
  <c r="B80" i="29"/>
  <c r="J79" i="29"/>
  <c r="B79" i="29"/>
  <c r="J78" i="29"/>
  <c r="B78" i="29"/>
  <c r="J77" i="29"/>
  <c r="B77" i="29"/>
  <c r="J76" i="29"/>
  <c r="B76" i="29"/>
  <c r="J75" i="29"/>
  <c r="B75" i="29"/>
  <c r="J74" i="29"/>
  <c r="B74" i="29"/>
  <c r="J73" i="29"/>
  <c r="B73" i="29"/>
  <c r="J72" i="29"/>
  <c r="B72" i="29"/>
  <c r="J71" i="29"/>
  <c r="B71" i="29"/>
  <c r="J70" i="29"/>
  <c r="B70" i="29"/>
  <c r="J69" i="29"/>
  <c r="B69" i="29"/>
  <c r="J68" i="29"/>
  <c r="B68" i="29"/>
  <c r="J67" i="29"/>
  <c r="B67" i="29"/>
  <c r="J66" i="29"/>
  <c r="B66" i="29"/>
  <c r="J65" i="29"/>
  <c r="B65" i="29"/>
  <c r="J64" i="29"/>
  <c r="B64" i="29"/>
  <c r="J63" i="29"/>
  <c r="B63" i="29"/>
  <c r="J62" i="29"/>
  <c r="B62" i="29"/>
  <c r="J61" i="29"/>
  <c r="B61" i="29"/>
  <c r="J60" i="29"/>
  <c r="B60" i="29"/>
  <c r="J59" i="29"/>
  <c r="B59" i="29"/>
  <c r="J58" i="29"/>
  <c r="B58" i="29"/>
  <c r="J57" i="29"/>
  <c r="B57" i="29"/>
  <c r="J56" i="29"/>
  <c r="B56" i="29"/>
  <c r="J55" i="29"/>
  <c r="B55" i="29"/>
  <c r="J54" i="29"/>
  <c r="B54" i="29"/>
  <c r="J53" i="29"/>
  <c r="B53" i="29"/>
  <c r="J52" i="29"/>
  <c r="B52" i="29"/>
  <c r="J51" i="29"/>
  <c r="B51" i="29"/>
  <c r="J50" i="29"/>
  <c r="B50" i="29"/>
  <c r="J49" i="29"/>
  <c r="B49" i="29"/>
  <c r="J48" i="29"/>
  <c r="B48" i="29"/>
  <c r="J47" i="29"/>
  <c r="B47" i="29"/>
  <c r="J46" i="29"/>
  <c r="B46" i="29"/>
  <c r="J45" i="29"/>
  <c r="B45" i="29"/>
  <c r="J44" i="29"/>
  <c r="B44" i="29"/>
  <c r="J43" i="29"/>
  <c r="B43" i="29"/>
  <c r="J42" i="29"/>
  <c r="B42" i="29"/>
  <c r="J41" i="29"/>
  <c r="B41" i="29"/>
  <c r="J40" i="29"/>
  <c r="B40" i="29"/>
  <c r="J39" i="29"/>
  <c r="B39" i="29"/>
  <c r="J38" i="29"/>
  <c r="B38" i="29"/>
  <c r="J37" i="29"/>
  <c r="B37" i="29"/>
  <c r="J36" i="29"/>
  <c r="B36" i="29"/>
  <c r="J35" i="29"/>
  <c r="B35" i="29"/>
  <c r="J34" i="29"/>
  <c r="B34" i="29"/>
  <c r="J33" i="29"/>
  <c r="B33" i="29"/>
  <c r="J32" i="29"/>
  <c r="B32" i="29"/>
  <c r="J31" i="29"/>
  <c r="B31" i="29"/>
  <c r="J30" i="29"/>
  <c r="B30" i="29"/>
  <c r="J29" i="29"/>
  <c r="B29" i="29"/>
  <c r="J28" i="29"/>
  <c r="B28" i="29"/>
  <c r="J27" i="29"/>
  <c r="B27" i="29"/>
  <c r="J26" i="29"/>
  <c r="B26" i="29"/>
  <c r="J25" i="29"/>
  <c r="B25" i="29"/>
  <c r="J24" i="29"/>
  <c r="B24" i="29"/>
  <c r="J23" i="29"/>
  <c r="B23" i="29"/>
  <c r="J22" i="29"/>
  <c r="B22" i="29"/>
  <c r="J21" i="29"/>
  <c r="B21" i="29"/>
  <c r="J20" i="29"/>
  <c r="B20" i="29"/>
  <c r="J19" i="29"/>
  <c r="B19" i="29"/>
  <c r="J18" i="29"/>
  <c r="B18" i="29"/>
  <c r="J17" i="29"/>
  <c r="B17" i="29"/>
  <c r="J16" i="29"/>
  <c r="B16" i="29"/>
  <c r="J15" i="29"/>
  <c r="B15" i="29"/>
  <c r="J14" i="29"/>
  <c r="B14" i="29"/>
  <c r="J13" i="29"/>
  <c r="B13" i="29"/>
  <c r="J12" i="29"/>
  <c r="B12" i="29"/>
  <c r="J11" i="29"/>
  <c r="B11" i="29"/>
  <c r="J10" i="29"/>
  <c r="B10" i="29"/>
  <c r="J9" i="29"/>
  <c r="B9" i="29"/>
  <c r="J8" i="29"/>
  <c r="B8" i="29"/>
  <c r="J7" i="29"/>
  <c r="B7" i="29"/>
  <c r="J6" i="29"/>
  <c r="B6" i="29"/>
  <c r="J5" i="29"/>
  <c r="B5" i="29"/>
  <c r="J4" i="29"/>
  <c r="B4" i="29"/>
  <c r="J3" i="29"/>
  <c r="B3" i="29"/>
  <c r="C279" i="28"/>
  <c r="L151" i="28"/>
  <c r="L150" i="28"/>
  <c r="K150" i="28"/>
  <c r="L149" i="28"/>
  <c r="K149" i="28"/>
  <c r="L148" i="28"/>
  <c r="K148" i="28"/>
  <c r="L147" i="28"/>
  <c r="K147" i="28"/>
  <c r="L146" i="28"/>
  <c r="K146" i="28"/>
  <c r="L145" i="28"/>
  <c r="K145" i="28"/>
  <c r="L142" i="28"/>
  <c r="L141" i="28"/>
  <c r="L140" i="28"/>
  <c r="AG613" i="28"/>
  <c r="AJ613" i="28" s="1"/>
  <c r="AK612" i="28"/>
  <c r="AA600" i="28"/>
  <c r="AF613" i="28" s="1"/>
  <c r="AI613" i="28" s="1"/>
  <c r="AM613" i="28" s="1"/>
  <c r="AG582" i="28"/>
  <c r="AJ582" i="28" s="1"/>
  <c r="AB570" i="28"/>
  <c r="AB577" i="28" s="1"/>
  <c r="AA569" i="28"/>
  <c r="AF582" i="28" s="1"/>
  <c r="AI582" i="28" s="1"/>
  <c r="AG551" i="28"/>
  <c r="AJ551" i="28" s="1"/>
  <c r="AB539" i="28"/>
  <c r="AB546" i="28" s="1"/>
  <c r="AF551" i="28"/>
  <c r="AI551" i="28" s="1"/>
  <c r="AJ520" i="28"/>
  <c r="AL520" i="28" s="1"/>
  <c r="AP520" i="28" s="1"/>
  <c r="AI520" i="28"/>
  <c r="AG458" i="28"/>
  <c r="AJ458" i="28" s="1"/>
  <c r="AL458" i="28" s="1"/>
  <c r="AP458" i="28" s="1"/>
  <c r="AF458" i="28"/>
  <c r="AI458" i="28" s="1"/>
  <c r="AK458" i="28" s="1"/>
  <c r="AO458" i="28" s="1"/>
  <c r="AG427" i="28"/>
  <c r="AJ427" i="28" s="1"/>
  <c r="AL427" i="28" s="1"/>
  <c r="AN427" i="28" s="1"/>
  <c r="AP427" i="28" s="1"/>
  <c r="AF427" i="28"/>
  <c r="AI427" i="28" s="1"/>
  <c r="AK427" i="28" s="1"/>
  <c r="AM427" i="28" s="1"/>
  <c r="AO427" i="28" s="1"/>
  <c r="AE426" i="28"/>
  <c r="AB415" i="28"/>
  <c r="A25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86" i="28"/>
  <c r="A82" i="28"/>
  <c r="A136" i="28" s="1"/>
  <c r="A174" i="28" s="1"/>
  <c r="A220" i="28" s="1"/>
  <c r="A264" i="28" s="1"/>
  <c r="A81" i="28"/>
  <c r="A77" i="28"/>
  <c r="A63" i="28"/>
  <c r="A100" i="28" s="1"/>
  <c r="A62" i="28"/>
  <c r="A99" i="28" s="1"/>
  <c r="A61" i="28"/>
  <c r="A76" i="28" s="1"/>
  <c r="A130" i="28" s="1"/>
  <c r="A60" i="28"/>
  <c r="A96" i="28" s="1"/>
  <c r="A59" i="28"/>
  <c r="A58" i="28"/>
  <c r="A73" i="28" s="1"/>
  <c r="A127" i="28" s="1"/>
  <c r="A57" i="28"/>
  <c r="A93" i="28" s="1"/>
  <c r="A56" i="28"/>
  <c r="A71" i="28" s="1"/>
  <c r="A125" i="28" s="1"/>
  <c r="A55" i="28"/>
  <c r="A70" i="28" s="1"/>
  <c r="A124" i="28" s="1"/>
  <c r="A54" i="28"/>
  <c r="A90" i="28" s="1"/>
  <c r="A53" i="28"/>
  <c r="A89" i="28" s="1"/>
  <c r="A52" i="28"/>
  <c r="A67" i="28" s="1"/>
  <c r="A121" i="28" s="1"/>
  <c r="A51" i="28"/>
  <c r="A66" i="28" s="1"/>
  <c r="A120" i="28" s="1"/>
  <c r="W21" i="28"/>
  <c r="V21" i="28"/>
  <c r="U21" i="28"/>
  <c r="T21" i="28"/>
  <c r="S21" i="28"/>
  <c r="R21" i="28"/>
  <c r="Q21" i="28"/>
  <c r="P21" i="28"/>
  <c r="O21" i="28"/>
  <c r="J236" i="29" l="1"/>
  <c r="J237" i="29" s="1"/>
  <c r="J238" i="29" s="1"/>
  <c r="J239" i="29" s="1"/>
  <c r="J240" i="29" s="1"/>
  <c r="B199" i="29"/>
  <c r="B201" i="29"/>
  <c r="B206" i="29"/>
  <c r="B205" i="29"/>
  <c r="B203" i="29"/>
  <c r="J222" i="29"/>
  <c r="J223" i="29" s="1"/>
  <c r="J224" i="29" s="1"/>
  <c r="J225" i="29" s="1"/>
  <c r="J226" i="29" s="1"/>
  <c r="J242" i="29"/>
  <c r="J243" i="29" s="1"/>
  <c r="J244" i="29" s="1"/>
  <c r="J245" i="29" s="1"/>
  <c r="J246" i="29" s="1"/>
  <c r="J247" i="29" s="1"/>
  <c r="J228" i="29"/>
  <c r="J229" i="29" s="1"/>
  <c r="J230" i="29" s="1"/>
  <c r="J231" i="29" s="1"/>
  <c r="J232" i="29" s="1"/>
  <c r="J233" i="29" s="1"/>
  <c r="AE594" i="28"/>
  <c r="AE616" i="28"/>
  <c r="AE625" i="28" s="1"/>
  <c r="AE593" i="28"/>
  <c r="AE615" i="28"/>
  <c r="AE624" i="28" s="1"/>
  <c r="AE567" i="28"/>
  <c r="AE589" i="28"/>
  <c r="AE565" i="28"/>
  <c r="AE587" i="28"/>
  <c r="AE564" i="28"/>
  <c r="AE586" i="28"/>
  <c r="AE566" i="28"/>
  <c r="AE588" i="28"/>
  <c r="AE457" i="28"/>
  <c r="AB422" i="28"/>
  <c r="AA446" i="28"/>
  <c r="AA453" i="28" s="1"/>
  <c r="AC453" i="28" s="1"/>
  <c r="AD453" i="28" s="1"/>
  <c r="E295" i="28"/>
  <c r="E291" i="28"/>
  <c r="F310" i="28" s="1"/>
  <c r="E269" i="28"/>
  <c r="B131" i="28"/>
  <c r="F131" i="28"/>
  <c r="E270" i="28"/>
  <c r="E304" i="28" s="1"/>
  <c r="I301" i="28"/>
  <c r="E316" i="28" s="1"/>
  <c r="C131" i="28"/>
  <c r="G131" i="28"/>
  <c r="E131" i="28"/>
  <c r="D131" i="28"/>
  <c r="H131" i="28"/>
  <c r="A101" i="28"/>
  <c r="I77" i="28"/>
  <c r="D29" i="28" s="1"/>
  <c r="AN458" i="28"/>
  <c r="I98" i="28"/>
  <c r="F29" i="28" s="1"/>
  <c r="Q22" i="28"/>
  <c r="U22" i="28"/>
  <c r="O22" i="28"/>
  <c r="R22" i="28"/>
  <c r="V22" i="28"/>
  <c r="A68" i="28"/>
  <c r="A122" i="28" s="1"/>
  <c r="A78" i="28"/>
  <c r="A132" i="28" s="1"/>
  <c r="P22" i="28"/>
  <c r="A75" i="28"/>
  <c r="A129" i="28" s="1"/>
  <c r="A88" i="28"/>
  <c r="A103" i="28"/>
  <c r="B281" i="28"/>
  <c r="T22" i="28"/>
  <c r="AN520" i="28"/>
  <c r="S22" i="28"/>
  <c r="W22" i="28"/>
  <c r="AM458" i="28"/>
  <c r="AK613" i="28"/>
  <c r="AO613" i="28" s="1"/>
  <c r="A92" i="28"/>
  <c r="A94" i="28"/>
  <c r="A87" i="28"/>
  <c r="A91" i="28"/>
  <c r="B210" i="29"/>
  <c r="B198" i="29"/>
  <c r="B200" i="29"/>
  <c r="B202" i="29"/>
  <c r="B204" i="29"/>
  <c r="B208" i="29"/>
  <c r="B207" i="29"/>
  <c r="B209" i="29"/>
  <c r="B211" i="29"/>
  <c r="A131" i="28"/>
  <c r="A98" i="28"/>
  <c r="A307" i="28"/>
  <c r="A310" i="28" s="1"/>
  <c r="A313" i="28" s="1"/>
  <c r="A358" i="28" s="1"/>
  <c r="A270" i="28"/>
  <c r="A288" i="28" s="1"/>
  <c r="A95" i="28"/>
  <c r="A74" i="28"/>
  <c r="A128" i="28" s="1"/>
  <c r="A97" i="28"/>
  <c r="A69" i="28"/>
  <c r="A123" i="28" s="1"/>
  <c r="A72" i="28"/>
  <c r="A126" i="28" s="1"/>
  <c r="A135" i="28"/>
  <c r="A173" i="28" s="1"/>
  <c r="A219" i="28" s="1"/>
  <c r="A263" i="28" s="1"/>
  <c r="A102" i="28"/>
  <c r="A79" i="28"/>
  <c r="A133" i="28" s="1"/>
  <c r="A291" i="28"/>
  <c r="A304" i="28" s="1"/>
  <c r="AK520" i="28"/>
  <c r="AO520" i="28" s="1"/>
  <c r="AM520" i="28"/>
  <c r="AM582" i="28"/>
  <c r="AK582" i="28"/>
  <c r="AO582" i="28" s="1"/>
  <c r="AL551" i="28"/>
  <c r="AP551" i="28" s="1"/>
  <c r="AN551" i="28"/>
  <c r="AK551" i="28"/>
  <c r="AO551" i="28" s="1"/>
  <c r="AM551" i="28"/>
  <c r="AC415" i="28"/>
  <c r="AA570" i="28"/>
  <c r="AA577" i="28" s="1"/>
  <c r="AC577" i="28" s="1"/>
  <c r="AD577" i="28" s="1"/>
  <c r="AA601" i="28"/>
  <c r="AA608" i="28" s="1"/>
  <c r="AC608" i="28" s="1"/>
  <c r="AD608" i="28" s="1"/>
  <c r="AA546" i="28"/>
  <c r="AN613" i="28"/>
  <c r="AL613" i="28"/>
  <c r="AP613" i="28" s="1"/>
  <c r="AL582" i="28"/>
  <c r="AP582" i="28" s="1"/>
  <c r="AN582" i="28"/>
  <c r="AE597" i="28" l="1"/>
  <c r="AE619" i="28"/>
  <c r="AE628" i="28" s="1"/>
  <c r="AE596" i="28"/>
  <c r="AE618" i="28"/>
  <c r="AE627" i="28" s="1"/>
  <c r="AE598" i="28"/>
  <c r="AE620" i="28"/>
  <c r="AE629" i="28" s="1"/>
  <c r="AE595" i="28"/>
  <c r="AE617" i="28"/>
  <c r="AE626" i="28" s="1"/>
  <c r="AE519" i="28"/>
  <c r="AE550" i="28" s="1"/>
  <c r="AE581" i="28" s="1"/>
  <c r="AE612" i="28" s="1"/>
  <c r="AE488" i="28"/>
  <c r="AD415" i="28"/>
  <c r="AC422" i="28"/>
  <c r="AD422" i="28" s="1"/>
  <c r="I316" i="28"/>
  <c r="E355" i="28"/>
  <c r="E303" i="28"/>
  <c r="AC570" i="28"/>
  <c r="AD570" i="28" s="1"/>
  <c r="AC539" i="28"/>
  <c r="AD539" i="28" s="1"/>
  <c r="AC546" i="28"/>
  <c r="AD546" i="28" s="1"/>
  <c r="B215" i="29"/>
  <c r="B282" i="28"/>
  <c r="A290" i="28"/>
  <c r="A303" i="28" s="1"/>
  <c r="A269" i="28"/>
  <c r="A287" i="28" s="1"/>
  <c r="A306" i="28"/>
  <c r="A309" i="28" s="1"/>
  <c r="A312" i="28" s="1"/>
  <c r="A357" i="28" s="1"/>
  <c r="AC601" i="28"/>
  <c r="AD601" i="28" s="1"/>
  <c r="AC446" i="28" l="1"/>
  <c r="AD446" i="28" s="1"/>
  <c r="J84" i="9" l="1"/>
  <c r="D288" i="28" s="1"/>
  <c r="J83" i="9"/>
  <c r="D287" i="28" s="1"/>
  <c r="D290" i="28" s="1"/>
  <c r="D309" i="28" s="1"/>
  <c r="I84" i="9"/>
  <c r="C288" i="28" s="1"/>
  <c r="I83" i="9"/>
  <c r="C287" i="28" s="1"/>
  <c r="C290" i="28" s="1"/>
  <c r="C309" i="28" s="1"/>
  <c r="H84" i="9"/>
  <c r="B288" i="28" s="1"/>
  <c r="H83" i="9"/>
  <c r="B287" i="28" s="1"/>
  <c r="Q28" i="11"/>
  <c r="P28" i="11"/>
  <c r="O28" i="11"/>
  <c r="C15" i="18"/>
  <c r="O30" i="11" s="1"/>
  <c r="V391" i="28" s="1"/>
  <c r="AJ555" i="28" s="1"/>
  <c r="C14" i="18"/>
  <c r="N30" i="11" s="1"/>
  <c r="U391" i="28" s="1"/>
  <c r="AJ524" i="28" s="1"/>
  <c r="C13" i="18"/>
  <c r="M30" i="11" s="1"/>
  <c r="T391" i="28" s="1"/>
  <c r="AJ462" i="28" s="1"/>
  <c r="C12" i="18"/>
  <c r="C11" i="18"/>
  <c r="K30" i="11" s="1"/>
  <c r="Q391" i="28" s="1"/>
  <c r="AI431" i="28" s="1"/>
  <c r="C10" i="18"/>
  <c r="J30" i="11" s="1"/>
  <c r="C9" i="18"/>
  <c r="I30" i="11" s="1"/>
  <c r="C8" i="18"/>
  <c r="C7" i="18"/>
  <c r="G30" i="11" s="1"/>
  <c r="C6" i="18"/>
  <c r="F30" i="11" s="1"/>
  <c r="C5" i="18"/>
  <c r="E30" i="11" s="1"/>
  <c r="C4" i="18"/>
  <c r="C3" i="18"/>
  <c r="C30" i="11" s="1"/>
  <c r="C2" i="18"/>
  <c r="A27" i="11"/>
  <c r="AJ493" i="28" l="1"/>
  <c r="AI555" i="28"/>
  <c r="AI586" i="28"/>
  <c r="W389" i="28"/>
  <c r="AG586" i="28" s="1"/>
  <c r="E102" i="28"/>
  <c r="F288" i="28"/>
  <c r="B291" i="28"/>
  <c r="B295" i="28"/>
  <c r="D295" i="28"/>
  <c r="D291" i="28"/>
  <c r="D310" i="28" s="1"/>
  <c r="X389" i="28"/>
  <c r="AG617" i="28" s="1"/>
  <c r="E103" i="28"/>
  <c r="D30" i="11"/>
  <c r="H30" i="11"/>
  <c r="L30" i="11"/>
  <c r="R391" i="28" s="1"/>
  <c r="AJ431" i="28" s="1"/>
  <c r="B30" i="11"/>
  <c r="C295" i="28"/>
  <c r="C291" i="28"/>
  <c r="C310" i="28" s="1"/>
  <c r="P388" i="28"/>
  <c r="E49" i="28"/>
  <c r="E86" i="28" s="1"/>
  <c r="E180" i="28" s="1"/>
  <c r="V389" i="28"/>
  <c r="AG555" i="28" s="1"/>
  <c r="E101" i="28"/>
  <c r="F287" i="28"/>
  <c r="B290" i="28"/>
  <c r="F295" i="28" l="1"/>
  <c r="AF617" i="28"/>
  <c r="AF626" i="28" s="1"/>
  <c r="AI524" i="28"/>
  <c r="AI502" i="28"/>
  <c r="AF586" i="28"/>
  <c r="AF595" i="28" s="1"/>
  <c r="F291" i="28"/>
  <c r="AN555" i="28"/>
  <c r="F290" i="28"/>
  <c r="B309" i="28"/>
  <c r="I309" i="28" s="1"/>
  <c r="E198" i="28"/>
  <c r="E217" i="28"/>
  <c r="E223" i="28" s="1"/>
  <c r="E242" i="28" s="1"/>
  <c r="AI462" i="28"/>
  <c r="AI440" i="28"/>
  <c r="AM586" i="28"/>
  <c r="AM595" i="28" s="1"/>
  <c r="J241" i="19"/>
  <c r="E223" i="19"/>
  <c r="E237" i="19" s="1"/>
  <c r="G223" i="19"/>
  <c r="G237" i="19" s="1"/>
  <c r="H223" i="19"/>
  <c r="H237" i="19" s="1"/>
  <c r="E224" i="19"/>
  <c r="E238" i="19" s="1"/>
  <c r="G224" i="19"/>
  <c r="G238" i="19" s="1"/>
  <c r="H224" i="19"/>
  <c r="H238" i="19" s="1"/>
  <c r="E225" i="19"/>
  <c r="E239" i="19" s="1"/>
  <c r="G225" i="19"/>
  <c r="G239" i="19" s="1"/>
  <c r="H225" i="19"/>
  <c r="H239" i="19" s="1"/>
  <c r="E226" i="19"/>
  <c r="E240" i="19" s="1"/>
  <c r="G226" i="19"/>
  <c r="G240" i="19" s="1"/>
  <c r="H226" i="19"/>
  <c r="H240" i="19" s="1"/>
  <c r="E227" i="19"/>
  <c r="E241" i="19" s="1"/>
  <c r="G227" i="19"/>
  <c r="G241" i="19" s="1"/>
  <c r="H227" i="19"/>
  <c r="H241" i="19" s="1"/>
  <c r="E228" i="19"/>
  <c r="E242" i="19" s="1"/>
  <c r="G228" i="19"/>
  <c r="G242" i="19" s="1"/>
  <c r="H228" i="19"/>
  <c r="H242" i="19" s="1"/>
  <c r="E229" i="19"/>
  <c r="E243" i="19" s="1"/>
  <c r="G229" i="19"/>
  <c r="G243" i="19" s="1"/>
  <c r="H229" i="19"/>
  <c r="H243" i="19" s="1"/>
  <c r="E230" i="19"/>
  <c r="E244" i="19" s="1"/>
  <c r="G230" i="19"/>
  <c r="G244" i="19" s="1"/>
  <c r="H230" i="19"/>
  <c r="H244" i="19" s="1"/>
  <c r="E231" i="19"/>
  <c r="E245" i="19" s="1"/>
  <c r="G231" i="19"/>
  <c r="G245" i="19" s="1"/>
  <c r="H231" i="19"/>
  <c r="H245" i="19" s="1"/>
  <c r="E232" i="19"/>
  <c r="E246" i="19" s="1"/>
  <c r="G232" i="19"/>
  <c r="G246" i="19" s="1"/>
  <c r="H232" i="19"/>
  <c r="H246" i="19" s="1"/>
  <c r="E233" i="19"/>
  <c r="E247" i="19" s="1"/>
  <c r="G233" i="19"/>
  <c r="G247" i="19" s="1"/>
  <c r="H233" i="19"/>
  <c r="H247" i="19" s="1"/>
  <c r="G222" i="19"/>
  <c r="G236" i="19" s="1"/>
  <c r="H222" i="19"/>
  <c r="H236" i="19" s="1"/>
  <c r="E222" i="19"/>
  <c r="E236" i="19" s="1"/>
  <c r="AG54" i="24"/>
  <c r="AH54" i="24"/>
  <c r="AF54" i="24"/>
  <c r="AE54" i="24"/>
  <c r="AI44" i="24"/>
  <c r="AI45" i="24"/>
  <c r="AI46" i="24"/>
  <c r="AI47" i="24"/>
  <c r="AI48" i="24"/>
  <c r="AI49" i="24"/>
  <c r="AI50" i="24"/>
  <c r="AI51" i="24"/>
  <c r="AI52" i="24"/>
  <c r="AI53" i="24"/>
  <c r="AI54" i="24"/>
  <c r="AI43" i="24"/>
  <c r="AI55" i="24" s="1"/>
  <c r="AH44" i="24"/>
  <c r="AH45" i="24"/>
  <c r="AH46" i="24"/>
  <c r="AH47" i="24"/>
  <c r="AH48" i="24"/>
  <c r="AH49" i="24"/>
  <c r="AH50" i="24"/>
  <c r="AH51" i="24"/>
  <c r="AH52" i="24"/>
  <c r="AH53" i="24"/>
  <c r="AH43" i="24"/>
  <c r="AH55" i="24" s="1"/>
  <c r="AG44" i="24"/>
  <c r="AG45" i="24"/>
  <c r="AG46" i="24"/>
  <c r="AG47" i="24"/>
  <c r="AG48" i="24"/>
  <c r="AG49" i="24"/>
  <c r="AG50" i="24"/>
  <c r="AG51" i="24"/>
  <c r="AG52" i="24"/>
  <c r="AG53" i="24"/>
  <c r="AG43" i="24"/>
  <c r="AG55" i="24" s="1"/>
  <c r="AF44" i="24"/>
  <c r="AF45" i="24"/>
  <c r="AF46" i="24"/>
  <c r="AF47" i="24"/>
  <c r="AF48" i="24"/>
  <c r="AF49" i="24"/>
  <c r="AF50" i="24"/>
  <c r="AF51" i="24"/>
  <c r="AF52" i="24"/>
  <c r="AF53" i="24"/>
  <c r="AF43" i="24"/>
  <c r="AF55" i="24" s="1"/>
  <c r="AH28" i="24"/>
  <c r="AG28" i="24" s="1"/>
  <c r="AF28" i="24" s="1"/>
  <c r="AE28" i="24" s="1"/>
  <c r="AD28" i="24" s="1"/>
  <c r="AC28" i="24" s="1"/>
  <c r="AB28" i="24" s="1"/>
  <c r="AA28" i="24" s="1"/>
  <c r="Z28" i="24" s="1"/>
  <c r="Y28" i="24" s="1"/>
  <c r="X28" i="24" s="1"/>
  <c r="W28" i="24" s="1"/>
  <c r="V28" i="24" s="1"/>
  <c r="U28" i="24" s="1"/>
  <c r="T28" i="24" s="1"/>
  <c r="S28" i="24" s="1"/>
  <c r="R28" i="24" s="1"/>
  <c r="Q28" i="24" s="1"/>
  <c r="AF41" i="24"/>
  <c r="AG41" i="24"/>
  <c r="AH41" i="24"/>
  <c r="AI31" i="24"/>
  <c r="AI32" i="24"/>
  <c r="AI33" i="24"/>
  <c r="AI34" i="24"/>
  <c r="AI35" i="24"/>
  <c r="AI36" i="24"/>
  <c r="AI37" i="24"/>
  <c r="AI38" i="24"/>
  <c r="AI39" i="24"/>
  <c r="AI40" i="24"/>
  <c r="AI41" i="24"/>
  <c r="AI30" i="24"/>
  <c r="AH31" i="24"/>
  <c r="AH32" i="24"/>
  <c r="AH33" i="24"/>
  <c r="AH34" i="24"/>
  <c r="AH35" i="24"/>
  <c r="AH36" i="24"/>
  <c r="AH37" i="24"/>
  <c r="AH38" i="24"/>
  <c r="AH39" i="24"/>
  <c r="AH40" i="24"/>
  <c r="AH30" i="24"/>
  <c r="AG31" i="24"/>
  <c r="AG32" i="24"/>
  <c r="AG33" i="24"/>
  <c r="AG34" i="24"/>
  <c r="AG35" i="24"/>
  <c r="AG36" i="24"/>
  <c r="AG37" i="24"/>
  <c r="AG38" i="24"/>
  <c r="AG39" i="24"/>
  <c r="AG40" i="24"/>
  <c r="AG30" i="24"/>
  <c r="AF31" i="24"/>
  <c r="AF32" i="24"/>
  <c r="AF33" i="24"/>
  <c r="AF34" i="24"/>
  <c r="AF35" i="24"/>
  <c r="AF36" i="24"/>
  <c r="AF37" i="24"/>
  <c r="AF38" i="24"/>
  <c r="AF39" i="24"/>
  <c r="AF40" i="24"/>
  <c r="AF30" i="24"/>
  <c r="AE41" i="24"/>
  <c r="E15" i="18"/>
  <c r="E14" i="18"/>
  <c r="E13" i="18"/>
  <c r="E12" i="18"/>
  <c r="E11" i="18"/>
  <c r="D328" i="28" s="1"/>
  <c r="E10" i="18"/>
  <c r="D327" i="28" s="1"/>
  <c r="E9" i="18"/>
  <c r="D326" i="28" s="1"/>
  <c r="E8" i="18"/>
  <c r="D325" i="28" s="1"/>
  <c r="E7" i="18"/>
  <c r="D324" i="28" s="1"/>
  <c r="E6" i="18"/>
  <c r="D323" i="28" s="1"/>
  <c r="E5" i="18"/>
  <c r="D322" i="28" s="1"/>
  <c r="E4" i="18"/>
  <c r="D321" i="28" s="1"/>
  <c r="E3" i="18"/>
  <c r="D320" i="28" s="1"/>
  <c r="E2" i="18"/>
  <c r="D319" i="28" s="1"/>
  <c r="D15" i="18"/>
  <c r="D14" i="18"/>
  <c r="D13" i="18"/>
  <c r="D12" i="18"/>
  <c r="D11" i="18"/>
  <c r="C328" i="28" s="1"/>
  <c r="D10" i="18"/>
  <c r="C327" i="28" s="1"/>
  <c r="D9" i="18"/>
  <c r="C326" i="28" s="1"/>
  <c r="D8" i="18"/>
  <c r="C325" i="28" s="1"/>
  <c r="D7" i="18"/>
  <c r="C324" i="28" s="1"/>
  <c r="D6" i="18"/>
  <c r="C323" i="28" s="1"/>
  <c r="D5" i="18"/>
  <c r="C322" i="28" s="1"/>
  <c r="D4" i="18"/>
  <c r="C321" i="28" s="1"/>
  <c r="D3" i="18"/>
  <c r="C320" i="28" s="1"/>
  <c r="D2" i="18"/>
  <c r="C319" i="28" s="1"/>
  <c r="B15" i="18"/>
  <c r="B14" i="18"/>
  <c r="B13" i="18"/>
  <c r="B12" i="18"/>
  <c r="B11" i="18"/>
  <c r="B328" i="28" s="1"/>
  <c r="B10" i="18"/>
  <c r="B327" i="28" s="1"/>
  <c r="B9" i="18"/>
  <c r="B326" i="28" s="1"/>
  <c r="B8" i="18"/>
  <c r="B325" i="28" s="1"/>
  <c r="B7" i="18"/>
  <c r="B324" i="28" s="1"/>
  <c r="B6" i="18"/>
  <c r="B323" i="28" s="1"/>
  <c r="B5" i="18"/>
  <c r="B322" i="28" s="1"/>
  <c r="B4" i="18"/>
  <c r="B321" i="28" s="1"/>
  <c r="B3" i="18"/>
  <c r="B320" i="28" s="1"/>
  <c r="B2" i="18"/>
  <c r="B319" i="28" s="1"/>
  <c r="E320" i="28" l="1"/>
  <c r="E328" i="28"/>
  <c r="F15" i="18"/>
  <c r="O54" i="11" s="1"/>
  <c r="B332" i="28"/>
  <c r="O25" i="11"/>
  <c r="F13" i="18"/>
  <c r="M54" i="11" s="1"/>
  <c r="C330" i="28"/>
  <c r="M35" i="11"/>
  <c r="T396" i="28" s="1"/>
  <c r="AJ463" i="28" s="1"/>
  <c r="E16" i="18"/>
  <c r="D332" i="28"/>
  <c r="O40" i="11"/>
  <c r="V401" i="28" s="1"/>
  <c r="AJ557" i="28" s="1"/>
  <c r="E326" i="28"/>
  <c r="E324" i="28"/>
  <c r="E321" i="28"/>
  <c r="E325" i="28"/>
  <c r="B329" i="28"/>
  <c r="L25" i="11"/>
  <c r="C331" i="28"/>
  <c r="N35" i="11"/>
  <c r="U396" i="28" s="1"/>
  <c r="AJ525" i="28" s="1"/>
  <c r="D329" i="28"/>
  <c r="L40" i="11"/>
  <c r="R401" i="28" s="1"/>
  <c r="AJ433" i="28" s="1"/>
  <c r="AF42" i="24"/>
  <c r="AG42" i="24"/>
  <c r="AI471" i="28"/>
  <c r="AI533" i="28"/>
  <c r="C332" i="28"/>
  <c r="O35" i="11"/>
  <c r="V396" i="28" s="1"/>
  <c r="AJ556" i="28" s="1"/>
  <c r="D330" i="28"/>
  <c r="M40" i="11"/>
  <c r="T401" i="28" s="1"/>
  <c r="AJ464" i="28" s="1"/>
  <c r="AH42" i="24"/>
  <c r="AI42" i="24"/>
  <c r="E322" i="28"/>
  <c r="B330" i="28"/>
  <c r="M25" i="11"/>
  <c r="E319" i="28"/>
  <c r="E323" i="28"/>
  <c r="E327" i="28"/>
  <c r="B331" i="28"/>
  <c r="N25" i="11"/>
  <c r="C329" i="28"/>
  <c r="L35" i="11"/>
  <c r="R396" i="28" s="1"/>
  <c r="AJ432" i="28" s="1"/>
  <c r="D331" i="28"/>
  <c r="N40" i="11"/>
  <c r="U401" i="28" s="1"/>
  <c r="AJ526" i="28" s="1"/>
  <c r="F14" i="18"/>
  <c r="N54" i="11" s="1"/>
  <c r="F6" i="18"/>
  <c r="F9" i="18"/>
  <c r="F12" i="18"/>
  <c r="L54" i="11" s="1"/>
  <c r="F8" i="18"/>
  <c r="F10" i="18"/>
  <c r="F11" i="18"/>
  <c r="F7" i="18"/>
  <c r="E331" i="28" l="1"/>
  <c r="E330" i="28"/>
  <c r="R386" i="28"/>
  <c r="L49" i="11"/>
  <c r="L59" i="11" s="1"/>
  <c r="E17" i="18"/>
  <c r="D357" i="28"/>
  <c r="P40" i="11"/>
  <c r="W401" i="28" s="1"/>
  <c r="AJ588" i="28" s="1"/>
  <c r="AJ494" i="28"/>
  <c r="E329" i="28"/>
  <c r="V386" i="28"/>
  <c r="O49" i="11"/>
  <c r="O59" i="11" s="1"/>
  <c r="AI557" i="28"/>
  <c r="AJ495" i="28"/>
  <c r="AI587" i="28"/>
  <c r="AI564" i="28"/>
  <c r="AI588" i="28"/>
  <c r="E332" i="28"/>
  <c r="AI463" i="28"/>
  <c r="U386" i="28"/>
  <c r="N49" i="11"/>
  <c r="N59" i="11" s="1"/>
  <c r="T386" i="28"/>
  <c r="M49" i="11"/>
  <c r="M59" i="11" s="1"/>
  <c r="AI464" i="28"/>
  <c r="AI556" i="28"/>
  <c r="AI565" i="28" s="1"/>
  <c r="G87" i="9"/>
  <c r="X371" i="28" s="1"/>
  <c r="G86" i="9"/>
  <c r="W371" i="28" s="1"/>
  <c r="H16" i="17"/>
  <c r="H15" i="17"/>
  <c r="H14" i="17"/>
  <c r="H13" i="17"/>
  <c r="H12" i="17"/>
  <c r="H191" i="28" s="1"/>
  <c r="H11" i="17"/>
  <c r="H190" i="28" s="1"/>
  <c r="H10" i="17"/>
  <c r="H9" i="17"/>
  <c r="H8" i="17"/>
  <c r="H187" i="28" s="1"/>
  <c r="H7" i="17"/>
  <c r="H186" i="28" s="1"/>
  <c r="H6" i="17"/>
  <c r="H5" i="17"/>
  <c r="H4" i="17"/>
  <c r="H183" i="28" s="1"/>
  <c r="H3" i="17"/>
  <c r="H182" i="28" s="1"/>
  <c r="G16" i="17"/>
  <c r="G15" i="17"/>
  <c r="G14" i="17"/>
  <c r="G13" i="17"/>
  <c r="G192" i="28" s="1"/>
  <c r="G12" i="17"/>
  <c r="G11" i="17"/>
  <c r="G10" i="17"/>
  <c r="G9" i="17"/>
  <c r="G188" i="28" s="1"/>
  <c r="G8" i="17"/>
  <c r="G7" i="17"/>
  <c r="G6" i="17"/>
  <c r="G5" i="17"/>
  <c r="G184" i="28" s="1"/>
  <c r="G4" i="17"/>
  <c r="G3" i="17"/>
  <c r="G182" i="28" s="1"/>
  <c r="F16" i="17"/>
  <c r="F15" i="17"/>
  <c r="F14" i="17"/>
  <c r="F13" i="17"/>
  <c r="F12" i="17"/>
  <c r="F11" i="17"/>
  <c r="F190" i="28" s="1"/>
  <c r="F10" i="17"/>
  <c r="F9" i="17"/>
  <c r="F8" i="17"/>
  <c r="F7" i="17"/>
  <c r="F186" i="28" s="1"/>
  <c r="F6" i="17"/>
  <c r="F5" i="17"/>
  <c r="F4" i="17"/>
  <c r="F3" i="17"/>
  <c r="F182" i="28" s="1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D16" i="17"/>
  <c r="D15" i="17"/>
  <c r="D14" i="17"/>
  <c r="D193" i="28" s="1"/>
  <c r="D13" i="17"/>
  <c r="D12" i="17"/>
  <c r="D11" i="17"/>
  <c r="D10" i="17"/>
  <c r="D189" i="28" s="1"/>
  <c r="D9" i="17"/>
  <c r="D8" i="17"/>
  <c r="D7" i="17"/>
  <c r="D6" i="17"/>
  <c r="D185" i="28" s="1"/>
  <c r="D5" i="17"/>
  <c r="D4" i="17"/>
  <c r="D3" i="17"/>
  <c r="D182" i="28" s="1"/>
  <c r="C16" i="17"/>
  <c r="C15" i="17"/>
  <c r="C14" i="17"/>
  <c r="C13" i="17"/>
  <c r="C192" i="28" s="1"/>
  <c r="C12" i="17"/>
  <c r="C11" i="17"/>
  <c r="C10" i="17"/>
  <c r="C9" i="17"/>
  <c r="C188" i="28" s="1"/>
  <c r="C8" i="17"/>
  <c r="C7" i="17"/>
  <c r="C186" i="28" s="1"/>
  <c r="C6" i="17"/>
  <c r="C5" i="17"/>
  <c r="C4" i="17"/>
  <c r="C183" i="28" s="1"/>
  <c r="C3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B182" i="28" s="1"/>
  <c r="H201" i="28" l="1"/>
  <c r="H205" i="28"/>
  <c r="H209" i="28"/>
  <c r="B27" i="17"/>
  <c r="B189" i="28"/>
  <c r="C25" i="17"/>
  <c r="C187" i="28"/>
  <c r="C205" i="28" s="1"/>
  <c r="C29" i="17"/>
  <c r="C191" i="28"/>
  <c r="C195" i="28"/>
  <c r="O19" i="11"/>
  <c r="E21" i="17"/>
  <c r="E183" i="28"/>
  <c r="C28" i="11"/>
  <c r="E88" i="28" s="1"/>
  <c r="E187" i="28"/>
  <c r="G28" i="11"/>
  <c r="E92" i="28" s="1"/>
  <c r="E191" i="28"/>
  <c r="K28" i="11"/>
  <c r="F194" i="28"/>
  <c r="N33" i="11"/>
  <c r="H194" i="28"/>
  <c r="N43" i="11"/>
  <c r="G30" i="17"/>
  <c r="G26" i="17"/>
  <c r="G22" i="17"/>
  <c r="T410" i="28"/>
  <c r="AJ461" i="28"/>
  <c r="AI619" i="28"/>
  <c r="AK619" i="28" s="1"/>
  <c r="AL588" i="28"/>
  <c r="AI597" i="28"/>
  <c r="AJ430" i="28"/>
  <c r="R410" i="28"/>
  <c r="B28" i="17"/>
  <c r="B190" i="28"/>
  <c r="C22" i="17"/>
  <c r="C184" i="28"/>
  <c r="C202" i="28" s="1"/>
  <c r="C210" i="28"/>
  <c r="D24" i="17"/>
  <c r="D186" i="28"/>
  <c r="D204" i="28" s="1"/>
  <c r="D32" i="17"/>
  <c r="D194" i="28"/>
  <c r="D212" i="28" s="1"/>
  <c r="N23" i="11"/>
  <c r="E22" i="17"/>
  <c r="E184" i="28"/>
  <c r="D28" i="11"/>
  <c r="E89" i="28" s="1"/>
  <c r="E26" i="17"/>
  <c r="E188" i="28"/>
  <c r="E206" i="28" s="1"/>
  <c r="H28" i="11"/>
  <c r="E93" i="28" s="1"/>
  <c r="E30" i="17"/>
  <c r="E192" i="28"/>
  <c r="E210" i="28" s="1"/>
  <c r="L28" i="11"/>
  <c r="F21" i="17"/>
  <c r="F183" i="28"/>
  <c r="F201" i="28" s="1"/>
  <c r="F25" i="17"/>
  <c r="F187" i="28"/>
  <c r="F205" i="28" s="1"/>
  <c r="F29" i="17"/>
  <c r="F191" i="28"/>
  <c r="F209" i="28" s="1"/>
  <c r="F33" i="17"/>
  <c r="F195" i="28"/>
  <c r="F213" i="28" s="1"/>
  <c r="O33" i="11"/>
  <c r="G23" i="17"/>
  <c r="G185" i="28"/>
  <c r="G203" i="28" s="1"/>
  <c r="G27" i="17"/>
  <c r="G189" i="28"/>
  <c r="G207" i="28" s="1"/>
  <c r="G31" i="17"/>
  <c r="G193" i="28"/>
  <c r="G211" i="28" s="1"/>
  <c r="H195" i="28"/>
  <c r="O43" i="11"/>
  <c r="C30" i="17"/>
  <c r="C26" i="17"/>
  <c r="H21" i="17"/>
  <c r="AI526" i="28"/>
  <c r="AI504" i="28"/>
  <c r="B23" i="17"/>
  <c r="B185" i="28"/>
  <c r="I14" i="17"/>
  <c r="B193" i="28"/>
  <c r="B24" i="17"/>
  <c r="B186" i="28"/>
  <c r="B32" i="17"/>
  <c r="B194" i="28"/>
  <c r="N15" i="11"/>
  <c r="C206" i="28"/>
  <c r="D28" i="17"/>
  <c r="D190" i="28"/>
  <c r="D208" i="28" s="1"/>
  <c r="B22" i="17"/>
  <c r="B183" i="28"/>
  <c r="I8" i="17"/>
  <c r="B187" i="28"/>
  <c r="B30" i="17"/>
  <c r="B191" i="28"/>
  <c r="I16" i="17"/>
  <c r="O52" i="11" s="1"/>
  <c r="F44" i="28" s="1"/>
  <c r="B195" i="28"/>
  <c r="O15" i="11"/>
  <c r="C23" i="17"/>
  <c r="C185" i="28"/>
  <c r="C203" i="28" s="1"/>
  <c r="C27" i="17"/>
  <c r="C189" i="28"/>
  <c r="C207" i="28" s="1"/>
  <c r="C31" i="17"/>
  <c r="C193" i="28"/>
  <c r="C211" i="28" s="1"/>
  <c r="D21" i="17"/>
  <c r="D183" i="28"/>
  <c r="D201" i="28" s="1"/>
  <c r="D25" i="17"/>
  <c r="D187" i="28"/>
  <c r="D205" i="28" s="1"/>
  <c r="D29" i="17"/>
  <c r="D191" i="28"/>
  <c r="D195" i="28"/>
  <c r="O23" i="11"/>
  <c r="E23" i="17"/>
  <c r="E185" i="28"/>
  <c r="E28" i="11"/>
  <c r="E90" i="28" s="1"/>
  <c r="E27" i="17"/>
  <c r="E189" i="28"/>
  <c r="I28" i="11"/>
  <c r="E94" i="28" s="1"/>
  <c r="E31" i="17"/>
  <c r="E193" i="28"/>
  <c r="M28" i="11"/>
  <c r="F22" i="17"/>
  <c r="F184" i="28"/>
  <c r="F26" i="17"/>
  <c r="F188" i="28"/>
  <c r="F30" i="17"/>
  <c r="F192" i="28"/>
  <c r="G24" i="17"/>
  <c r="G186" i="28"/>
  <c r="G28" i="17"/>
  <c r="G190" i="28"/>
  <c r="G32" i="17"/>
  <c r="G194" i="28"/>
  <c r="N38" i="11"/>
  <c r="H22" i="17"/>
  <c r="H184" i="28"/>
  <c r="H202" i="28" s="1"/>
  <c r="H26" i="17"/>
  <c r="H188" i="28"/>
  <c r="H206" i="28" s="1"/>
  <c r="H30" i="17"/>
  <c r="H192" i="28"/>
  <c r="H210" i="28" s="1"/>
  <c r="H33" i="17"/>
  <c r="H29" i="17"/>
  <c r="H25" i="17"/>
  <c r="H17" i="17"/>
  <c r="U410" i="28"/>
  <c r="AJ523" i="28"/>
  <c r="AI472" i="28"/>
  <c r="D358" i="28"/>
  <c r="Q40" i="11"/>
  <c r="X401" i="28" s="1"/>
  <c r="AJ619" i="28" s="1"/>
  <c r="I5" i="17"/>
  <c r="B184" i="28"/>
  <c r="I9" i="17"/>
  <c r="B188" i="28"/>
  <c r="B31" i="17"/>
  <c r="B192" i="28"/>
  <c r="C21" i="17"/>
  <c r="C182" i="28"/>
  <c r="I11" i="17"/>
  <c r="C190" i="28"/>
  <c r="I15" i="17"/>
  <c r="N52" i="11" s="1"/>
  <c r="F43" i="28" s="1"/>
  <c r="C194" i="28"/>
  <c r="N19" i="11"/>
  <c r="D22" i="17"/>
  <c r="D184" i="28"/>
  <c r="D26" i="17"/>
  <c r="D188" i="28"/>
  <c r="D30" i="17"/>
  <c r="D192" i="28"/>
  <c r="E182" i="28"/>
  <c r="B28" i="11"/>
  <c r="E87" i="28" s="1"/>
  <c r="E24" i="17"/>
  <c r="E186" i="28"/>
  <c r="F28" i="11"/>
  <c r="E91" i="28" s="1"/>
  <c r="E28" i="17"/>
  <c r="E190" i="28"/>
  <c r="J28" i="11"/>
  <c r="E95" i="28" s="1"/>
  <c r="E32" i="17"/>
  <c r="E194" i="28"/>
  <c r="N28" i="11"/>
  <c r="F23" i="17"/>
  <c r="F185" i="28"/>
  <c r="F27" i="17"/>
  <c r="F189" i="28"/>
  <c r="F31" i="17"/>
  <c r="F193" i="28"/>
  <c r="G21" i="17"/>
  <c r="G183" i="28"/>
  <c r="G201" i="28" s="1"/>
  <c r="G25" i="17"/>
  <c r="G187" i="28"/>
  <c r="G205" i="28" s="1"/>
  <c r="G29" i="17"/>
  <c r="G191" i="28"/>
  <c r="G209" i="28" s="1"/>
  <c r="G17" i="17"/>
  <c r="G195" i="28"/>
  <c r="G213" i="28" s="1"/>
  <c r="O38" i="11"/>
  <c r="H24" i="17"/>
  <c r="H185" i="28"/>
  <c r="H28" i="17"/>
  <c r="H189" i="28"/>
  <c r="H32" i="17"/>
  <c r="H193" i="28"/>
  <c r="E33" i="17"/>
  <c r="E29" i="17"/>
  <c r="E25" i="17"/>
  <c r="AI473" i="28"/>
  <c r="V410" i="28"/>
  <c r="AJ554" i="28"/>
  <c r="AI525" i="28"/>
  <c r="AI503" i="28"/>
  <c r="C281" i="28"/>
  <c r="C282" i="28"/>
  <c r="L87" i="9"/>
  <c r="K87" i="9"/>
  <c r="H87" i="9"/>
  <c r="J87" i="9"/>
  <c r="N87" i="9"/>
  <c r="I87" i="9"/>
  <c r="I86" i="9"/>
  <c r="M87" i="9"/>
  <c r="L86" i="9"/>
  <c r="I12" i="17"/>
  <c r="I4" i="17"/>
  <c r="B26" i="17"/>
  <c r="C32" i="17"/>
  <c r="C28" i="17"/>
  <c r="C24" i="17"/>
  <c r="I7" i="17"/>
  <c r="B33" i="17"/>
  <c r="B29" i="17"/>
  <c r="B25" i="17"/>
  <c r="D33" i="17"/>
  <c r="F32" i="17"/>
  <c r="H31" i="17"/>
  <c r="D31" i="17"/>
  <c r="F28" i="17"/>
  <c r="H27" i="17"/>
  <c r="D27" i="17"/>
  <c r="F24" i="17"/>
  <c r="H23" i="17"/>
  <c r="D23" i="17"/>
  <c r="K86" i="9"/>
  <c r="I10" i="17"/>
  <c r="I6" i="17"/>
  <c r="G33" i="17"/>
  <c r="C33" i="17"/>
  <c r="N86" i="9"/>
  <c r="J86" i="9"/>
  <c r="I13" i="17"/>
  <c r="M86" i="9"/>
  <c r="H86" i="9"/>
  <c r="C37" i="17" l="1"/>
  <c r="F211" i="28"/>
  <c r="F203" i="28"/>
  <c r="C212" i="28"/>
  <c r="C204" i="28"/>
  <c r="E203" i="28"/>
  <c r="F37" i="17"/>
  <c r="F214" i="28" s="1"/>
  <c r="H211" i="28"/>
  <c r="H203" i="28"/>
  <c r="F206" i="28"/>
  <c r="E207" i="28"/>
  <c r="F207" i="28"/>
  <c r="E208" i="28"/>
  <c r="D206" i="28"/>
  <c r="G208" i="28"/>
  <c r="F210" i="28"/>
  <c r="F202" i="28"/>
  <c r="D213" i="28"/>
  <c r="H213" i="28"/>
  <c r="E202" i="28"/>
  <c r="G37" i="17"/>
  <c r="G214" i="28" s="1"/>
  <c r="D37" i="17"/>
  <c r="D35" i="17" s="1"/>
  <c r="D17" i="17" s="1"/>
  <c r="H207" i="28"/>
  <c r="E204" i="28"/>
  <c r="D210" i="28"/>
  <c r="D202" i="28"/>
  <c r="I182" i="28"/>
  <c r="G212" i="28"/>
  <c r="G204" i="28"/>
  <c r="H37" i="17"/>
  <c r="H214" i="28" s="1"/>
  <c r="C208" i="28"/>
  <c r="E211" i="28"/>
  <c r="C35" i="17"/>
  <c r="C17" i="17" s="1"/>
  <c r="C214" i="28"/>
  <c r="AI554" i="28"/>
  <c r="AI563" i="28" s="1"/>
  <c r="U399" i="28"/>
  <c r="AG526" i="28" s="1"/>
  <c r="G100" i="28"/>
  <c r="D209" i="28"/>
  <c r="V376" i="28"/>
  <c r="B101" i="28"/>
  <c r="O47" i="11"/>
  <c r="O57" i="11" s="1"/>
  <c r="U376" i="28"/>
  <c r="B100" i="28"/>
  <c r="N47" i="11"/>
  <c r="N57" i="11" s="1"/>
  <c r="R389" i="28"/>
  <c r="AG431" i="28" s="1"/>
  <c r="E97" i="28"/>
  <c r="H212" i="28"/>
  <c r="G206" i="28"/>
  <c r="F208" i="28"/>
  <c r="V380" i="28"/>
  <c r="AG553" i="28" s="1"/>
  <c r="C101" i="28"/>
  <c r="G18" i="17"/>
  <c r="G219" i="28"/>
  <c r="P38" i="11"/>
  <c r="B206" i="28"/>
  <c r="I188" i="28"/>
  <c r="C201" i="28"/>
  <c r="T389" i="28"/>
  <c r="AG462" i="28" s="1"/>
  <c r="E99" i="28"/>
  <c r="B213" i="28"/>
  <c r="I195" i="28"/>
  <c r="I187" i="28"/>
  <c r="B205" i="28"/>
  <c r="B212" i="28"/>
  <c r="I194" i="28"/>
  <c r="B211" i="28"/>
  <c r="I193" i="28"/>
  <c r="U384" i="28"/>
  <c r="AG523" i="28" s="1"/>
  <c r="AN523" i="28" s="1"/>
  <c r="D100" i="28"/>
  <c r="I190" i="28"/>
  <c r="B208" i="28"/>
  <c r="AI461" i="28"/>
  <c r="H208" i="28"/>
  <c r="G202" i="28"/>
  <c r="F204" i="28"/>
  <c r="E205" i="28"/>
  <c r="D211" i="28"/>
  <c r="C213" i="28"/>
  <c r="AI534" i="28"/>
  <c r="U389" i="28"/>
  <c r="AG524" i="28" s="1"/>
  <c r="E100" i="28"/>
  <c r="AI628" i="28"/>
  <c r="AL619" i="28"/>
  <c r="H18" i="17"/>
  <c r="H219" i="28"/>
  <c r="P43" i="11"/>
  <c r="V384" i="28"/>
  <c r="AG554" i="28" s="1"/>
  <c r="D101" i="28"/>
  <c r="G44" i="28"/>
  <c r="AI535" i="28"/>
  <c r="AJ492" i="28"/>
  <c r="AI470" i="28"/>
  <c r="H204" i="28"/>
  <c r="U394" i="28"/>
  <c r="AG525" i="28" s="1"/>
  <c r="F100" i="28"/>
  <c r="Q389" i="28"/>
  <c r="AF431" i="28" s="1"/>
  <c r="AM431" i="28" s="1"/>
  <c r="E96" i="28"/>
  <c r="D207" i="28"/>
  <c r="C209" i="28"/>
  <c r="B207" i="28"/>
  <c r="I189" i="28"/>
  <c r="AI585" i="28"/>
  <c r="AN554" i="28"/>
  <c r="V399" i="28"/>
  <c r="AG557" i="28" s="1"/>
  <c r="G101" i="28"/>
  <c r="E213" i="28"/>
  <c r="E212" i="28"/>
  <c r="U380" i="28"/>
  <c r="AG522" i="28" s="1"/>
  <c r="AF553" i="28" s="1"/>
  <c r="C100" i="28"/>
  <c r="B210" i="28"/>
  <c r="I192" i="28"/>
  <c r="I184" i="28"/>
  <c r="B202" i="28"/>
  <c r="B209" i="28"/>
  <c r="I191" i="28"/>
  <c r="B201" i="28"/>
  <c r="I183" i="28"/>
  <c r="I186" i="28"/>
  <c r="B204" i="28"/>
  <c r="I185" i="28"/>
  <c r="B203" i="28"/>
  <c r="V404" i="28"/>
  <c r="AG558" i="28" s="1"/>
  <c r="H101" i="28"/>
  <c r="V394" i="28"/>
  <c r="AG556" i="28" s="1"/>
  <c r="F101" i="28"/>
  <c r="U404" i="28"/>
  <c r="AG527" i="28" s="1"/>
  <c r="H100" i="28"/>
  <c r="G210" i="28"/>
  <c r="F212" i="28"/>
  <c r="E209" i="28"/>
  <c r="E201" i="28"/>
  <c r="D203" i="28"/>
  <c r="N19" i="9"/>
  <c r="M19" i="9"/>
  <c r="O39" i="11" s="1"/>
  <c r="L19" i="9"/>
  <c r="O34" i="11" s="1"/>
  <c r="K19" i="9"/>
  <c r="J19" i="9"/>
  <c r="O24" i="11" s="1"/>
  <c r="I19" i="9"/>
  <c r="H19" i="9"/>
  <c r="N18" i="9"/>
  <c r="M18" i="9"/>
  <c r="N39" i="11" s="1"/>
  <c r="L18" i="9"/>
  <c r="N34" i="11" s="1"/>
  <c r="K18" i="9"/>
  <c r="J18" i="9"/>
  <c r="I18" i="9"/>
  <c r="H18" i="9"/>
  <c r="N17" i="9"/>
  <c r="M17" i="9"/>
  <c r="M39" i="11" s="1"/>
  <c r="L17" i="9"/>
  <c r="M34" i="11" s="1"/>
  <c r="K17" i="9"/>
  <c r="J17" i="9"/>
  <c r="M24" i="11" s="1"/>
  <c r="I17" i="9"/>
  <c r="M20" i="11" s="1"/>
  <c r="H17" i="9"/>
  <c r="N16" i="9"/>
  <c r="M16" i="9"/>
  <c r="L39" i="11" s="1"/>
  <c r="L16" i="9"/>
  <c r="L34" i="11" s="1"/>
  <c r="K16" i="9"/>
  <c r="J16" i="9"/>
  <c r="L24" i="11" s="1"/>
  <c r="I16" i="9"/>
  <c r="H16" i="9"/>
  <c r="L16" i="11" s="1"/>
  <c r="N15" i="9"/>
  <c r="N38" i="9" s="1"/>
  <c r="M15" i="9"/>
  <c r="K15" i="9"/>
  <c r="J15" i="9"/>
  <c r="I15" i="9"/>
  <c r="I38" i="9" s="1"/>
  <c r="H15" i="9"/>
  <c r="H38" i="9" s="1"/>
  <c r="N14" i="9"/>
  <c r="N37" i="9" s="1"/>
  <c r="M14" i="9"/>
  <c r="L14" i="9"/>
  <c r="K14" i="9"/>
  <c r="J14" i="9"/>
  <c r="I14" i="9"/>
  <c r="I37" i="9" s="1"/>
  <c r="H14" i="9"/>
  <c r="H37" i="9" s="1"/>
  <c r="N13" i="9"/>
  <c r="N36" i="9" s="1"/>
  <c r="M13" i="9"/>
  <c r="L13" i="9"/>
  <c r="K13" i="9"/>
  <c r="J13" i="9"/>
  <c r="I13" i="9"/>
  <c r="I36" i="9" s="1"/>
  <c r="H13" i="9"/>
  <c r="H36" i="9" s="1"/>
  <c r="N12" i="9"/>
  <c r="N35" i="9" s="1"/>
  <c r="M12" i="9"/>
  <c r="L12" i="9"/>
  <c r="K12" i="9"/>
  <c r="J12" i="9"/>
  <c r="I12" i="9"/>
  <c r="I35" i="9" s="1"/>
  <c r="H12" i="9"/>
  <c r="H35" i="9" s="1"/>
  <c r="N11" i="9"/>
  <c r="N34" i="9" s="1"/>
  <c r="M11" i="9"/>
  <c r="L11" i="9"/>
  <c r="K11" i="9"/>
  <c r="J11" i="9"/>
  <c r="I11" i="9"/>
  <c r="I34" i="9" s="1"/>
  <c r="H11" i="9"/>
  <c r="H34" i="9" s="1"/>
  <c r="N10" i="9"/>
  <c r="N33" i="9" s="1"/>
  <c r="M10" i="9"/>
  <c r="L10" i="9"/>
  <c r="K10" i="9"/>
  <c r="J10" i="9"/>
  <c r="I10" i="9"/>
  <c r="I33" i="9" s="1"/>
  <c r="H10" i="9"/>
  <c r="H33" i="9" s="1"/>
  <c r="N9" i="9"/>
  <c r="N32" i="9" s="1"/>
  <c r="M9" i="9"/>
  <c r="L9" i="9"/>
  <c r="K9" i="9"/>
  <c r="J9" i="9"/>
  <c r="I9" i="9"/>
  <c r="I32" i="9" s="1"/>
  <c r="H9" i="9"/>
  <c r="H32" i="9" s="1"/>
  <c r="N8" i="9"/>
  <c r="N31" i="9" s="1"/>
  <c r="M8" i="9"/>
  <c r="L8" i="9"/>
  <c r="K8" i="9"/>
  <c r="J8" i="9"/>
  <c r="I8" i="9"/>
  <c r="I31" i="9" s="1"/>
  <c r="H8" i="9"/>
  <c r="H31" i="9" s="1"/>
  <c r="N7" i="9"/>
  <c r="N30" i="9" s="1"/>
  <c r="M7" i="9"/>
  <c r="L7" i="9"/>
  <c r="K7" i="9"/>
  <c r="J7" i="9"/>
  <c r="I7" i="9"/>
  <c r="I30" i="9" s="1"/>
  <c r="H7" i="9"/>
  <c r="H30" i="9" s="1"/>
  <c r="N6" i="9"/>
  <c r="N29" i="9" s="1"/>
  <c r="M6" i="9"/>
  <c r="M29" i="9" s="1"/>
  <c r="L6" i="9"/>
  <c r="L29" i="9" s="1"/>
  <c r="K6" i="9"/>
  <c r="J6" i="9"/>
  <c r="J29" i="9" s="1"/>
  <c r="I6" i="9"/>
  <c r="I29" i="9" s="1"/>
  <c r="H6" i="9"/>
  <c r="A19" i="9"/>
  <c r="A42" i="9" s="1"/>
  <c r="A20" i="9"/>
  <c r="A21" i="9"/>
  <c r="A16" i="9"/>
  <c r="A39" i="9" s="1"/>
  <c r="A17" i="9"/>
  <c r="A40" i="9" s="1"/>
  <c r="A18" i="9"/>
  <c r="A41" i="9" s="1"/>
  <c r="D214" i="28" l="1"/>
  <c r="H47" i="9"/>
  <c r="I48" i="9"/>
  <c r="N49" i="9"/>
  <c r="H51" i="9"/>
  <c r="I52" i="9"/>
  <c r="N53" i="9"/>
  <c r="K32" i="9"/>
  <c r="E29" i="11"/>
  <c r="E54" i="28" s="1"/>
  <c r="C23" i="18"/>
  <c r="K36" i="9"/>
  <c r="I29" i="11"/>
  <c r="E58" i="28" s="1"/>
  <c r="C27" i="18"/>
  <c r="K39" i="9"/>
  <c r="L29" i="11"/>
  <c r="C30" i="18"/>
  <c r="H40" i="9"/>
  <c r="M16" i="11"/>
  <c r="T395" i="28"/>
  <c r="F62" i="28"/>
  <c r="I41" i="9"/>
  <c r="N20" i="11"/>
  <c r="U400" i="28"/>
  <c r="G63" i="28"/>
  <c r="V385" i="28"/>
  <c r="D64" i="28"/>
  <c r="D118" i="28" s="1"/>
  <c r="D238" i="28" s="1"/>
  <c r="N42" i="9"/>
  <c r="N58" i="9" s="1"/>
  <c r="O44" i="11"/>
  <c r="AF589" i="28"/>
  <c r="AF585" i="28"/>
  <c r="AF555" i="28"/>
  <c r="AN524" i="28"/>
  <c r="AG493" i="28"/>
  <c r="AN462" i="28"/>
  <c r="AF462" i="28"/>
  <c r="AM462" i="28" s="1"/>
  <c r="AF440" i="28"/>
  <c r="AN431" i="28"/>
  <c r="AM440" i="28" s="1"/>
  <c r="K31" i="9"/>
  <c r="D29" i="11"/>
  <c r="E53" i="28" s="1"/>
  <c r="C22" i="18"/>
  <c r="H29" i="11"/>
  <c r="E57" i="28" s="1"/>
  <c r="C26" i="18"/>
  <c r="R377" i="28"/>
  <c r="B61" i="28"/>
  <c r="R395" i="28"/>
  <c r="F61" i="28"/>
  <c r="T381" i="28"/>
  <c r="AJ460" i="28" s="1"/>
  <c r="C62" i="28"/>
  <c r="T400" i="28"/>
  <c r="G62" i="28"/>
  <c r="B32" i="18"/>
  <c r="B349" i="28" s="1"/>
  <c r="N24" i="11"/>
  <c r="N41" i="9"/>
  <c r="N44" i="11"/>
  <c r="K42" i="9"/>
  <c r="O29" i="11"/>
  <c r="C33" i="18"/>
  <c r="AM585" i="28"/>
  <c r="AF556" i="28"/>
  <c r="AM556" i="28" s="1"/>
  <c r="AN525" i="28"/>
  <c r="W404" i="28"/>
  <c r="AG589" i="28" s="1"/>
  <c r="AF620" i="28" s="1"/>
  <c r="H102" i="28"/>
  <c r="AK628" i="28"/>
  <c r="W399" i="28"/>
  <c r="AG588" i="28" s="1"/>
  <c r="G102" i="28"/>
  <c r="D18" i="17"/>
  <c r="D219" i="28"/>
  <c r="P23" i="11"/>
  <c r="I101" i="28"/>
  <c r="AF557" i="28"/>
  <c r="AM557" i="28" s="1"/>
  <c r="AN526" i="28"/>
  <c r="K34" i="9"/>
  <c r="G29" i="11"/>
  <c r="E56" i="28" s="1"/>
  <c r="C25" i="18"/>
  <c r="K38" i="9"/>
  <c r="K29" i="11"/>
  <c r="C29" i="18"/>
  <c r="I39" i="9"/>
  <c r="I55" i="9" s="1"/>
  <c r="L20" i="11"/>
  <c r="R400" i="28"/>
  <c r="G61" i="28"/>
  <c r="T385" i="28"/>
  <c r="D62" i="28"/>
  <c r="N40" i="9"/>
  <c r="N57" i="9" s="1"/>
  <c r="M44" i="11"/>
  <c r="K41" i="9"/>
  <c r="N29" i="11"/>
  <c r="C32" i="18"/>
  <c r="H42" i="9"/>
  <c r="O16" i="11"/>
  <c r="V395" i="28"/>
  <c r="F64" i="28"/>
  <c r="F118" i="28" s="1"/>
  <c r="F238" i="28" s="1"/>
  <c r="AF587" i="28"/>
  <c r="AM587" i="28" s="1"/>
  <c r="AN556" i="28"/>
  <c r="AF588" i="28"/>
  <c r="AM588" i="28" s="1"/>
  <c r="AN557" i="28"/>
  <c r="AI523" i="28"/>
  <c r="AI501" i="28"/>
  <c r="AF554" i="28"/>
  <c r="AF563" i="28" s="1"/>
  <c r="I100" i="28"/>
  <c r="V408" i="28"/>
  <c r="AG552" i="28"/>
  <c r="K30" i="9"/>
  <c r="C29" i="11"/>
  <c r="E52" i="28" s="1"/>
  <c r="C21" i="18"/>
  <c r="K29" i="9"/>
  <c r="B29" i="11"/>
  <c r="E51" i="28" s="1"/>
  <c r="C20" i="18"/>
  <c r="K33" i="9"/>
  <c r="F29" i="11"/>
  <c r="E55" i="28" s="1"/>
  <c r="C24" i="18"/>
  <c r="K37" i="9"/>
  <c r="J29" i="11"/>
  <c r="E59" i="28" s="1"/>
  <c r="C28" i="18"/>
  <c r="R385" i="28"/>
  <c r="D61" i="28"/>
  <c r="N39" i="9"/>
  <c r="N55" i="9" s="1"/>
  <c r="L44" i="11"/>
  <c r="K40" i="9"/>
  <c r="K56" i="9" s="1"/>
  <c r="M29" i="11"/>
  <c r="C31" i="18"/>
  <c r="H41" i="9"/>
  <c r="H57" i="9" s="1"/>
  <c r="N16" i="11"/>
  <c r="U395" i="28"/>
  <c r="F63" i="28"/>
  <c r="I42" i="9"/>
  <c r="O20" i="11"/>
  <c r="V400" i="28"/>
  <c r="G64" i="28"/>
  <c r="G118" i="28" s="1"/>
  <c r="G238" i="28" s="1"/>
  <c r="AF558" i="28"/>
  <c r="AF567" i="28" s="1"/>
  <c r="H220" i="28"/>
  <c r="Q43" i="11"/>
  <c r="G220" i="28"/>
  <c r="Q38" i="11"/>
  <c r="AF584" i="28"/>
  <c r="AF562" i="28"/>
  <c r="U408" i="28"/>
  <c r="AG521" i="28"/>
  <c r="C18" i="17"/>
  <c r="C219" i="28"/>
  <c r="P19" i="11"/>
  <c r="B310" i="28"/>
  <c r="I310" i="28" s="1"/>
  <c r="M37" i="9"/>
  <c r="E28" i="18"/>
  <c r="D345" i="28" s="1"/>
  <c r="L39" i="9"/>
  <c r="D30" i="18"/>
  <c r="C347" i="28" s="1"/>
  <c r="M40" i="9"/>
  <c r="M56" i="9" s="1"/>
  <c r="E31" i="18"/>
  <c r="D348" i="28" s="1"/>
  <c r="L31" i="9"/>
  <c r="D22" i="18"/>
  <c r="C339" i="28" s="1"/>
  <c r="M32" i="9"/>
  <c r="E23" i="18"/>
  <c r="D340" i="28" s="1"/>
  <c r="J33" i="9"/>
  <c r="B24" i="18"/>
  <c r="B341" i="28" s="1"/>
  <c r="L35" i="9"/>
  <c r="D26" i="18"/>
  <c r="C343" i="28" s="1"/>
  <c r="M36" i="9"/>
  <c r="E27" i="18"/>
  <c r="D344" i="28" s="1"/>
  <c r="J37" i="9"/>
  <c r="B28" i="18"/>
  <c r="B345" i="28" s="1"/>
  <c r="M39" i="9"/>
  <c r="E30" i="18"/>
  <c r="D347" i="28" s="1"/>
  <c r="J40" i="9"/>
  <c r="B31" i="18"/>
  <c r="B348" i="28" s="1"/>
  <c r="L42" i="9"/>
  <c r="L43" i="9" s="1"/>
  <c r="F263" i="28" s="1"/>
  <c r="D33" i="18"/>
  <c r="C350" i="28" s="1"/>
  <c r="L30" i="9"/>
  <c r="L46" i="9" s="1"/>
  <c r="D21" i="18"/>
  <c r="C338" i="28" s="1"/>
  <c r="M31" i="9"/>
  <c r="E22" i="18"/>
  <c r="D339" i="28" s="1"/>
  <c r="J32" i="9"/>
  <c r="B23" i="18"/>
  <c r="B340" i="28" s="1"/>
  <c r="L34" i="9"/>
  <c r="D25" i="18"/>
  <c r="C342" i="28" s="1"/>
  <c r="M35" i="9"/>
  <c r="E26" i="18"/>
  <c r="D343" i="28" s="1"/>
  <c r="J36" i="9"/>
  <c r="B27" i="18"/>
  <c r="B344" i="28" s="1"/>
  <c r="M38" i="9"/>
  <c r="E29" i="18"/>
  <c r="J39" i="9"/>
  <c r="B30" i="18"/>
  <c r="B347" i="28" s="1"/>
  <c r="L41" i="9"/>
  <c r="D32" i="18"/>
  <c r="C349" i="28" s="1"/>
  <c r="M42" i="9"/>
  <c r="M43" i="9" s="1"/>
  <c r="G263" i="28" s="1"/>
  <c r="G269" i="28" s="1"/>
  <c r="G303" i="28" s="1"/>
  <c r="E33" i="18"/>
  <c r="D350" i="28" s="1"/>
  <c r="J30" i="9"/>
  <c r="B21" i="18"/>
  <c r="B338" i="28" s="1"/>
  <c r="L32" i="9"/>
  <c r="L48" i="9" s="1"/>
  <c r="D23" i="18"/>
  <c r="C340" i="28" s="1"/>
  <c r="M33" i="9"/>
  <c r="M49" i="9" s="1"/>
  <c r="E24" i="18"/>
  <c r="D341" i="28" s="1"/>
  <c r="J34" i="9"/>
  <c r="B25" i="18"/>
  <c r="B342" i="28" s="1"/>
  <c r="L36" i="9"/>
  <c r="L52" i="9" s="1"/>
  <c r="D27" i="18"/>
  <c r="C344" i="28" s="1"/>
  <c r="J38" i="9"/>
  <c r="B29" i="18"/>
  <c r="B346" i="28" s="1"/>
  <c r="M30" i="9"/>
  <c r="M46" i="9" s="1"/>
  <c r="E21" i="18"/>
  <c r="D338" i="28" s="1"/>
  <c r="J31" i="9"/>
  <c r="B22" i="18"/>
  <c r="B339" i="28" s="1"/>
  <c r="L33" i="9"/>
  <c r="D24" i="18"/>
  <c r="C341" i="28" s="1"/>
  <c r="M34" i="9"/>
  <c r="E25" i="18"/>
  <c r="D342" i="28" s="1"/>
  <c r="J35" i="9"/>
  <c r="B26" i="18"/>
  <c r="B343" i="28" s="1"/>
  <c r="L37" i="9"/>
  <c r="D28" i="18"/>
  <c r="C345" i="28" s="1"/>
  <c r="L40" i="9"/>
  <c r="D31" i="18"/>
  <c r="C348" i="28" s="1"/>
  <c r="M41" i="9"/>
  <c r="E32" i="18"/>
  <c r="D349" i="28" s="1"/>
  <c r="J42" i="9"/>
  <c r="J43" i="9" s="1"/>
  <c r="D263" i="28" s="1"/>
  <c r="B33" i="18"/>
  <c r="B350" i="28" s="1"/>
  <c r="I47" i="9"/>
  <c r="N48" i="9"/>
  <c r="H50" i="9"/>
  <c r="I51" i="9"/>
  <c r="N52" i="9"/>
  <c r="H54" i="9"/>
  <c r="M54" i="9"/>
  <c r="I58" i="9"/>
  <c r="N46" i="9"/>
  <c r="H48" i="9"/>
  <c r="I49" i="9"/>
  <c r="N50" i="9"/>
  <c r="H52" i="9"/>
  <c r="I53" i="9"/>
  <c r="I46" i="9"/>
  <c r="N47" i="9"/>
  <c r="H49" i="9"/>
  <c r="I50" i="9"/>
  <c r="J51" i="9"/>
  <c r="N51" i="9"/>
  <c r="H53" i="9"/>
  <c r="I54" i="9"/>
  <c r="N54" i="9"/>
  <c r="G12" i="9"/>
  <c r="K35" i="9"/>
  <c r="G16" i="9"/>
  <c r="H39" i="9"/>
  <c r="H55" i="9" s="1"/>
  <c r="G17" i="9"/>
  <c r="I40" i="9"/>
  <c r="G18" i="9"/>
  <c r="J41" i="9"/>
  <c r="G19" i="9"/>
  <c r="G8" i="9"/>
  <c r="G7" i="9"/>
  <c r="G10" i="9"/>
  <c r="G11" i="9"/>
  <c r="G13" i="9"/>
  <c r="G9" i="9"/>
  <c r="G14" i="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K51" i="9" l="1"/>
  <c r="K57" i="9"/>
  <c r="K47" i="9"/>
  <c r="K55" i="9"/>
  <c r="I56" i="9"/>
  <c r="AM566" i="28"/>
  <c r="M57" i="9"/>
  <c r="M53" i="9"/>
  <c r="K49" i="9"/>
  <c r="K53" i="9"/>
  <c r="AF565" i="28"/>
  <c r="D269" i="28"/>
  <c r="D303" i="28" s="1"/>
  <c r="J52" i="9"/>
  <c r="L49" i="9"/>
  <c r="L58" i="9"/>
  <c r="J48" i="9"/>
  <c r="AF566" i="28"/>
  <c r="K48" i="9"/>
  <c r="AM554" i="28"/>
  <c r="AM563" i="28" s="1"/>
  <c r="AF598" i="28"/>
  <c r="L50" i="9"/>
  <c r="K46" i="9"/>
  <c r="AM471" i="28"/>
  <c r="L53" i="9"/>
  <c r="M50" i="9"/>
  <c r="M58" i="9"/>
  <c r="J55" i="9"/>
  <c r="M47" i="9"/>
  <c r="AF471" i="28"/>
  <c r="O53" i="11"/>
  <c r="O11" i="11"/>
  <c r="M53" i="11"/>
  <c r="M11" i="11"/>
  <c r="E35" i="18"/>
  <c r="D346" i="28"/>
  <c r="D352" i="28" s="1"/>
  <c r="M52" i="9"/>
  <c r="J49" i="9"/>
  <c r="L47" i="9"/>
  <c r="L56" i="9"/>
  <c r="C220" i="28"/>
  <c r="Q19" i="11"/>
  <c r="T390" i="28"/>
  <c r="E62" i="28"/>
  <c r="C35" i="18"/>
  <c r="E106" i="28"/>
  <c r="E226" i="28" s="1"/>
  <c r="AI532" i="28"/>
  <c r="AM565" i="28"/>
  <c r="U390" i="28"/>
  <c r="E63" i="28"/>
  <c r="R381" i="28"/>
  <c r="AJ429" i="28" s="1"/>
  <c r="C61" i="28"/>
  <c r="K54" i="9"/>
  <c r="D220" i="28"/>
  <c r="Q23" i="11"/>
  <c r="V390" i="28"/>
  <c r="E64" i="28"/>
  <c r="E118" i="28" s="1"/>
  <c r="E238" i="28" s="1"/>
  <c r="U385" i="28"/>
  <c r="D63" i="28"/>
  <c r="L48" i="11"/>
  <c r="E111" i="28"/>
  <c r="E231" i="28" s="1"/>
  <c r="AM555" i="28"/>
  <c r="AM564" i="28" s="1"/>
  <c r="AF564" i="28"/>
  <c r="U381" i="28"/>
  <c r="AJ522" i="28" s="1"/>
  <c r="C63" i="28"/>
  <c r="T377" i="28"/>
  <c r="B62" i="28"/>
  <c r="M48" i="11"/>
  <c r="J47" i="9"/>
  <c r="M51" i="9"/>
  <c r="J56" i="9"/>
  <c r="AG528" i="28"/>
  <c r="AF552" i="28"/>
  <c r="AF559" i="28" s="1"/>
  <c r="X399" i="28"/>
  <c r="AG619" i="28" s="1"/>
  <c r="G103" i="28"/>
  <c r="V381" i="28"/>
  <c r="AJ553" i="28" s="1"/>
  <c r="C64" i="28"/>
  <c r="C118" i="28" s="1"/>
  <c r="C238" i="28" s="1"/>
  <c r="U377" i="28"/>
  <c r="B63" i="28"/>
  <c r="N48" i="11"/>
  <c r="E105" i="28"/>
  <c r="E225" i="28" s="1"/>
  <c r="V377" i="28"/>
  <c r="B64" i="28"/>
  <c r="O48" i="11"/>
  <c r="O58" i="11" s="1"/>
  <c r="AJ491" i="28"/>
  <c r="AF524" i="28"/>
  <c r="AF502" i="28"/>
  <c r="AN493" i="28"/>
  <c r="AM502" i="28" s="1"/>
  <c r="E108" i="28"/>
  <c r="E228" i="28" s="1"/>
  <c r="N53" i="11"/>
  <c r="N11" i="11"/>
  <c r="L53" i="11"/>
  <c r="L11" i="11"/>
  <c r="J46" i="9"/>
  <c r="L57" i="9"/>
  <c r="J53" i="9"/>
  <c r="L51" i="9"/>
  <c r="M48" i="9"/>
  <c r="W380" i="28"/>
  <c r="AG584" i="28" s="1"/>
  <c r="C102" i="28"/>
  <c r="R405" i="28"/>
  <c r="AJ434" i="28" s="1"/>
  <c r="H61" i="28"/>
  <c r="E109" i="28"/>
  <c r="E229" i="28" s="1"/>
  <c r="AG559" i="28"/>
  <c r="AF583" i="28"/>
  <c r="AF590" i="28" s="1"/>
  <c r="H58" i="9"/>
  <c r="T405" i="28"/>
  <c r="AJ465" i="28" s="1"/>
  <c r="H62" i="28"/>
  <c r="E110" i="28"/>
  <c r="E230" i="28" s="1"/>
  <c r="W384" i="28"/>
  <c r="AG585" i="28" s="1"/>
  <c r="D102" i="28"/>
  <c r="AF619" i="28"/>
  <c r="AF597" i="28"/>
  <c r="AN588" i="28"/>
  <c r="AM597" i="28" s="1"/>
  <c r="AP588" i="28"/>
  <c r="U405" i="28"/>
  <c r="AJ527" i="28" s="1"/>
  <c r="H63" i="28"/>
  <c r="AJ428" i="28"/>
  <c r="E107" i="28"/>
  <c r="E227" i="28" s="1"/>
  <c r="E246" i="28" s="1"/>
  <c r="V405" i="28"/>
  <c r="AJ558" i="28" s="1"/>
  <c r="H64" i="28"/>
  <c r="H118" i="28" s="1"/>
  <c r="H238" i="28" s="1"/>
  <c r="G117" i="28"/>
  <c r="G237" i="28" s="1"/>
  <c r="E112" i="28"/>
  <c r="E232" i="28" s="1"/>
  <c r="X404" i="28"/>
  <c r="AG620" i="28" s="1"/>
  <c r="AF629" i="28" s="1"/>
  <c r="H103" i="28"/>
  <c r="G257" i="28"/>
  <c r="F117" i="28"/>
  <c r="F237" i="28" s="1"/>
  <c r="F257" i="28" s="1"/>
  <c r="E113" i="28"/>
  <c r="E233" i="28" s="1"/>
  <c r="N56" i="9"/>
  <c r="N62" i="9" s="1"/>
  <c r="Q390" i="28"/>
  <c r="E60" i="28"/>
  <c r="K50" i="9"/>
  <c r="R390" i="28"/>
  <c r="E61" i="28"/>
  <c r="J50" i="9"/>
  <c r="J54" i="9"/>
  <c r="M55" i="9"/>
  <c r="J57" i="9"/>
  <c r="K52" i="9"/>
  <c r="I57" i="9"/>
  <c r="I62" i="9" s="1"/>
  <c r="C258" i="28" s="1"/>
  <c r="H56" i="9"/>
  <c r="J65" i="9"/>
  <c r="J44" i="9"/>
  <c r="L44" i="9"/>
  <c r="F264" i="28" s="1"/>
  <c r="M44" i="9"/>
  <c r="M65" i="9"/>
  <c r="K58" i="9"/>
  <c r="J58" i="9"/>
  <c r="K149" i="24"/>
  <c r="J149" i="24"/>
  <c r="J161" i="24"/>
  <c r="K161" i="24"/>
  <c r="K173" i="24"/>
  <c r="J173" i="24"/>
  <c r="J185" i="24"/>
  <c r="K185" i="24"/>
  <c r="K197" i="24"/>
  <c r="J197" i="24"/>
  <c r="J209" i="24"/>
  <c r="K209" i="24"/>
  <c r="K221" i="24"/>
  <c r="J221" i="24"/>
  <c r="J233" i="24"/>
  <c r="K233" i="24"/>
  <c r="K245" i="24"/>
  <c r="J245" i="24"/>
  <c r="J257" i="24"/>
  <c r="K257" i="24"/>
  <c r="K269" i="24"/>
  <c r="J269" i="24"/>
  <c r="J160" i="19"/>
  <c r="J161" i="19"/>
  <c r="J162" i="19"/>
  <c r="J163" i="19"/>
  <c r="J164" i="19"/>
  <c r="J165" i="19"/>
  <c r="J166" i="19"/>
  <c r="J167" i="19"/>
  <c r="J168" i="19"/>
  <c r="J169" i="19"/>
  <c r="J170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47" i="19"/>
  <c r="J136" i="19"/>
  <c r="J137" i="19"/>
  <c r="J138" i="19"/>
  <c r="J139" i="19"/>
  <c r="J140" i="19"/>
  <c r="J141" i="19"/>
  <c r="J142" i="19"/>
  <c r="J143" i="19"/>
  <c r="J144" i="19"/>
  <c r="J145" i="19"/>
  <c r="J146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23" i="19"/>
  <c r="J100" i="19"/>
  <c r="J101" i="19"/>
  <c r="J102" i="19"/>
  <c r="J103" i="19"/>
  <c r="J104" i="19"/>
  <c r="J105" i="19"/>
  <c r="J106" i="19"/>
  <c r="J107" i="19"/>
  <c r="J108" i="19"/>
  <c r="J109" i="19"/>
  <c r="J110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87" i="19"/>
  <c r="AD18" i="23"/>
  <c r="E249" i="28" l="1"/>
  <c r="AF561" i="28"/>
  <c r="E251" i="28"/>
  <c r="M58" i="11"/>
  <c r="M62" i="9"/>
  <c r="G258" i="28" s="1"/>
  <c r="R409" i="28"/>
  <c r="J66" i="9"/>
  <c r="D264" i="28"/>
  <c r="D270" i="28" s="1"/>
  <c r="D304" i="28" s="1"/>
  <c r="J92" i="9"/>
  <c r="AI459" i="28"/>
  <c r="AJ496" i="28"/>
  <c r="AI465" i="28"/>
  <c r="R372" i="28"/>
  <c r="B41" i="28"/>
  <c r="AM524" i="28"/>
  <c r="AM533" i="28" s="1"/>
  <c r="AF533" i="28"/>
  <c r="I62" i="28"/>
  <c r="E250" i="28"/>
  <c r="D117" i="28"/>
  <c r="D237" i="28" s="1"/>
  <c r="X384" i="28"/>
  <c r="AG616" i="28" s="1"/>
  <c r="AF625" i="28" s="1"/>
  <c r="D103" i="28"/>
  <c r="AI460" i="28"/>
  <c r="X380" i="28"/>
  <c r="AG615" i="28" s="1"/>
  <c r="C103" i="28"/>
  <c r="T372" i="28"/>
  <c r="B42" i="28"/>
  <c r="E115" i="28"/>
  <c r="E235" i="28" s="1"/>
  <c r="E114" i="28"/>
  <c r="E234" i="28" s="1"/>
  <c r="E253" i="28" s="1"/>
  <c r="H117" i="28"/>
  <c r="H237" i="28" s="1"/>
  <c r="AF616" i="28"/>
  <c r="AF594" i="28"/>
  <c r="E247" i="28"/>
  <c r="B118" i="28"/>
  <c r="B238" i="28" s="1"/>
  <c r="I64" i="28"/>
  <c r="N58" i="11"/>
  <c r="AI584" i="28"/>
  <c r="AM584" i="28" s="1"/>
  <c r="AN553" i="28"/>
  <c r="T409" i="28"/>
  <c r="AJ459" i="28"/>
  <c r="L58" i="11"/>
  <c r="E245" i="28"/>
  <c r="E116" i="28"/>
  <c r="E236" i="28" s="1"/>
  <c r="M66" i="9"/>
  <c r="G264" i="28"/>
  <c r="G270" i="28" s="1"/>
  <c r="G304" i="28" s="1"/>
  <c r="E252" i="28"/>
  <c r="H257" i="28"/>
  <c r="AI558" i="28"/>
  <c r="AN527" i="28"/>
  <c r="E248" i="28"/>
  <c r="AF593" i="28"/>
  <c r="AF615" i="28"/>
  <c r="AF624" i="28" s="1"/>
  <c r="U372" i="28"/>
  <c r="B43" i="28"/>
  <c r="I61" i="28"/>
  <c r="V409" i="28"/>
  <c r="AJ552" i="28"/>
  <c r="B117" i="28"/>
  <c r="B237" i="28" s="1"/>
  <c r="I63" i="28"/>
  <c r="C117" i="28"/>
  <c r="C237" i="28" s="1"/>
  <c r="C257" i="28" s="1"/>
  <c r="V372" i="28"/>
  <c r="B44" i="28"/>
  <c r="N60" i="9"/>
  <c r="N43" i="9" s="1"/>
  <c r="H263" i="28" s="1"/>
  <c r="H269" i="28" s="1"/>
  <c r="H303" i="28" s="1"/>
  <c r="H258" i="28"/>
  <c r="AI589" i="28"/>
  <c r="AM589" i="28" s="1"/>
  <c r="AN558" i="28"/>
  <c r="AI566" i="28"/>
  <c r="AM619" i="28"/>
  <c r="AO619" i="28"/>
  <c r="AI522" i="28"/>
  <c r="AI500" i="28"/>
  <c r="U409" i="28"/>
  <c r="AJ521" i="28"/>
  <c r="AF628" i="28"/>
  <c r="AN619" i="28"/>
  <c r="AP619" i="28"/>
  <c r="AI553" i="28"/>
  <c r="AN522" i="28"/>
  <c r="E117" i="28"/>
  <c r="E237" i="28" s="1"/>
  <c r="E257" i="28" s="1"/>
  <c r="J236" i="19"/>
  <c r="J237" i="19" s="1"/>
  <c r="J238" i="19" s="1"/>
  <c r="J239" i="19" s="1"/>
  <c r="J240" i="19" s="1"/>
  <c r="J242" i="19"/>
  <c r="J243" i="19" s="1"/>
  <c r="J244" i="19" s="1"/>
  <c r="J245" i="19" s="1"/>
  <c r="J246" i="19" s="1"/>
  <c r="J247" i="19" s="1"/>
  <c r="J62" i="9"/>
  <c r="D258" i="28" s="1"/>
  <c r="K62" i="9"/>
  <c r="E258" i="28" s="1"/>
  <c r="N65" i="9"/>
  <c r="K66" i="9"/>
  <c r="K65" i="9"/>
  <c r="E255" i="28" l="1"/>
  <c r="AO628" i="28"/>
  <c r="E254" i="28"/>
  <c r="N44" i="9"/>
  <c r="AM553" i="28"/>
  <c r="AM562" i="28" s="1"/>
  <c r="AI552" i="28"/>
  <c r="AI561" i="28" s="1"/>
  <c r="AN521" i="28"/>
  <c r="AI562" i="28"/>
  <c r="C42" i="28"/>
  <c r="AI474" i="28"/>
  <c r="B257" i="28"/>
  <c r="C43" i="28"/>
  <c r="AM558" i="28"/>
  <c r="AM567" i="28" s="1"/>
  <c r="AI567" i="28"/>
  <c r="E256" i="28"/>
  <c r="AI531" i="28"/>
  <c r="AM628" i="28"/>
  <c r="C44" i="28"/>
  <c r="AN552" i="28"/>
  <c r="AI583" i="28"/>
  <c r="AM583" i="28" s="1"/>
  <c r="AJ490" i="28"/>
  <c r="AI468" i="28"/>
  <c r="AI469" i="28"/>
  <c r="D257" i="28"/>
  <c r="AI527" i="28"/>
  <c r="AI505" i="28"/>
  <c r="AC18" i="23"/>
  <c r="AB18" i="23"/>
  <c r="AA18" i="23"/>
  <c r="Z18" i="23"/>
  <c r="AI536" i="28" l="1"/>
  <c r="AI521" i="28"/>
  <c r="AI499" i="28"/>
  <c r="AM552" i="28"/>
  <c r="AM561" i="28" s="1"/>
  <c r="N66" i="9"/>
  <c r="H264" i="28"/>
  <c r="H270" i="28" s="1"/>
  <c r="H304" i="28" s="1"/>
  <c r="U7" i="23"/>
  <c r="V7" i="23"/>
  <c r="V18" i="23" s="1"/>
  <c r="W7" i="23"/>
  <c r="X7" i="23"/>
  <c r="Y7" i="23"/>
  <c r="Z7" i="23"/>
  <c r="AA7" i="23"/>
  <c r="AB7" i="23"/>
  <c r="AC7" i="23"/>
  <c r="AD7" i="23"/>
  <c r="AE7" i="23"/>
  <c r="AF7" i="23"/>
  <c r="U8" i="23"/>
  <c r="V8" i="23"/>
  <c r="W8" i="23"/>
  <c r="W18" i="23" s="1"/>
  <c r="X8" i="23"/>
  <c r="V24" i="23" s="1"/>
  <c r="Y8" i="23"/>
  <c r="W24" i="23" s="1"/>
  <c r="Z8" i="23"/>
  <c r="AA8" i="23"/>
  <c r="AB8" i="23"/>
  <c r="AC8" i="23"/>
  <c r="AD8" i="23"/>
  <c r="AE8" i="23"/>
  <c r="AF8" i="23"/>
  <c r="U9" i="23"/>
  <c r="V9" i="23"/>
  <c r="W9" i="23"/>
  <c r="X9" i="23"/>
  <c r="X18" i="23" s="1"/>
  <c r="Y9" i="23"/>
  <c r="V25" i="23" s="1"/>
  <c r="Z9" i="23"/>
  <c r="W25" i="23" s="1"/>
  <c r="AA9" i="23"/>
  <c r="AB9" i="23"/>
  <c r="AC9" i="23"/>
  <c r="AD9" i="23"/>
  <c r="AE9" i="23"/>
  <c r="AF9" i="23"/>
  <c r="U10" i="23"/>
  <c r="V10" i="23"/>
  <c r="W10" i="23"/>
  <c r="X10" i="23"/>
  <c r="Y10" i="23"/>
  <c r="Y18" i="23" s="1"/>
  <c r="Z10" i="23"/>
  <c r="V26" i="23" s="1"/>
  <c r="AA10" i="23"/>
  <c r="AB10" i="23"/>
  <c r="AC10" i="23"/>
  <c r="AD10" i="23"/>
  <c r="AE10" i="23"/>
  <c r="AF10" i="23"/>
  <c r="V6" i="23"/>
  <c r="V22" i="23" s="1"/>
  <c r="W6" i="23"/>
  <c r="W22" i="23" s="1"/>
  <c r="X6" i="23"/>
  <c r="Y6" i="23"/>
  <c r="Z6" i="23"/>
  <c r="AA6" i="23"/>
  <c r="AB6" i="23"/>
  <c r="AC6" i="23"/>
  <c r="AD6" i="23"/>
  <c r="AE6" i="23"/>
  <c r="AF6" i="23"/>
  <c r="U6" i="23"/>
  <c r="W23" i="23" l="1"/>
  <c r="W26" i="23"/>
  <c r="V23" i="23"/>
  <c r="AI530" i="28"/>
  <c r="AC17" i="23"/>
  <c r="AC19" i="23" s="1"/>
  <c r="B11" i="23" s="1"/>
  <c r="Y17" i="23"/>
  <c r="Y19" i="23" s="1"/>
  <c r="B7" i="23" s="1"/>
  <c r="AB17" i="23"/>
  <c r="AB19" i="23" s="1"/>
  <c r="B10" i="23" s="1"/>
  <c r="X17" i="23"/>
  <c r="X19" i="23" s="1"/>
  <c r="B6" i="23" s="1"/>
  <c r="U18" i="23"/>
  <c r="U17" i="23"/>
  <c r="AA17" i="23"/>
  <c r="AA19" i="23" s="1"/>
  <c r="B9" i="23" s="1"/>
  <c r="W17" i="23"/>
  <c r="W19" i="23" s="1"/>
  <c r="B5" i="23" s="1"/>
  <c r="AD17" i="23"/>
  <c r="AD19" i="23" s="1"/>
  <c r="B12" i="23" s="1"/>
  <c r="Z17" i="23"/>
  <c r="Z19" i="23" s="1"/>
  <c r="B8" i="23" s="1"/>
  <c r="V17" i="23"/>
  <c r="V19" i="23" s="1"/>
  <c r="B4" i="23" s="1"/>
  <c r="B100" i="19"/>
  <c r="B101" i="19"/>
  <c r="B102" i="19"/>
  <c r="B103" i="19"/>
  <c r="B104" i="19"/>
  <c r="B105" i="19"/>
  <c r="B106" i="19"/>
  <c r="B107" i="19"/>
  <c r="B108" i="19"/>
  <c r="B109" i="19"/>
  <c r="B110" i="19"/>
  <c r="B99" i="19"/>
  <c r="B89" i="19"/>
  <c r="B90" i="19"/>
  <c r="B91" i="19"/>
  <c r="B92" i="19"/>
  <c r="B93" i="19"/>
  <c r="B94" i="19"/>
  <c r="B95" i="19"/>
  <c r="B96" i="19"/>
  <c r="B97" i="19"/>
  <c r="B98" i="19"/>
  <c r="B88" i="19"/>
  <c r="B87" i="19"/>
  <c r="B76" i="19"/>
  <c r="B77" i="19"/>
  <c r="B78" i="19"/>
  <c r="B79" i="19"/>
  <c r="B80" i="19"/>
  <c r="B81" i="19"/>
  <c r="B82" i="19"/>
  <c r="B83" i="19"/>
  <c r="B84" i="19"/>
  <c r="B85" i="19"/>
  <c r="B86" i="19"/>
  <c r="B75" i="19"/>
  <c r="B64" i="19"/>
  <c r="B65" i="19"/>
  <c r="B66" i="19"/>
  <c r="B67" i="19"/>
  <c r="B68" i="19"/>
  <c r="B69" i="19"/>
  <c r="B70" i="19"/>
  <c r="B71" i="19"/>
  <c r="B72" i="19"/>
  <c r="B73" i="19"/>
  <c r="B74" i="19"/>
  <c r="B63" i="19"/>
  <c r="B52" i="19"/>
  <c r="B53" i="19"/>
  <c r="B54" i="19"/>
  <c r="B55" i="19"/>
  <c r="B56" i="19"/>
  <c r="B57" i="19"/>
  <c r="B58" i="19"/>
  <c r="B59" i="19"/>
  <c r="B60" i="19"/>
  <c r="B61" i="19"/>
  <c r="B62" i="19"/>
  <c r="B51" i="19"/>
  <c r="B40" i="19"/>
  <c r="B41" i="19"/>
  <c r="B42" i="19"/>
  <c r="B43" i="19"/>
  <c r="B44" i="19"/>
  <c r="B45" i="19"/>
  <c r="B46" i="19"/>
  <c r="B47" i="19"/>
  <c r="B48" i="19"/>
  <c r="B49" i="19"/>
  <c r="B50" i="19"/>
  <c r="B39" i="19"/>
  <c r="B28" i="19"/>
  <c r="B29" i="19"/>
  <c r="B30" i="19"/>
  <c r="B31" i="19"/>
  <c r="B32" i="19"/>
  <c r="B33" i="19"/>
  <c r="B34" i="19"/>
  <c r="B35" i="19"/>
  <c r="B36" i="19"/>
  <c r="B37" i="19"/>
  <c r="B38" i="19"/>
  <c r="B27" i="19"/>
  <c r="B16" i="19"/>
  <c r="B17" i="19"/>
  <c r="B18" i="19"/>
  <c r="B19" i="19"/>
  <c r="B20" i="19"/>
  <c r="B21" i="19"/>
  <c r="B22" i="19"/>
  <c r="B23" i="19"/>
  <c r="B24" i="19"/>
  <c r="B25" i="19"/>
  <c r="B26" i="19"/>
  <c r="B15" i="19"/>
  <c r="B4" i="19"/>
  <c r="B5" i="19"/>
  <c r="B6" i="19"/>
  <c r="B7" i="19"/>
  <c r="B8" i="19"/>
  <c r="B9" i="19"/>
  <c r="B10" i="19"/>
  <c r="B11" i="19"/>
  <c r="B12" i="19"/>
  <c r="B13" i="19"/>
  <c r="B14" i="19"/>
  <c r="B3" i="19"/>
  <c r="J227" i="19"/>
  <c r="L18" i="23"/>
  <c r="M18" i="23" s="1"/>
  <c r="M32" i="23"/>
  <c r="M26" i="23" s="1"/>
  <c r="N32" i="23"/>
  <c r="O32" i="23"/>
  <c r="O26" i="23" s="1"/>
  <c r="L32" i="23"/>
  <c r="L44" i="24"/>
  <c r="M44" i="24"/>
  <c r="N44" i="24"/>
  <c r="O44" i="24"/>
  <c r="P44" i="24"/>
  <c r="Q44" i="24"/>
  <c r="R44" i="24"/>
  <c r="S44" i="24"/>
  <c r="T44" i="24"/>
  <c r="L45" i="24"/>
  <c r="M45" i="24"/>
  <c r="N45" i="24"/>
  <c r="O45" i="24"/>
  <c r="P45" i="24"/>
  <c r="Q45" i="24"/>
  <c r="R45" i="24"/>
  <c r="S45" i="24"/>
  <c r="T45" i="24"/>
  <c r="L46" i="24"/>
  <c r="M46" i="24"/>
  <c r="N46" i="24"/>
  <c r="O46" i="24"/>
  <c r="P46" i="24"/>
  <c r="Q46" i="24"/>
  <c r="R46" i="24"/>
  <c r="S46" i="24"/>
  <c r="T46" i="24"/>
  <c r="L47" i="24"/>
  <c r="M47" i="24"/>
  <c r="N47" i="24"/>
  <c r="O47" i="24"/>
  <c r="P47" i="24"/>
  <c r="Q47" i="24"/>
  <c r="R47" i="24"/>
  <c r="S47" i="24"/>
  <c r="T47" i="24"/>
  <c r="L48" i="24"/>
  <c r="M48" i="24"/>
  <c r="N48" i="24"/>
  <c r="O48" i="24"/>
  <c r="P48" i="24"/>
  <c r="Q48" i="24"/>
  <c r="R48" i="24"/>
  <c r="S48" i="24"/>
  <c r="T48" i="24"/>
  <c r="L49" i="24"/>
  <c r="M49" i="24"/>
  <c r="N49" i="24"/>
  <c r="O49" i="24"/>
  <c r="P49" i="24"/>
  <c r="Q49" i="24"/>
  <c r="R49" i="24"/>
  <c r="S49" i="24"/>
  <c r="T49" i="24"/>
  <c r="L50" i="24"/>
  <c r="M50" i="24"/>
  <c r="N50" i="24"/>
  <c r="O50" i="24"/>
  <c r="P50" i="24"/>
  <c r="Q50" i="24"/>
  <c r="R50" i="24"/>
  <c r="S50" i="24"/>
  <c r="T50" i="24"/>
  <c r="L51" i="24"/>
  <c r="M51" i="24"/>
  <c r="N51" i="24"/>
  <c r="O51" i="24"/>
  <c r="P51" i="24"/>
  <c r="Q51" i="24"/>
  <c r="R51" i="24"/>
  <c r="S51" i="24"/>
  <c r="T51" i="24"/>
  <c r="L52" i="24"/>
  <c r="M52" i="24"/>
  <c r="N52" i="24"/>
  <c r="O52" i="24"/>
  <c r="P52" i="24"/>
  <c r="Q52" i="24"/>
  <c r="R52" i="24"/>
  <c r="S52" i="24"/>
  <c r="T52" i="24"/>
  <c r="L53" i="24"/>
  <c r="M53" i="24"/>
  <c r="N53" i="24"/>
  <c r="O53" i="24"/>
  <c r="P53" i="24"/>
  <c r="Q53" i="24"/>
  <c r="R53" i="24"/>
  <c r="S53" i="24"/>
  <c r="T53" i="24"/>
  <c r="L54" i="24"/>
  <c r="M54" i="24"/>
  <c r="N54" i="24"/>
  <c r="O54" i="24"/>
  <c r="P54" i="24"/>
  <c r="Q54" i="24"/>
  <c r="R54" i="24"/>
  <c r="S54" i="24"/>
  <c r="T54" i="24"/>
  <c r="L31" i="24"/>
  <c r="M31" i="24"/>
  <c r="N31" i="24"/>
  <c r="O31" i="24"/>
  <c r="P31" i="24"/>
  <c r="Q31" i="24"/>
  <c r="R31" i="24"/>
  <c r="S31" i="24"/>
  <c r="T31" i="24"/>
  <c r="L32" i="24"/>
  <c r="M32" i="24"/>
  <c r="N32" i="24"/>
  <c r="O32" i="24"/>
  <c r="P32" i="24"/>
  <c r="Q32" i="24"/>
  <c r="R32" i="24"/>
  <c r="S32" i="24"/>
  <c r="T32" i="24"/>
  <c r="L33" i="24"/>
  <c r="M33" i="24"/>
  <c r="N33" i="24"/>
  <c r="O33" i="24"/>
  <c r="P33" i="24"/>
  <c r="Q33" i="24"/>
  <c r="R33" i="24"/>
  <c r="S33" i="24"/>
  <c r="T33" i="24"/>
  <c r="L34" i="24"/>
  <c r="M34" i="24"/>
  <c r="N34" i="24"/>
  <c r="O34" i="24"/>
  <c r="P34" i="24"/>
  <c r="Q34" i="24"/>
  <c r="R34" i="24"/>
  <c r="S34" i="24"/>
  <c r="T34" i="24"/>
  <c r="L35" i="24"/>
  <c r="M35" i="24"/>
  <c r="N35" i="24"/>
  <c r="O35" i="24"/>
  <c r="P35" i="24"/>
  <c r="Q35" i="24"/>
  <c r="R35" i="24"/>
  <c r="S35" i="24"/>
  <c r="T35" i="24"/>
  <c r="L36" i="24"/>
  <c r="M36" i="24"/>
  <c r="N36" i="24"/>
  <c r="O36" i="24"/>
  <c r="P36" i="24"/>
  <c r="Q36" i="24"/>
  <c r="R36" i="24"/>
  <c r="S36" i="24"/>
  <c r="T36" i="24"/>
  <c r="L37" i="24"/>
  <c r="M37" i="24"/>
  <c r="N37" i="24"/>
  <c r="O37" i="24"/>
  <c r="P37" i="24"/>
  <c r="Q37" i="24"/>
  <c r="R37" i="24"/>
  <c r="S37" i="24"/>
  <c r="T37" i="24"/>
  <c r="L38" i="24"/>
  <c r="M38" i="24"/>
  <c r="N38" i="24"/>
  <c r="O38" i="24"/>
  <c r="P38" i="24"/>
  <c r="Q38" i="24"/>
  <c r="R38" i="24"/>
  <c r="S38" i="24"/>
  <c r="T38" i="24"/>
  <c r="L39" i="24"/>
  <c r="M39" i="24"/>
  <c r="N39" i="24"/>
  <c r="O39" i="24"/>
  <c r="P39" i="24"/>
  <c r="Q39" i="24"/>
  <c r="R39" i="24"/>
  <c r="S39" i="24"/>
  <c r="T39" i="24"/>
  <c r="L40" i="24"/>
  <c r="M40" i="24"/>
  <c r="N40" i="24"/>
  <c r="O40" i="24"/>
  <c r="P40" i="24"/>
  <c r="Q40" i="24"/>
  <c r="R40" i="24"/>
  <c r="S40" i="24"/>
  <c r="T40" i="24"/>
  <c r="L41" i="24"/>
  <c r="M41" i="24"/>
  <c r="N41" i="24"/>
  <c r="O41" i="24"/>
  <c r="P41" i="24"/>
  <c r="Q41" i="24"/>
  <c r="R41" i="24"/>
  <c r="S41" i="24"/>
  <c r="T41" i="24"/>
  <c r="T43" i="24"/>
  <c r="T30" i="24"/>
  <c r="S43" i="24"/>
  <c r="S30" i="24"/>
  <c r="S42" i="24" s="1"/>
  <c r="R43" i="24"/>
  <c r="R30" i="24"/>
  <c r="Q43" i="24"/>
  <c r="Q30" i="24"/>
  <c r="P43" i="24"/>
  <c r="P30" i="24"/>
  <c r="O43" i="24"/>
  <c r="O55" i="24" s="1"/>
  <c r="N43" i="24"/>
  <c r="M43" i="24"/>
  <c r="M55" i="24" s="1"/>
  <c r="L43" i="24"/>
  <c r="L55" i="24" s="1"/>
  <c r="O30" i="24"/>
  <c r="N30" i="24"/>
  <c r="M30" i="24"/>
  <c r="M42" i="24" s="1"/>
  <c r="L30" i="24"/>
  <c r="Z50" i="24"/>
  <c r="D61" i="19"/>
  <c r="D62" i="19"/>
  <c r="C57" i="19"/>
  <c r="Z40" i="24"/>
  <c r="AA49" i="24"/>
  <c r="D73" i="19"/>
  <c r="D74" i="19"/>
  <c r="AB46" i="24"/>
  <c r="AB50" i="24"/>
  <c r="D82" i="19"/>
  <c r="AB36" i="24"/>
  <c r="AC45" i="24"/>
  <c r="D89" i="19"/>
  <c r="AC48" i="24"/>
  <c r="AC49" i="24"/>
  <c r="AC53" i="24"/>
  <c r="C88" i="19"/>
  <c r="AC34" i="24"/>
  <c r="C92" i="19"/>
  <c r="C95" i="19"/>
  <c r="AD46" i="24"/>
  <c r="AD50" i="24"/>
  <c r="AD32" i="24"/>
  <c r="D12" i="19"/>
  <c r="D13" i="19"/>
  <c r="C12" i="19"/>
  <c r="M51" i="23"/>
  <c r="M52" i="23"/>
  <c r="O52" i="23" s="1"/>
  <c r="P52" i="23" s="1"/>
  <c r="M53" i="23"/>
  <c r="O53" i="23" s="1"/>
  <c r="M54" i="23"/>
  <c r="O54" i="23" s="1"/>
  <c r="P54" i="23" s="1"/>
  <c r="M55" i="23"/>
  <c r="O55" i="23" s="1"/>
  <c r="M56" i="23"/>
  <c r="O56" i="23" s="1"/>
  <c r="M57" i="23"/>
  <c r="O57" i="23" s="1"/>
  <c r="M58" i="23"/>
  <c r="O58" i="23" s="1"/>
  <c r="P58" i="23" s="1"/>
  <c r="J58" i="23"/>
  <c r="J57" i="23"/>
  <c r="J56" i="23"/>
  <c r="J55" i="23"/>
  <c r="J54" i="23"/>
  <c r="J53" i="23"/>
  <c r="J52" i="23"/>
  <c r="J51" i="23"/>
  <c r="D16" i="11"/>
  <c r="G15" i="11"/>
  <c r="H16" i="11"/>
  <c r="I16" i="11"/>
  <c r="I15" i="11"/>
  <c r="J16" i="11"/>
  <c r="K20" i="11"/>
  <c r="C20" i="11"/>
  <c r="C52" i="28" s="1"/>
  <c r="D20" i="11"/>
  <c r="C53" i="28" s="1"/>
  <c r="E19" i="11"/>
  <c r="C90" i="28" s="1"/>
  <c r="F20" i="11"/>
  <c r="C55" i="28" s="1"/>
  <c r="J20" i="11"/>
  <c r="C59" i="28" s="1"/>
  <c r="J19" i="11"/>
  <c r="C95" i="28" s="1"/>
  <c r="K24" i="11"/>
  <c r="B34" i="11"/>
  <c r="F51" i="28" s="1"/>
  <c r="D35" i="11"/>
  <c r="D34" i="11"/>
  <c r="F53" i="28" s="1"/>
  <c r="F34" i="11"/>
  <c r="F55" i="28" s="1"/>
  <c r="I35" i="11"/>
  <c r="F43" i="11"/>
  <c r="H91" i="28" s="1"/>
  <c r="H43" i="11"/>
  <c r="H93" i="28" s="1"/>
  <c r="V30" i="24"/>
  <c r="W30" i="24"/>
  <c r="X30" i="24"/>
  <c r="Y30" i="24"/>
  <c r="AA30" i="24"/>
  <c r="C75" i="19"/>
  <c r="C111" i="19"/>
  <c r="D3" i="19"/>
  <c r="D15" i="19"/>
  <c r="D51" i="19"/>
  <c r="D75" i="19"/>
  <c r="AC43" i="24"/>
  <c r="AE43" i="24"/>
  <c r="X31" i="24"/>
  <c r="C28" i="19"/>
  <c r="Z31" i="24"/>
  <c r="AE31" i="24"/>
  <c r="V44" i="24"/>
  <c r="W44" i="24"/>
  <c r="Z44" i="24"/>
  <c r="D76" i="19"/>
  <c r="D100" i="19"/>
  <c r="D112" i="19"/>
  <c r="C17" i="19"/>
  <c r="C29" i="19"/>
  <c r="X32" i="24"/>
  <c r="AB32" i="24"/>
  <c r="C113" i="19"/>
  <c r="D17" i="19"/>
  <c r="X45" i="24"/>
  <c r="AA45" i="24"/>
  <c r="D77" i="19"/>
  <c r="AD45" i="24"/>
  <c r="D101" i="19"/>
  <c r="AE45" i="24"/>
  <c r="C6" i="19"/>
  <c r="C18" i="19"/>
  <c r="C42" i="19"/>
  <c r="C54" i="19"/>
  <c r="C78" i="19"/>
  <c r="AC33" i="24"/>
  <c r="AD33" i="24"/>
  <c r="C114" i="19"/>
  <c r="W46" i="24"/>
  <c r="D30" i="19"/>
  <c r="Z46" i="24"/>
  <c r="D90" i="19"/>
  <c r="C55" i="19"/>
  <c r="C67" i="19"/>
  <c r="AB34" i="24"/>
  <c r="AD34" i="24"/>
  <c r="AE34" i="24"/>
  <c r="X47" i="24"/>
  <c r="AA47" i="24"/>
  <c r="AB47" i="24"/>
  <c r="AE47" i="24"/>
  <c r="C8" i="19"/>
  <c r="K8" i="19" s="1"/>
  <c r="V35" i="24"/>
  <c r="C20" i="19"/>
  <c r="X35" i="24"/>
  <c r="Y35" i="24"/>
  <c r="C56" i="19"/>
  <c r="AD35" i="24"/>
  <c r="D8" i="19"/>
  <c r="W48" i="24"/>
  <c r="D44" i="19"/>
  <c r="D56" i="19"/>
  <c r="AB48" i="24"/>
  <c r="AD48" i="24"/>
  <c r="D116" i="19"/>
  <c r="V36" i="24"/>
  <c r="C9" i="19"/>
  <c r="C21" i="19"/>
  <c r="X36" i="24"/>
  <c r="C45" i="19"/>
  <c r="AA36" i="24"/>
  <c r="C69" i="19"/>
  <c r="AE36" i="24"/>
  <c r="W49" i="24"/>
  <c r="D33" i="19"/>
  <c r="Y49" i="24"/>
  <c r="AD49" i="24"/>
  <c r="W37" i="24"/>
  <c r="C70" i="19"/>
  <c r="C106" i="19"/>
  <c r="D46" i="19"/>
  <c r="D94" i="19"/>
  <c r="AE50" i="24"/>
  <c r="C11" i="19"/>
  <c r="X38" i="24"/>
  <c r="Y38" i="24"/>
  <c r="Z38" i="24"/>
  <c r="AA38" i="24"/>
  <c r="AE38" i="24"/>
  <c r="D11" i="19"/>
  <c r="X51" i="24"/>
  <c r="Y51" i="24"/>
  <c r="D59" i="19"/>
  <c r="D83" i="19"/>
  <c r="D107" i="19"/>
  <c r="W39" i="24"/>
  <c r="C36" i="19"/>
  <c r="Y39" i="24"/>
  <c r="AA39" i="24"/>
  <c r="AB39" i="24"/>
  <c r="AD39" i="24"/>
  <c r="AE39" i="24"/>
  <c r="W52" i="24"/>
  <c r="X52" i="24"/>
  <c r="D48" i="19"/>
  <c r="D60" i="19"/>
  <c r="D72" i="19"/>
  <c r="D84" i="19"/>
  <c r="AD52" i="24"/>
  <c r="D120" i="19"/>
  <c r="V40" i="24"/>
  <c r="C37" i="19"/>
  <c r="C49" i="19"/>
  <c r="AC40" i="24"/>
  <c r="AD40" i="24"/>
  <c r="C121" i="19"/>
  <c r="W53" i="24"/>
  <c r="X53" i="24"/>
  <c r="D49" i="19"/>
  <c r="D109" i="19"/>
  <c r="AE53" i="24"/>
  <c r="C14" i="19"/>
  <c r="C62" i="19"/>
  <c r="C74" i="19"/>
  <c r="AB41" i="24"/>
  <c r="C98" i="19"/>
  <c r="D14" i="19"/>
  <c r="X54" i="24"/>
  <c r="Y54" i="24"/>
  <c r="C24" i="11"/>
  <c r="D52" i="28" s="1"/>
  <c r="C39" i="11"/>
  <c r="G52" i="28" s="1"/>
  <c r="D39" i="11"/>
  <c r="G53" i="28" s="1"/>
  <c r="E39" i="11"/>
  <c r="G54" i="28" s="1"/>
  <c r="E44" i="11"/>
  <c r="H54" i="28" s="1"/>
  <c r="F24" i="11"/>
  <c r="D55" i="28" s="1"/>
  <c r="F39" i="11"/>
  <c r="G55" i="28" s="1"/>
  <c r="G24" i="11"/>
  <c r="D56" i="28" s="1"/>
  <c r="G39" i="11"/>
  <c r="G56" i="28" s="1"/>
  <c r="G44" i="11"/>
  <c r="H56" i="28" s="1"/>
  <c r="H24" i="11"/>
  <c r="D57" i="28" s="1"/>
  <c r="H44" i="11"/>
  <c r="H57" i="28" s="1"/>
  <c r="I24" i="11"/>
  <c r="D58" i="28" s="1"/>
  <c r="J44" i="11"/>
  <c r="H59" i="28" s="1"/>
  <c r="L19" i="23"/>
  <c r="N21" i="23"/>
  <c r="L15" i="23"/>
  <c r="M15" i="23"/>
  <c r="N15" i="23"/>
  <c r="O15" i="23"/>
  <c r="P10" i="23"/>
  <c r="P9" i="23"/>
  <c r="P8" i="23"/>
  <c r="P7" i="23"/>
  <c r="C23" i="11"/>
  <c r="D88" i="28" s="1"/>
  <c r="D23" i="11"/>
  <c r="D89" i="28" s="1"/>
  <c r="C33" i="11"/>
  <c r="F88" i="28" s="1"/>
  <c r="B33" i="11"/>
  <c r="F87" i="28" s="1"/>
  <c r="D33" i="11"/>
  <c r="F89" i="28" s="1"/>
  <c r="H33" i="11"/>
  <c r="F93" i="28" s="1"/>
  <c r="B38" i="11"/>
  <c r="G87" i="28" s="1"/>
  <c r="J38" i="11"/>
  <c r="G95" i="28" s="1"/>
  <c r="C25" i="11"/>
  <c r="G25" i="11"/>
  <c r="I40" i="11"/>
  <c r="K35" i="11"/>
  <c r="Q396" i="28" s="1"/>
  <c r="AI432" i="28" s="1"/>
  <c r="L15" i="11"/>
  <c r="L23" i="11"/>
  <c r="L38" i="11"/>
  <c r="M23" i="11"/>
  <c r="M38" i="11"/>
  <c r="U43" i="24"/>
  <c r="U45" i="24"/>
  <c r="U46" i="24"/>
  <c r="U47" i="24"/>
  <c r="U48" i="24"/>
  <c r="U50" i="24"/>
  <c r="U51" i="24"/>
  <c r="U53" i="24"/>
  <c r="U54" i="24"/>
  <c r="U32" i="24"/>
  <c r="U33" i="24"/>
  <c r="U34" i="24"/>
  <c r="U36" i="24"/>
  <c r="U37" i="24"/>
  <c r="U38" i="24"/>
  <c r="U40" i="24"/>
  <c r="U41" i="24"/>
  <c r="U30" i="24"/>
  <c r="A42" i="11"/>
  <c r="G2" i="17"/>
  <c r="E1" i="18" s="1"/>
  <c r="H2" i="17"/>
  <c r="J14" i="23"/>
  <c r="A44" i="9"/>
  <c r="A43" i="9"/>
  <c r="A6" i="9"/>
  <c r="A29" i="9" s="1"/>
  <c r="A7" i="9"/>
  <c r="A30" i="9" s="1"/>
  <c r="A8" i="9"/>
  <c r="A31" i="9" s="1"/>
  <c r="A9" i="9"/>
  <c r="A32" i="9" s="1"/>
  <c r="A10" i="9"/>
  <c r="A33" i="9" s="1"/>
  <c r="A11" i="9"/>
  <c r="A34" i="9" s="1"/>
  <c r="A12" i="9"/>
  <c r="A35" i="9" s="1"/>
  <c r="A13" i="9"/>
  <c r="A36" i="9" s="1"/>
  <c r="A14" i="9"/>
  <c r="A37" i="9" s="1"/>
  <c r="A15" i="9"/>
  <c r="A38" i="9" s="1"/>
  <c r="E2" i="17"/>
  <c r="C1" i="18" s="1"/>
  <c r="A18" i="11"/>
  <c r="C49" i="28" s="1"/>
  <c r="C86" i="28" s="1"/>
  <c r="C180" i="28" s="1"/>
  <c r="A14" i="11"/>
  <c r="B49" i="28" s="1"/>
  <c r="B86" i="28" s="1"/>
  <c r="B180" i="28" s="1"/>
  <c r="C2" i="17"/>
  <c r="D2" i="17"/>
  <c r="B1" i="18" s="1"/>
  <c r="F2" i="17"/>
  <c r="D1" i="18" s="1"/>
  <c r="B2" i="17"/>
  <c r="N5" i="28" s="1"/>
  <c r="Z415" i="28" s="1"/>
  <c r="A37" i="11"/>
  <c r="A32" i="11"/>
  <c r="F49" i="28" s="1"/>
  <c r="A22" i="11"/>
  <c r="D44" i="11"/>
  <c r="H53" i="28" s="1"/>
  <c r="C44" i="11"/>
  <c r="H52" i="28" s="1"/>
  <c r="E35" i="11"/>
  <c r="Z45" i="24"/>
  <c r="AB51" i="24"/>
  <c r="AD30" i="24"/>
  <c r="V49" i="24"/>
  <c r="D9" i="19"/>
  <c r="D43" i="19"/>
  <c r="Y47" i="24"/>
  <c r="AE40" i="24"/>
  <c r="D29" i="19"/>
  <c r="H38" i="11"/>
  <c r="G93" i="28" s="1"/>
  <c r="Y46" i="24"/>
  <c r="D42" i="19"/>
  <c r="AE33" i="24"/>
  <c r="C86" i="19"/>
  <c r="C5" i="19"/>
  <c r="AD53" i="24"/>
  <c r="D24" i="19"/>
  <c r="D104" i="19"/>
  <c r="W35" i="24"/>
  <c r="Z52" i="24"/>
  <c r="C105" i="19"/>
  <c r="AD36" i="24"/>
  <c r="AC31" i="24"/>
  <c r="N42" i="24"/>
  <c r="C50" i="19"/>
  <c r="C3" i="19"/>
  <c r="D92" i="19"/>
  <c r="AB49" i="24"/>
  <c r="D81" i="19"/>
  <c r="D119" i="19"/>
  <c r="C31" i="19"/>
  <c r="V33" i="24"/>
  <c r="AB45" i="24"/>
  <c r="C76" i="19"/>
  <c r="C16" i="19"/>
  <c r="I38" i="11"/>
  <c r="G94" i="28" s="1"/>
  <c r="C107" i="19"/>
  <c r="AD38" i="24"/>
  <c r="C33" i="19"/>
  <c r="Y41" i="24"/>
  <c r="W33" i="24"/>
  <c r="V51" i="24"/>
  <c r="D105" i="19"/>
  <c r="AE48" i="24"/>
  <c r="C7" i="19"/>
  <c r="V34" i="24"/>
  <c r="Z33" i="24"/>
  <c r="D39" i="19"/>
  <c r="Y43" i="24"/>
  <c r="C73" i="19"/>
  <c r="AA40" i="24"/>
  <c r="D70" i="19"/>
  <c r="AA50" i="24"/>
  <c r="V32" i="24"/>
  <c r="F40" i="11"/>
  <c r="C35" i="19"/>
  <c r="Y33" i="24"/>
  <c r="C101" i="19"/>
  <c r="C103" i="19"/>
  <c r="C122" i="19"/>
  <c r="D21" i="19"/>
  <c r="C30" i="19"/>
  <c r="X33" i="24"/>
  <c r="C81" i="19"/>
  <c r="D78" i="19"/>
  <c r="Z35" i="24"/>
  <c r="W45" i="24"/>
  <c r="C102" i="19"/>
  <c r="C53" i="19"/>
  <c r="AA44" i="24"/>
  <c r="D64" i="19"/>
  <c r="H35" i="11"/>
  <c r="C63" i="19"/>
  <c r="Y45" i="24"/>
  <c r="C91" i="19"/>
  <c r="D97" i="19"/>
  <c r="D115" i="19"/>
  <c r="D113" i="19"/>
  <c r="AD44" i="24"/>
  <c r="Z43" i="24"/>
  <c r="I43" i="11"/>
  <c r="H94" i="28" s="1"/>
  <c r="C32" i="19"/>
  <c r="D54" i="19"/>
  <c r="W32" i="24"/>
  <c r="D67" i="19"/>
  <c r="C35" i="11"/>
  <c r="V52" i="24"/>
  <c r="D63" i="19"/>
  <c r="AA41" i="24"/>
  <c r="D118" i="19"/>
  <c r="AC38" i="24"/>
  <c r="AA54" i="24"/>
  <c r="AD54" i="24"/>
  <c r="D57" i="19"/>
  <c r="D5" i="19"/>
  <c r="D53" i="19"/>
  <c r="C90" i="19"/>
  <c r="C77" i="19"/>
  <c r="AD41" i="24"/>
  <c r="AC51" i="24"/>
  <c r="C93" i="19"/>
  <c r="C44" i="19"/>
  <c r="V31" i="24"/>
  <c r="C52" i="19"/>
  <c r="J34" i="11"/>
  <c r="F59" i="28" s="1"/>
  <c r="AB31" i="24"/>
  <c r="D18" i="19"/>
  <c r="X49" i="24"/>
  <c r="D111" i="19"/>
  <c r="D20" i="19"/>
  <c r="C41" i="19"/>
  <c r="Y32" i="24"/>
  <c r="AC47" i="24"/>
  <c r="D91" i="19"/>
  <c r="U52" i="24"/>
  <c r="W43" i="24"/>
  <c r="AB44" i="24"/>
  <c r="U31" i="24"/>
  <c r="AA33" i="24"/>
  <c r="C66" i="19"/>
  <c r="AA43" i="24"/>
  <c r="D110" i="19"/>
  <c r="C27" i="19"/>
  <c r="D95" i="19"/>
  <c r="I23" i="11"/>
  <c r="D94" i="28" s="1"/>
  <c r="D41" i="19"/>
  <c r="AE30" i="24"/>
  <c r="AE49" i="24"/>
  <c r="D117" i="19"/>
  <c r="D66" i="19"/>
  <c r="D106" i="19"/>
  <c r="C60" i="19"/>
  <c r="Z39" i="24"/>
  <c r="Z32" i="24"/>
  <c r="C108" i="19"/>
  <c r="Z54" i="24"/>
  <c r="K43" i="11"/>
  <c r="C47" i="19"/>
  <c r="D38" i="19"/>
  <c r="I25" i="11"/>
  <c r="I49" i="11" s="1"/>
  <c r="J33" i="11"/>
  <c r="F95" i="28" s="1"/>
  <c r="D25" i="19"/>
  <c r="W40" i="24"/>
  <c r="C25" i="19"/>
  <c r="AC52" i="24"/>
  <c r="D96" i="19"/>
  <c r="AA52" i="24"/>
  <c r="Y52" i="24"/>
  <c r="D71" i="19"/>
  <c r="AA51" i="24"/>
  <c r="D47" i="19"/>
  <c r="AC32" i="24"/>
  <c r="C89" i="19"/>
  <c r="D80" i="19"/>
  <c r="V48" i="24"/>
  <c r="C79" i="19"/>
  <c r="AA32" i="24"/>
  <c r="D45" i="19"/>
  <c r="E34" i="11"/>
  <c r="F54" i="28" s="1"/>
  <c r="W36" i="24"/>
  <c r="D50" i="19"/>
  <c r="X39" i="24"/>
  <c r="C72" i="19"/>
  <c r="AC35" i="24"/>
  <c r="D87" i="19"/>
  <c r="AB37" i="24"/>
  <c r="C82" i="19"/>
  <c r="C46" i="19"/>
  <c r="Y37" i="24"/>
  <c r="C68" i="19"/>
  <c r="AA35" i="24"/>
  <c r="U49" i="24"/>
  <c r="D98" i="19"/>
  <c r="C26" i="19"/>
  <c r="W41" i="24"/>
  <c r="D121" i="19"/>
  <c r="AB53" i="24"/>
  <c r="D85" i="19"/>
  <c r="D37" i="19"/>
  <c r="C85" i="19"/>
  <c r="AB40" i="24"/>
  <c r="AB52" i="24"/>
  <c r="D36" i="19"/>
  <c r="AD47" i="24"/>
  <c r="Y34" i="24"/>
  <c r="V46" i="24"/>
  <c r="C40" i="19"/>
  <c r="Y31" i="24"/>
  <c r="U39" i="24"/>
  <c r="U35" i="24"/>
  <c r="X40" i="24"/>
  <c r="D35" i="19"/>
  <c r="X48" i="24"/>
  <c r="D32" i="19"/>
  <c r="D28" i="19"/>
  <c r="X44" i="24"/>
  <c r="C100" i="19"/>
  <c r="D27" i="19"/>
  <c r="D7" i="19"/>
  <c r="V47" i="24"/>
  <c r="C64" i="19"/>
  <c r="AA31" i="24"/>
  <c r="W31" i="24"/>
  <c r="AC44" i="24"/>
  <c r="D88" i="19"/>
  <c r="AE52" i="24"/>
  <c r="D23" i="19"/>
  <c r="W51" i="24"/>
  <c r="C119" i="19"/>
  <c r="D4" i="19"/>
  <c r="Y36" i="24"/>
  <c r="C117" i="19"/>
  <c r="D58" i="19"/>
  <c r="C15" i="19"/>
  <c r="D86" i="19"/>
  <c r="AB54" i="24"/>
  <c r="J24" i="11"/>
  <c r="D59" i="28" s="1"/>
  <c r="AA46" i="24"/>
  <c r="C83" i="19"/>
  <c r="AB38" i="24"/>
  <c r="C34" i="19"/>
  <c r="X37" i="24"/>
  <c r="C87" i="19"/>
  <c r="AC30" i="24"/>
  <c r="W32" i="23" l="1"/>
  <c r="AF15" i="23" s="1"/>
  <c r="AF17" i="23" s="1"/>
  <c r="AF19" i="23" s="1"/>
  <c r="B14" i="23" s="1"/>
  <c r="L8" i="19"/>
  <c r="M8" i="19" s="1"/>
  <c r="AE428" i="28"/>
  <c r="Z446" i="28"/>
  <c r="Z477" i="28" s="1"/>
  <c r="Z508" i="28" s="1"/>
  <c r="Z539" i="28" s="1"/>
  <c r="Z570" i="28" s="1"/>
  <c r="Z601" i="28" s="1"/>
  <c r="B217" i="28"/>
  <c r="B223" i="28" s="1"/>
  <c r="B242" i="28" s="1"/>
  <c r="B198" i="28"/>
  <c r="R384" i="28"/>
  <c r="AG430" i="28" s="1"/>
  <c r="D97" i="28"/>
  <c r="D115" i="28" s="1"/>
  <c r="D235" i="28" s="1"/>
  <c r="F107" i="28"/>
  <c r="F227" i="28" s="1"/>
  <c r="B94" i="28"/>
  <c r="B53" i="28"/>
  <c r="L42" i="24"/>
  <c r="P42" i="24"/>
  <c r="Q404" i="28"/>
  <c r="AF434" i="28" s="1"/>
  <c r="H96" i="28"/>
  <c r="F113" i="28"/>
  <c r="F233" i="28" s="1"/>
  <c r="T399" i="28"/>
  <c r="AG464" i="28" s="1"/>
  <c r="G99" i="28"/>
  <c r="G116" i="28" s="1"/>
  <c r="G236" i="28" s="1"/>
  <c r="R376" i="28"/>
  <c r="B97" i="28"/>
  <c r="D112" i="28"/>
  <c r="D232" i="28" s="1"/>
  <c r="D106" i="28"/>
  <c r="D226" i="28" s="1"/>
  <c r="C113" i="28"/>
  <c r="C233" i="28" s="1"/>
  <c r="B58" i="28"/>
  <c r="AK52" i="24"/>
  <c r="H49" i="28"/>
  <c r="H86" i="28" s="1"/>
  <c r="H180" i="28" s="1"/>
  <c r="H217" i="28" s="1"/>
  <c r="H223" i="28" s="1"/>
  <c r="H242" i="28" s="1"/>
  <c r="H261" i="28" s="1"/>
  <c r="H267" i="28" s="1"/>
  <c r="H273" i="28" s="1"/>
  <c r="H301" i="28" s="1"/>
  <c r="P403" i="28"/>
  <c r="T384" i="28"/>
  <c r="AG461" i="28" s="1"/>
  <c r="D99" i="28"/>
  <c r="D116" i="28" s="1"/>
  <c r="D236" i="28" s="1"/>
  <c r="AI441" i="28"/>
  <c r="H111" i="28"/>
  <c r="H231" i="28" s="1"/>
  <c r="F105" i="28"/>
  <c r="F225" i="28" s="1"/>
  <c r="Q381" i="28"/>
  <c r="AI429" i="28" s="1"/>
  <c r="C60" i="28"/>
  <c r="B57" i="28"/>
  <c r="Q42" i="24"/>
  <c r="T55" i="24"/>
  <c r="T42" i="24"/>
  <c r="O42" i="24"/>
  <c r="P55" i="24"/>
  <c r="Q55" i="24"/>
  <c r="R55" i="24"/>
  <c r="N55" i="24"/>
  <c r="P398" i="28"/>
  <c r="G49" i="28"/>
  <c r="G86" i="28" s="1"/>
  <c r="G180" i="28" s="1"/>
  <c r="R399" i="28"/>
  <c r="AG433" i="28" s="1"/>
  <c r="G97" i="28"/>
  <c r="G115" i="28" s="1"/>
  <c r="G235" i="28" s="1"/>
  <c r="Q385" i="28"/>
  <c r="D60" i="28"/>
  <c r="B59" i="28"/>
  <c r="B92" i="28"/>
  <c r="R42" i="24"/>
  <c r="S55" i="24"/>
  <c r="C198" i="28"/>
  <c r="C217" i="28"/>
  <c r="C223" i="28" s="1"/>
  <c r="C242" i="28" s="1"/>
  <c r="H198" i="28"/>
  <c r="F86" i="28"/>
  <c r="D49" i="28"/>
  <c r="P383" i="28"/>
  <c r="AK45" i="24"/>
  <c r="AK38" i="24"/>
  <c r="AJ52" i="24"/>
  <c r="AK40" i="24"/>
  <c r="AK32" i="24"/>
  <c r="K11" i="19"/>
  <c r="L11" i="19" s="1"/>
  <c r="M11" i="19" s="1"/>
  <c r="K21" i="19"/>
  <c r="L21" i="19" s="1"/>
  <c r="M21" i="19" s="1"/>
  <c r="K37" i="19"/>
  <c r="L37" i="19" s="1"/>
  <c r="M37" i="19" s="1"/>
  <c r="K41" i="19"/>
  <c r="L41" i="19" s="1"/>
  <c r="M41" i="19" s="1"/>
  <c r="K32" i="19"/>
  <c r="L32" i="19" s="1"/>
  <c r="M32" i="19" s="1"/>
  <c r="K46" i="19"/>
  <c r="L46" i="19" s="1"/>
  <c r="M46" i="19" s="1"/>
  <c r="K9" i="19"/>
  <c r="L9" i="19" s="1"/>
  <c r="M9" i="19" s="1"/>
  <c r="K44" i="19"/>
  <c r="L44" i="19" s="1"/>
  <c r="M44" i="19" s="1"/>
  <c r="K29" i="19"/>
  <c r="L29" i="19" s="1"/>
  <c r="M29" i="19" s="1"/>
  <c r="K15" i="19"/>
  <c r="L15" i="19" s="1"/>
  <c r="M15" i="19" s="1"/>
  <c r="K3" i="19"/>
  <c r="L3" i="19" s="1"/>
  <c r="M3" i="19" s="1"/>
  <c r="K50" i="19"/>
  <c r="L50" i="19" s="1"/>
  <c r="M50" i="19" s="1"/>
  <c r="K25" i="19"/>
  <c r="L25" i="19" s="1"/>
  <c r="M25" i="19" s="1"/>
  <c r="K7" i="19"/>
  <c r="L7" i="19" s="1"/>
  <c r="M7" i="19" s="1"/>
  <c r="K5" i="19"/>
  <c r="L5" i="19" s="1"/>
  <c r="M5" i="19" s="1"/>
  <c r="K49" i="19"/>
  <c r="L49" i="19" s="1"/>
  <c r="M49" i="19" s="1"/>
  <c r="K36" i="19"/>
  <c r="L36" i="19" s="1"/>
  <c r="M36" i="19" s="1"/>
  <c r="K42" i="19"/>
  <c r="L42" i="19" s="1"/>
  <c r="M42" i="19" s="1"/>
  <c r="K18" i="19"/>
  <c r="L18" i="19" s="1"/>
  <c r="M18" i="19" s="1"/>
  <c r="K17" i="19"/>
  <c r="L17" i="19" s="1"/>
  <c r="M17" i="19" s="1"/>
  <c r="K47" i="19"/>
  <c r="L47" i="19" s="1"/>
  <c r="M47" i="19" s="1"/>
  <c r="K27" i="19"/>
  <c r="L27" i="19" s="1"/>
  <c r="M27" i="19" s="1"/>
  <c r="K30" i="19"/>
  <c r="L30" i="19" s="1"/>
  <c r="M30" i="19" s="1"/>
  <c r="K35" i="19"/>
  <c r="L35" i="19" s="1"/>
  <c r="M35" i="19" s="1"/>
  <c r="K33" i="19"/>
  <c r="L33" i="19" s="1"/>
  <c r="M33" i="19" s="1"/>
  <c r="K14" i="19"/>
  <c r="L14" i="19" s="1"/>
  <c r="M14" i="19" s="1"/>
  <c r="K45" i="19"/>
  <c r="L45" i="19" s="1"/>
  <c r="M45" i="19" s="1"/>
  <c r="K20" i="19"/>
  <c r="L20" i="19" s="1"/>
  <c r="M20" i="19" s="1"/>
  <c r="K28" i="19"/>
  <c r="L28" i="19" s="1"/>
  <c r="M28" i="19" s="1"/>
  <c r="K12" i="19"/>
  <c r="L12" i="19" s="1"/>
  <c r="M12" i="19" s="1"/>
  <c r="E40" i="11"/>
  <c r="H40" i="11"/>
  <c r="J35" i="11"/>
  <c r="G40" i="11"/>
  <c r="B40" i="11"/>
  <c r="B35" i="11"/>
  <c r="J54" i="11"/>
  <c r="D40" i="11"/>
  <c r="G35" i="11"/>
  <c r="I54" i="11"/>
  <c r="I59" i="11" s="1"/>
  <c r="F25" i="11"/>
  <c r="K54" i="11"/>
  <c r="C40" i="11"/>
  <c r="C49" i="11" s="1"/>
  <c r="K25" i="11"/>
  <c r="H54" i="11"/>
  <c r="F4" i="18"/>
  <c r="D54" i="11" s="1"/>
  <c r="F54" i="11"/>
  <c r="F5" i="18"/>
  <c r="E54" i="11" s="1"/>
  <c r="J40" i="11"/>
  <c r="D25" i="11"/>
  <c r="D49" i="11" s="1"/>
  <c r="D59" i="11" s="1"/>
  <c r="H25" i="11"/>
  <c r="J25" i="11"/>
  <c r="B25" i="11"/>
  <c r="F2" i="18"/>
  <c r="B54" i="11" s="1"/>
  <c r="E25" i="11"/>
  <c r="E49" i="11" s="1"/>
  <c r="G54" i="11"/>
  <c r="F3" i="18"/>
  <c r="C54" i="11" s="1"/>
  <c r="K40" i="11"/>
  <c r="Q401" i="28" s="1"/>
  <c r="AI433" i="28" s="1"/>
  <c r="F35" i="11"/>
  <c r="J73" i="9"/>
  <c r="K33" i="11"/>
  <c r="G33" i="11"/>
  <c r="F92" i="28" s="1"/>
  <c r="E38" i="11"/>
  <c r="G90" i="28" s="1"/>
  <c r="G108" i="28" s="1"/>
  <c r="G228" i="28" s="1"/>
  <c r="G52" i="11"/>
  <c r="F36" i="28" s="1"/>
  <c r="C15" i="11"/>
  <c r="J15" i="11"/>
  <c r="F38" i="11"/>
  <c r="G91" i="28" s="1"/>
  <c r="G109" i="28" s="1"/>
  <c r="G229" i="28" s="1"/>
  <c r="G248" i="28" s="1"/>
  <c r="L33" i="11"/>
  <c r="M33" i="11"/>
  <c r="H19" i="11"/>
  <c r="C93" i="28" s="1"/>
  <c r="D15" i="11"/>
  <c r="C19" i="11"/>
  <c r="C88" i="28" s="1"/>
  <c r="C106" i="28" s="1"/>
  <c r="C226" i="28" s="1"/>
  <c r="K19" i="11"/>
  <c r="F23" i="11"/>
  <c r="D91" i="28" s="1"/>
  <c r="D109" i="28" s="1"/>
  <c r="D229" i="28" s="1"/>
  <c r="K15" i="11"/>
  <c r="G19" i="11"/>
  <c r="C92" i="28" s="1"/>
  <c r="G43" i="11"/>
  <c r="H92" i="28" s="1"/>
  <c r="H110" i="28" s="1"/>
  <c r="H230" i="28" s="1"/>
  <c r="D19" i="11"/>
  <c r="C89" i="28" s="1"/>
  <c r="C107" i="28" s="1"/>
  <c r="C227" i="28" s="1"/>
  <c r="G23" i="11"/>
  <c r="D92" i="28" s="1"/>
  <c r="D110" i="28" s="1"/>
  <c r="D230" i="28" s="1"/>
  <c r="F19" i="11"/>
  <c r="C91" i="28" s="1"/>
  <c r="C109" i="28" s="1"/>
  <c r="C229" i="28" s="1"/>
  <c r="B23" i="11"/>
  <c r="D87" i="28" s="1"/>
  <c r="M15" i="11"/>
  <c r="E52" i="11"/>
  <c r="F34" i="28" s="1"/>
  <c r="I33" i="11"/>
  <c r="F94" i="28" s="1"/>
  <c r="B43" i="11"/>
  <c r="H87" i="28" s="1"/>
  <c r="F33" i="11"/>
  <c r="F91" i="28" s="1"/>
  <c r="F109" i="28" s="1"/>
  <c r="F229" i="28" s="1"/>
  <c r="F15" i="11"/>
  <c r="C43" i="11"/>
  <c r="H88" i="28" s="1"/>
  <c r="H106" i="28" s="1"/>
  <c r="H226" i="28" s="1"/>
  <c r="D38" i="11"/>
  <c r="G89" i="28" s="1"/>
  <c r="G107" i="28" s="1"/>
  <c r="G227" i="28" s="1"/>
  <c r="I19" i="11"/>
  <c r="C94" i="28" s="1"/>
  <c r="H15" i="11"/>
  <c r="D43" i="11"/>
  <c r="H89" i="28" s="1"/>
  <c r="H107" i="28" s="1"/>
  <c r="H227" i="28" s="1"/>
  <c r="H246" i="28" s="1"/>
  <c r="E23" i="11"/>
  <c r="D90" i="28" s="1"/>
  <c r="E43" i="11"/>
  <c r="H90" i="28" s="1"/>
  <c r="H108" i="28" s="1"/>
  <c r="H228" i="28" s="1"/>
  <c r="B15" i="11"/>
  <c r="B87" i="28" s="1"/>
  <c r="B21" i="17"/>
  <c r="B37" i="17" s="1"/>
  <c r="I3" i="17"/>
  <c r="J43" i="11"/>
  <c r="H95" i="28" s="1"/>
  <c r="H113" i="28" s="1"/>
  <c r="H233" i="28" s="1"/>
  <c r="K38" i="11"/>
  <c r="G38" i="11"/>
  <c r="G92" i="28" s="1"/>
  <c r="G110" i="28" s="1"/>
  <c r="G230" i="28" s="1"/>
  <c r="E33" i="11"/>
  <c r="F90" i="28" s="1"/>
  <c r="F108" i="28" s="1"/>
  <c r="F228" i="28" s="1"/>
  <c r="F247" i="28" s="1"/>
  <c r="J23" i="11"/>
  <c r="D95" i="28" s="1"/>
  <c r="D113" i="28" s="1"/>
  <c r="D233" i="28" s="1"/>
  <c r="H23" i="11"/>
  <c r="D93" i="28" s="1"/>
  <c r="D111" i="28" s="1"/>
  <c r="D231" i="28" s="1"/>
  <c r="D250" i="28" s="1"/>
  <c r="E15" i="11"/>
  <c r="K23" i="11"/>
  <c r="C38" i="11"/>
  <c r="G88" i="28" s="1"/>
  <c r="G106" i="28" s="1"/>
  <c r="G226" i="28" s="1"/>
  <c r="B19" i="11"/>
  <c r="C87" i="28" s="1"/>
  <c r="G16" i="11"/>
  <c r="K16" i="11"/>
  <c r="H20" i="11"/>
  <c r="C57" i="28" s="1"/>
  <c r="G34" i="11"/>
  <c r="F56" i="28" s="1"/>
  <c r="M73" i="9"/>
  <c r="M74" i="9"/>
  <c r="D53" i="11"/>
  <c r="C16" i="11"/>
  <c r="D20" i="18"/>
  <c r="C11" i="11"/>
  <c r="B32" i="28" s="1"/>
  <c r="E24" i="11"/>
  <c r="D54" i="28" s="1"/>
  <c r="D24" i="11"/>
  <c r="D53" i="28" s="1"/>
  <c r="C34" i="11"/>
  <c r="F52" i="28" s="1"/>
  <c r="B16" i="11"/>
  <c r="H29" i="9"/>
  <c r="H34" i="11"/>
  <c r="F57" i="28" s="1"/>
  <c r="J39" i="11"/>
  <c r="G59" i="28" s="1"/>
  <c r="E20" i="18"/>
  <c r="D337" i="28" s="1"/>
  <c r="D351" i="28" s="1"/>
  <c r="B39" i="11"/>
  <c r="G51" i="28" s="1"/>
  <c r="I34" i="11"/>
  <c r="F58" i="28" s="1"/>
  <c r="B44" i="11"/>
  <c r="H51" i="28" s="1"/>
  <c r="G6" i="9"/>
  <c r="K44" i="11"/>
  <c r="I20" i="11"/>
  <c r="C58" i="28" s="1"/>
  <c r="G20" i="11"/>
  <c r="C56" i="28" s="1"/>
  <c r="E20" i="11"/>
  <c r="C54" i="28" s="1"/>
  <c r="I44" i="11"/>
  <c r="H58" i="28" s="1"/>
  <c r="I39" i="11"/>
  <c r="G58" i="28" s="1"/>
  <c r="F44" i="11"/>
  <c r="H55" i="28" s="1"/>
  <c r="F16" i="11"/>
  <c r="H39" i="11"/>
  <c r="G57" i="28" s="1"/>
  <c r="B20" i="11"/>
  <c r="C51" i="28" s="1"/>
  <c r="K39" i="11"/>
  <c r="B24" i="11"/>
  <c r="D51" i="28" s="1"/>
  <c r="B20" i="18"/>
  <c r="E16" i="11"/>
  <c r="C177" i="19"/>
  <c r="C9" i="29" s="1"/>
  <c r="C174" i="19"/>
  <c r="C6" i="29" s="1"/>
  <c r="D181" i="19"/>
  <c r="D179" i="19"/>
  <c r="AD31" i="24"/>
  <c r="AK31" i="24" s="1"/>
  <c r="AC54" i="24"/>
  <c r="AK54" i="24" s="1"/>
  <c r="AC46" i="24"/>
  <c r="AK46" i="24" s="1"/>
  <c r="D69" i="19"/>
  <c r="C84" i="19"/>
  <c r="D103" i="19"/>
  <c r="D6" i="19"/>
  <c r="K6" i="19" s="1"/>
  <c r="L6" i="19" s="1"/>
  <c r="M6" i="19" s="1"/>
  <c r="C65" i="19"/>
  <c r="Z48" i="24"/>
  <c r="C109" i="19"/>
  <c r="C104" i="19"/>
  <c r="V39" i="24"/>
  <c r="AJ39" i="24" s="1"/>
  <c r="D93" i="19"/>
  <c r="AA34" i="24"/>
  <c r="C71" i="19"/>
  <c r="C110" i="19"/>
  <c r="Z41" i="24"/>
  <c r="C24" i="19"/>
  <c r="K24" i="19" s="1"/>
  <c r="L24" i="19" s="1"/>
  <c r="M24" i="19" s="1"/>
  <c r="V43" i="24"/>
  <c r="AJ43" i="24" s="1"/>
  <c r="AE44" i="24"/>
  <c r="AK44" i="24" s="1"/>
  <c r="C48" i="19"/>
  <c r="K48" i="19" s="1"/>
  <c r="L48" i="19" s="1"/>
  <c r="M48" i="19" s="1"/>
  <c r="C112" i="19"/>
  <c r="Z36" i="24"/>
  <c r="D79" i="19"/>
  <c r="Y40" i="24"/>
  <c r="Z53" i="24"/>
  <c r="AB43" i="24"/>
  <c r="AB55" i="24" s="1"/>
  <c r="D31" i="19"/>
  <c r="K31" i="19" s="1"/>
  <c r="L31" i="19" s="1"/>
  <c r="M31" i="19" s="1"/>
  <c r="Z51" i="24"/>
  <c r="Y53" i="24"/>
  <c r="Y50" i="24"/>
  <c r="AB30" i="24"/>
  <c r="AD37" i="24"/>
  <c r="AA37" i="24"/>
  <c r="D65" i="19"/>
  <c r="D173" i="19" s="1"/>
  <c r="C115" i="19"/>
  <c r="V41" i="24"/>
  <c r="AE32" i="24"/>
  <c r="AJ32" i="24" s="1"/>
  <c r="AB33" i="24"/>
  <c r="AC41" i="24"/>
  <c r="C120" i="19"/>
  <c r="X46" i="24"/>
  <c r="AJ46" i="24" s="1"/>
  <c r="D52" i="19"/>
  <c r="Y48" i="24"/>
  <c r="AJ48" i="24" s="1"/>
  <c r="U42" i="24"/>
  <c r="C4" i="19"/>
  <c r="K4" i="19" s="1"/>
  <c r="L4" i="19" s="1"/>
  <c r="M4" i="19" s="1"/>
  <c r="AE46" i="24"/>
  <c r="D114" i="19"/>
  <c r="C22" i="19"/>
  <c r="D26" i="19"/>
  <c r="K26" i="19" s="1"/>
  <c r="L26" i="19" s="1"/>
  <c r="M26" i="19" s="1"/>
  <c r="W54" i="24"/>
  <c r="X41" i="24"/>
  <c r="C38" i="19"/>
  <c r="K38" i="19" s="1"/>
  <c r="L38" i="19" s="1"/>
  <c r="M38" i="19" s="1"/>
  <c r="D34" i="19"/>
  <c r="K34" i="19" s="1"/>
  <c r="L34" i="19" s="1"/>
  <c r="M34" i="19" s="1"/>
  <c r="X50" i="24"/>
  <c r="Z37" i="24"/>
  <c r="C58" i="19"/>
  <c r="D19" i="19"/>
  <c r="W47" i="24"/>
  <c r="D40" i="19"/>
  <c r="K40" i="19" s="1"/>
  <c r="L40" i="19" s="1"/>
  <c r="M40" i="19" s="1"/>
  <c r="Y44" i="24"/>
  <c r="AA42" i="24"/>
  <c r="X43" i="24"/>
  <c r="C43" i="19"/>
  <c r="K43" i="19" s="1"/>
  <c r="L43" i="19" s="1"/>
  <c r="M43" i="19" s="1"/>
  <c r="D108" i="19"/>
  <c r="C13" i="19"/>
  <c r="K13" i="19" s="1"/>
  <c r="L13" i="19" s="1"/>
  <c r="M13" i="19" s="1"/>
  <c r="AA53" i="24"/>
  <c r="X34" i="24"/>
  <c r="X42" i="24" s="1"/>
  <c r="AD51" i="24"/>
  <c r="AE51" i="24"/>
  <c r="C99" i="19"/>
  <c r="Z49" i="24"/>
  <c r="V45" i="24"/>
  <c r="C61" i="19"/>
  <c r="V38" i="24"/>
  <c r="D22" i="19"/>
  <c r="W50" i="24"/>
  <c r="C94" i="19"/>
  <c r="AC37" i="24"/>
  <c r="AB35" i="24"/>
  <c r="AJ35" i="24" s="1"/>
  <c r="C80" i="19"/>
  <c r="D55" i="19"/>
  <c r="Z47" i="24"/>
  <c r="AK47" i="24" s="1"/>
  <c r="C19" i="19"/>
  <c r="K19" i="19" s="1"/>
  <c r="L19" i="19" s="1"/>
  <c r="M19" i="19" s="1"/>
  <c r="W34" i="24"/>
  <c r="AJ34" i="24" s="1"/>
  <c r="D99" i="19"/>
  <c r="D171" i="19" s="1"/>
  <c r="AD43" i="24"/>
  <c r="U44" i="24"/>
  <c r="AJ44" i="24" s="1"/>
  <c r="V50" i="24"/>
  <c r="D10" i="19"/>
  <c r="AA48" i="24"/>
  <c r="D68" i="19"/>
  <c r="AC50" i="24"/>
  <c r="AK50" i="24" s="1"/>
  <c r="C116" i="19"/>
  <c r="AE35" i="24"/>
  <c r="Z30" i="24"/>
  <c r="AK30" i="24" s="1"/>
  <c r="C51" i="19"/>
  <c r="V54" i="24"/>
  <c r="AJ54" i="24" s="1"/>
  <c r="AC36" i="24"/>
  <c r="D16" i="19"/>
  <c r="K16" i="19" s="1"/>
  <c r="L16" i="19" s="1"/>
  <c r="M16" i="19" s="1"/>
  <c r="C97" i="19"/>
  <c r="V53" i="24"/>
  <c r="AJ53" i="24" s="1"/>
  <c r="C39" i="19"/>
  <c r="K39" i="19" s="1"/>
  <c r="L39" i="19" s="1"/>
  <c r="M39" i="19" s="1"/>
  <c r="Z34" i="24"/>
  <c r="AK34" i="24" s="1"/>
  <c r="D102" i="19"/>
  <c r="C59" i="19"/>
  <c r="C23" i="19"/>
  <c r="K23" i="19" s="1"/>
  <c r="L23" i="19" s="1"/>
  <c r="M23" i="19" s="1"/>
  <c r="W38" i="24"/>
  <c r="AJ38" i="24" s="1"/>
  <c r="AE37" i="24"/>
  <c r="C118" i="19"/>
  <c r="V37" i="24"/>
  <c r="C10" i="19"/>
  <c r="AC39" i="24"/>
  <c r="C96" i="19"/>
  <c r="P32" i="23"/>
  <c r="N26" i="23"/>
  <c r="P15" i="23"/>
  <c r="P56" i="23"/>
  <c r="M19" i="23"/>
  <c r="N19" i="23" s="1"/>
  <c r="N18" i="23"/>
  <c r="L22" i="23"/>
  <c r="U19" i="23"/>
  <c r="B3" i="23" s="1"/>
  <c r="P53" i="23"/>
  <c r="P55" i="23"/>
  <c r="O51" i="23"/>
  <c r="O59" i="23" s="1"/>
  <c r="L36" i="23"/>
  <c r="M59" i="23"/>
  <c r="L26" i="23"/>
  <c r="P57" i="23"/>
  <c r="J228" i="19"/>
  <c r="J229" i="19" s="1"/>
  <c r="J230" i="19" s="1"/>
  <c r="J231" i="19" s="1"/>
  <c r="J232" i="19" s="1"/>
  <c r="J233" i="19" s="1"/>
  <c r="J222" i="19"/>
  <c r="J223" i="19" s="1"/>
  <c r="J224" i="19" s="1"/>
  <c r="J225" i="19" s="1"/>
  <c r="J226" i="19" s="1"/>
  <c r="B204" i="19"/>
  <c r="B165" i="28" s="1"/>
  <c r="B202" i="19"/>
  <c r="B206" i="19"/>
  <c r="B199" i="19"/>
  <c r="B200" i="19"/>
  <c r="B198" i="19"/>
  <c r="B159" i="28" s="1"/>
  <c r="B205" i="19"/>
  <c r="B203" i="19"/>
  <c r="B201" i="19"/>
  <c r="D252" i="28" l="1"/>
  <c r="F248" i="28"/>
  <c r="G249" i="28"/>
  <c r="G247" i="28"/>
  <c r="E59" i="11"/>
  <c r="H49" i="11"/>
  <c r="H59" i="11" s="1"/>
  <c r="C59" i="11"/>
  <c r="G49" i="11"/>
  <c r="G59" i="11" s="1"/>
  <c r="H247" i="28"/>
  <c r="C246" i="28"/>
  <c r="D225" i="29"/>
  <c r="D225" i="19"/>
  <c r="C238" i="29"/>
  <c r="C238" i="19"/>
  <c r="G246" i="28"/>
  <c r="H250" i="28"/>
  <c r="C240" i="29"/>
  <c r="C240" i="19"/>
  <c r="D236" i="29"/>
  <c r="D236" i="19"/>
  <c r="D249" i="28"/>
  <c r="C244" i="29"/>
  <c r="C244" i="19"/>
  <c r="C226" i="29"/>
  <c r="C226" i="19"/>
  <c r="C222" i="29"/>
  <c r="C222" i="19"/>
  <c r="D246" i="29"/>
  <c r="D246" i="19"/>
  <c r="D247" i="29"/>
  <c r="D247" i="19"/>
  <c r="D183" i="19"/>
  <c r="D3" i="29"/>
  <c r="D15" i="29" s="1"/>
  <c r="D27" i="29" s="1"/>
  <c r="D39" i="29" s="1"/>
  <c r="D51" i="29" s="1"/>
  <c r="D63" i="29" s="1"/>
  <c r="D75" i="29" s="1"/>
  <c r="D87" i="29" s="1"/>
  <c r="D99" i="29" s="1"/>
  <c r="D111" i="29" s="1"/>
  <c r="D123" i="29" s="1"/>
  <c r="D135" i="29" s="1"/>
  <c r="D147" i="29" s="1"/>
  <c r="D159" i="29" s="1"/>
  <c r="D171" i="29" s="1"/>
  <c r="D183" i="29" s="1"/>
  <c r="B10" i="9"/>
  <c r="F10" i="9" s="1"/>
  <c r="B163" i="28"/>
  <c r="D229" i="29"/>
  <c r="D229" i="19"/>
  <c r="AJ50" i="24"/>
  <c r="AJ41" i="24"/>
  <c r="AK41" i="24"/>
  <c r="AK48" i="24"/>
  <c r="C223" i="29"/>
  <c r="C223" i="19"/>
  <c r="C21" i="29"/>
  <c r="Q400" i="28"/>
  <c r="G60" i="28"/>
  <c r="H109" i="28"/>
  <c r="H229" i="28" s="1"/>
  <c r="H248" i="28" s="1"/>
  <c r="C110" i="28"/>
  <c r="C230" i="28" s="1"/>
  <c r="C249" i="28" s="1"/>
  <c r="H105" i="28"/>
  <c r="H225" i="28" s="1"/>
  <c r="H245" i="28" s="1"/>
  <c r="G113" i="28"/>
  <c r="G233" i="28" s="1"/>
  <c r="F106" i="28"/>
  <c r="F226" i="28" s="1"/>
  <c r="F245" i="28" s="1"/>
  <c r="C337" i="28"/>
  <c r="B56" i="28"/>
  <c r="G48" i="11"/>
  <c r="B90" i="28"/>
  <c r="I90" i="28" s="1"/>
  <c r="E47" i="11"/>
  <c r="E57" i="11" s="1"/>
  <c r="B35" i="17"/>
  <c r="B17" i="17" s="1"/>
  <c r="B214" i="28"/>
  <c r="R394" i="28"/>
  <c r="AG432" i="28" s="1"/>
  <c r="F97" i="28"/>
  <c r="F115" i="28" s="1"/>
  <c r="F235" i="28" s="1"/>
  <c r="J49" i="11"/>
  <c r="J59" i="11" s="1"/>
  <c r="Q386" i="28"/>
  <c r="K49" i="11"/>
  <c r="K59" i="11" s="1"/>
  <c r="AK43" i="24"/>
  <c r="C230" i="29"/>
  <c r="C230" i="19"/>
  <c r="G47" i="11"/>
  <c r="G57" i="11" s="1"/>
  <c r="AF464" i="28"/>
  <c r="AM464" i="28" s="1"/>
  <c r="AN433" i="28"/>
  <c r="I57" i="28"/>
  <c r="D255" i="28"/>
  <c r="D256" i="28"/>
  <c r="D231" i="29"/>
  <c r="D231" i="19"/>
  <c r="B112" i="28"/>
  <c r="B232" i="28" s="1"/>
  <c r="I58" i="28"/>
  <c r="D251" i="28"/>
  <c r="AG428" i="28"/>
  <c r="AJ30" i="24"/>
  <c r="I53" i="28"/>
  <c r="C171" i="19"/>
  <c r="C3" i="29" s="1"/>
  <c r="D237" i="29"/>
  <c r="D237" i="19"/>
  <c r="D223" i="29"/>
  <c r="D223" i="19"/>
  <c r="D245" i="29"/>
  <c r="D245" i="19"/>
  <c r="D224" i="29"/>
  <c r="D224" i="19"/>
  <c r="I92" i="28"/>
  <c r="G217" i="28"/>
  <c r="G223" i="28" s="1"/>
  <c r="G242" i="28" s="1"/>
  <c r="G261" i="28" s="1"/>
  <c r="G267" i="28" s="1"/>
  <c r="G273" i="28" s="1"/>
  <c r="G301" i="28" s="1"/>
  <c r="D316" i="28" s="1"/>
  <c r="G198" i="28"/>
  <c r="AG492" i="28"/>
  <c r="AN461" i="28"/>
  <c r="G255" i="28"/>
  <c r="G256" i="28"/>
  <c r="I47" i="11"/>
  <c r="AF461" i="28"/>
  <c r="AM461" i="28" s="1"/>
  <c r="AN430" i="28"/>
  <c r="AE459" i="28"/>
  <c r="AE437" i="28"/>
  <c r="B9" i="9"/>
  <c r="F9" i="9" s="1"/>
  <c r="B162" i="28"/>
  <c r="B8" i="9"/>
  <c r="F8" i="9" s="1"/>
  <c r="B161" i="28"/>
  <c r="D241" i="29"/>
  <c r="D241" i="19"/>
  <c r="C245" i="29"/>
  <c r="C245" i="19"/>
  <c r="D191" i="19"/>
  <c r="D11" i="29"/>
  <c r="D23" i="29" s="1"/>
  <c r="D35" i="29" s="1"/>
  <c r="D47" i="29" s="1"/>
  <c r="D59" i="29" s="1"/>
  <c r="D71" i="29" s="1"/>
  <c r="D83" i="29" s="1"/>
  <c r="D95" i="29" s="1"/>
  <c r="D107" i="29" s="1"/>
  <c r="D119" i="29" s="1"/>
  <c r="D131" i="29" s="1"/>
  <c r="D143" i="29" s="1"/>
  <c r="D155" i="29" s="1"/>
  <c r="D167" i="29" s="1"/>
  <c r="D179" i="29" s="1"/>
  <c r="D191" i="29" s="1"/>
  <c r="B54" i="28"/>
  <c r="E48" i="11"/>
  <c r="C105" i="28"/>
  <c r="C225" i="28" s="1"/>
  <c r="C245" i="28" s="1"/>
  <c r="G112" i="28"/>
  <c r="G232" i="28" s="1"/>
  <c r="C112" i="28"/>
  <c r="C232" i="28" s="1"/>
  <c r="F112" i="28"/>
  <c r="F232" i="28" s="1"/>
  <c r="F252" i="28" s="1"/>
  <c r="F111" i="28"/>
  <c r="F231" i="28" s="1"/>
  <c r="D107" i="28"/>
  <c r="D227" i="28" s="1"/>
  <c r="D246" i="28" s="1"/>
  <c r="B52" i="28"/>
  <c r="C48" i="11"/>
  <c r="F110" i="28"/>
  <c r="F230" i="28" s="1"/>
  <c r="F249" i="28" s="1"/>
  <c r="Q399" i="28"/>
  <c r="AF433" i="28" s="1"/>
  <c r="AF442" i="28" s="1"/>
  <c r="G96" i="28"/>
  <c r="I87" i="28"/>
  <c r="B93" i="28"/>
  <c r="I93" i="28" s="1"/>
  <c r="H47" i="11"/>
  <c r="B91" i="28"/>
  <c r="I91" i="28" s="1"/>
  <c r="F47" i="11"/>
  <c r="Q376" i="28"/>
  <c r="B96" i="28"/>
  <c r="K47" i="11"/>
  <c r="B89" i="28"/>
  <c r="I89" i="28" s="1"/>
  <c r="D47" i="11"/>
  <c r="C224" i="29"/>
  <c r="C224" i="19"/>
  <c r="B11" i="9"/>
  <c r="F11" i="9" s="1"/>
  <c r="B164" i="28"/>
  <c r="B7" i="9"/>
  <c r="F7" i="9" s="1"/>
  <c r="B160" i="28"/>
  <c r="D226" i="29"/>
  <c r="D226" i="19"/>
  <c r="AJ37" i="24"/>
  <c r="AJ47" i="24"/>
  <c r="D185" i="19"/>
  <c r="D5" i="29"/>
  <c r="D193" i="19"/>
  <c r="D13" i="29"/>
  <c r="D25" i="29" s="1"/>
  <c r="D37" i="29" s="1"/>
  <c r="D49" i="29" s="1"/>
  <c r="D61" i="29" s="1"/>
  <c r="D73" i="29" s="1"/>
  <c r="D85" i="29" s="1"/>
  <c r="D97" i="29" s="1"/>
  <c r="D109" i="29" s="1"/>
  <c r="D121" i="29" s="1"/>
  <c r="D133" i="29" s="1"/>
  <c r="D145" i="29" s="1"/>
  <c r="D157" i="29" s="1"/>
  <c r="D169" i="29" s="1"/>
  <c r="D181" i="29" s="1"/>
  <c r="D193" i="29" s="1"/>
  <c r="B35" i="18"/>
  <c r="B337" i="28"/>
  <c r="G111" i="28"/>
  <c r="G231" i="28" s="1"/>
  <c r="G250" i="28" s="1"/>
  <c r="H112" i="28"/>
  <c r="H232" i="28" s="1"/>
  <c r="H251" i="28" s="1"/>
  <c r="Q405" i="28"/>
  <c r="AI434" i="28" s="1"/>
  <c r="H60" i="28"/>
  <c r="G105" i="28"/>
  <c r="G225" i="28" s="1"/>
  <c r="G245" i="28" s="1"/>
  <c r="D108" i="28"/>
  <c r="D228" i="28" s="1"/>
  <c r="C111" i="28"/>
  <c r="C231" i="28" s="1"/>
  <c r="T376" i="28"/>
  <c r="B99" i="28"/>
  <c r="B95" i="28"/>
  <c r="I95" i="28" s="1"/>
  <c r="J47" i="11"/>
  <c r="AI442" i="28"/>
  <c r="C232" i="29"/>
  <c r="C232" i="19"/>
  <c r="AK35" i="24"/>
  <c r="J48" i="11"/>
  <c r="AI438" i="28"/>
  <c r="AG495" i="28"/>
  <c r="AN464" i="28"/>
  <c r="AM473" i="28" s="1"/>
  <c r="I94" i="28"/>
  <c r="F246" i="28"/>
  <c r="C241" i="29"/>
  <c r="C241" i="19"/>
  <c r="B13" i="9"/>
  <c r="F13" i="9" s="1"/>
  <c r="B166" i="28"/>
  <c r="B14" i="9"/>
  <c r="F14" i="9" s="1"/>
  <c r="B167" i="28"/>
  <c r="D239" i="29"/>
  <c r="D239" i="19"/>
  <c r="D233" i="29"/>
  <c r="D233" i="19"/>
  <c r="C18" i="29"/>
  <c r="D105" i="28"/>
  <c r="D225" i="28" s="1"/>
  <c r="D245" i="28" s="1"/>
  <c r="B55" i="28"/>
  <c r="F48" i="11"/>
  <c r="C108" i="28"/>
  <c r="C228" i="28" s="1"/>
  <c r="C247" i="28" s="1"/>
  <c r="B51" i="28"/>
  <c r="B48" i="11"/>
  <c r="Q377" i="28"/>
  <c r="B60" i="28"/>
  <c r="Q384" i="28"/>
  <c r="AF430" i="28" s="1"/>
  <c r="AF439" i="28" s="1"/>
  <c r="D96" i="28"/>
  <c r="D114" i="28" s="1"/>
  <c r="D234" i="28" s="1"/>
  <c r="Q380" i="28"/>
  <c r="AF429" i="28" s="1"/>
  <c r="AM429" i="28" s="1"/>
  <c r="C96" i="28"/>
  <c r="C114" i="28" s="1"/>
  <c r="C234" i="28" s="1"/>
  <c r="C253" i="28" s="1"/>
  <c r="T394" i="28"/>
  <c r="AG463" i="28" s="1"/>
  <c r="F99" i="28"/>
  <c r="F116" i="28" s="1"/>
  <c r="F236" i="28" s="1"/>
  <c r="B88" i="28"/>
  <c r="I88" i="28" s="1"/>
  <c r="C47" i="11"/>
  <c r="Q394" i="28"/>
  <c r="AF432" i="28" s="1"/>
  <c r="AM432" i="28" s="1"/>
  <c r="F96" i="28"/>
  <c r="B49" i="11"/>
  <c r="B59" i="11" s="1"/>
  <c r="F49" i="11"/>
  <c r="F59" i="11" s="1"/>
  <c r="I59" i="28"/>
  <c r="H48" i="11"/>
  <c r="I48" i="11"/>
  <c r="B115" i="28"/>
  <c r="B235" i="28" s="1"/>
  <c r="D48" i="11"/>
  <c r="D58" i="11" s="1"/>
  <c r="B261" i="28"/>
  <c r="B267" i="28" s="1"/>
  <c r="B273" i="28" s="1"/>
  <c r="B301" i="28" s="1"/>
  <c r="B285" i="28"/>
  <c r="B294" i="28" s="1"/>
  <c r="C285" i="28"/>
  <c r="C294" i="28" s="1"/>
  <c r="C261" i="28"/>
  <c r="C267" i="28" s="1"/>
  <c r="C273" i="28" s="1"/>
  <c r="C301" i="28" s="1"/>
  <c r="P379" i="28" s="1"/>
  <c r="F180" i="28"/>
  <c r="D86" i="28"/>
  <c r="D180" i="28" s="1"/>
  <c r="AK51" i="24"/>
  <c r="AK49" i="24"/>
  <c r="AK37" i="24"/>
  <c r="AJ31" i="24"/>
  <c r="AK36" i="24"/>
  <c r="AJ36" i="24"/>
  <c r="AJ45" i="24"/>
  <c r="AK33" i="24"/>
  <c r="AJ51" i="24"/>
  <c r="AC42" i="24"/>
  <c r="AE42" i="24"/>
  <c r="AK53" i="24"/>
  <c r="AJ33" i="24"/>
  <c r="AJ40" i="24"/>
  <c r="AJ49" i="24"/>
  <c r="AK39" i="24"/>
  <c r="K10" i="19"/>
  <c r="L10" i="19" s="1"/>
  <c r="M10" i="19" s="1"/>
  <c r="D182" i="19"/>
  <c r="C173" i="19"/>
  <c r="D178" i="19"/>
  <c r="K22" i="19"/>
  <c r="H4" i="11"/>
  <c r="B12" i="9"/>
  <c r="F12" i="9" s="1"/>
  <c r="C183" i="19"/>
  <c r="D175" i="19"/>
  <c r="H46" i="9"/>
  <c r="H62" i="9" s="1"/>
  <c r="B258" i="28" s="1"/>
  <c r="D52" i="11"/>
  <c r="F33" i="28" s="1"/>
  <c r="C52" i="11"/>
  <c r="F32" i="28" s="1"/>
  <c r="G32" i="28" s="1"/>
  <c r="B47" i="11"/>
  <c r="K52" i="11"/>
  <c r="F40" i="28" s="1"/>
  <c r="B52" i="11"/>
  <c r="F31" i="28" s="1"/>
  <c r="F52" i="11"/>
  <c r="F35" i="28" s="1"/>
  <c r="G35" i="28" s="1"/>
  <c r="H52" i="11"/>
  <c r="F37" i="28" s="1"/>
  <c r="G37" i="28" s="1"/>
  <c r="I52" i="11"/>
  <c r="F38" i="28" s="1"/>
  <c r="J52" i="11"/>
  <c r="F39" i="28" s="1"/>
  <c r="D11" i="11"/>
  <c r="B33" i="28" s="1"/>
  <c r="C53" i="11"/>
  <c r="F53" i="11"/>
  <c r="F11" i="11"/>
  <c r="B35" i="28" s="1"/>
  <c r="J74" i="9"/>
  <c r="G53" i="11"/>
  <c r="G11" i="11"/>
  <c r="B36" i="28" s="1"/>
  <c r="J53" i="11"/>
  <c r="J11" i="11"/>
  <c r="B39" i="28" s="1"/>
  <c r="H11" i="11"/>
  <c r="B37" i="28" s="1"/>
  <c r="H53" i="11"/>
  <c r="B11" i="11"/>
  <c r="B31" i="28" s="1"/>
  <c r="B53" i="11"/>
  <c r="I11" i="11"/>
  <c r="B38" i="28" s="1"/>
  <c r="I53" i="11"/>
  <c r="E11" i="11"/>
  <c r="B34" i="28" s="1"/>
  <c r="E53" i="11"/>
  <c r="C3" i="23"/>
  <c r="D3" i="23" s="1"/>
  <c r="B20" i="23" s="1"/>
  <c r="D180" i="19"/>
  <c r="C181" i="19"/>
  <c r="C13" i="29" s="1"/>
  <c r="C172" i="19"/>
  <c r="C4" i="29" s="1"/>
  <c r="D174" i="19"/>
  <c r="C182" i="19"/>
  <c r="C14" i="29" s="1"/>
  <c r="D172" i="19"/>
  <c r="C186" i="19"/>
  <c r="D177" i="19"/>
  <c r="C176" i="19"/>
  <c r="C8" i="29" s="1"/>
  <c r="D176" i="19"/>
  <c r="C179" i="19"/>
  <c r="C11" i="29" s="1"/>
  <c r="C178" i="19"/>
  <c r="C10" i="29" s="1"/>
  <c r="C180" i="19"/>
  <c r="C12" i="29" s="1"/>
  <c r="C175" i="19"/>
  <c r="C7" i="29" s="1"/>
  <c r="C189" i="19"/>
  <c r="K201" i="19"/>
  <c r="C162" i="28" s="1"/>
  <c r="K200" i="19"/>
  <c r="Z55" i="24"/>
  <c r="Y55" i="24"/>
  <c r="AC55" i="24"/>
  <c r="AB42" i="24"/>
  <c r="AE55" i="24"/>
  <c r="AD42" i="24"/>
  <c r="AD55" i="24"/>
  <c r="Y42" i="24"/>
  <c r="W42" i="24"/>
  <c r="U55" i="24"/>
  <c r="V55" i="24"/>
  <c r="X55" i="24"/>
  <c r="W55" i="24"/>
  <c r="V42" i="24"/>
  <c r="AA55" i="24"/>
  <c r="Z42" i="24"/>
  <c r="M22" i="23"/>
  <c r="O18" i="23"/>
  <c r="O19" i="23"/>
  <c r="P19" i="23" s="1"/>
  <c r="N20" i="23"/>
  <c r="N22" i="23" s="1"/>
  <c r="P51" i="23"/>
  <c r="P59" i="23" s="1"/>
  <c r="L30" i="23"/>
  <c r="P26" i="23"/>
  <c r="M27" i="23" s="1"/>
  <c r="L38" i="23"/>
  <c r="I4" i="11"/>
  <c r="F4" i="11"/>
  <c r="E4" i="11"/>
  <c r="B4" i="11"/>
  <c r="B6" i="9"/>
  <c r="C4" i="11"/>
  <c r="G4" i="11"/>
  <c r="D4" i="11"/>
  <c r="J4" i="11"/>
  <c r="D247" i="28" l="1"/>
  <c r="D162" i="28"/>
  <c r="C250" i="28"/>
  <c r="B111" i="28"/>
  <c r="B231" i="28" s="1"/>
  <c r="B251" i="28" s="1"/>
  <c r="G40" i="28"/>
  <c r="AF473" i="28"/>
  <c r="AM433" i="28"/>
  <c r="G38" i="28"/>
  <c r="F250" i="28"/>
  <c r="D253" i="28"/>
  <c r="D254" i="28"/>
  <c r="C19" i="29"/>
  <c r="C25" i="29"/>
  <c r="K13" i="29"/>
  <c r="C33" i="28"/>
  <c r="D189" i="19"/>
  <c r="D9" i="29"/>
  <c r="B21" i="23"/>
  <c r="F52" i="29" s="1"/>
  <c r="F51" i="29"/>
  <c r="C36" i="28"/>
  <c r="K11" i="29"/>
  <c r="C23" i="29"/>
  <c r="C16" i="29"/>
  <c r="C38" i="28"/>
  <c r="C37" i="28"/>
  <c r="D187" i="19"/>
  <c r="D7" i="29"/>
  <c r="D19" i="29" s="1"/>
  <c r="D31" i="29" s="1"/>
  <c r="D43" i="29" s="1"/>
  <c r="D55" i="29" s="1"/>
  <c r="D67" i="29" s="1"/>
  <c r="D79" i="29" s="1"/>
  <c r="D91" i="29" s="1"/>
  <c r="D103" i="29" s="1"/>
  <c r="D115" i="29" s="1"/>
  <c r="D127" i="29" s="1"/>
  <c r="D139" i="29" s="1"/>
  <c r="D151" i="29" s="1"/>
  <c r="D163" i="29" s="1"/>
  <c r="D175" i="29" s="1"/>
  <c r="D187" i="29" s="1"/>
  <c r="C185" i="19"/>
  <c r="C5" i="29"/>
  <c r="C17" i="29" s="1"/>
  <c r="C231" i="29"/>
  <c r="C231" i="19"/>
  <c r="D232" i="29"/>
  <c r="D232" i="19"/>
  <c r="C225" i="29"/>
  <c r="C225" i="19"/>
  <c r="C237" i="29"/>
  <c r="C237" i="19"/>
  <c r="B114" i="28"/>
  <c r="B234" i="28" s="1"/>
  <c r="B254" i="28" s="1"/>
  <c r="F58" i="11"/>
  <c r="C227" i="29"/>
  <c r="C227" i="19"/>
  <c r="D240" i="29"/>
  <c r="D240" i="19"/>
  <c r="K57" i="11"/>
  <c r="F57" i="11"/>
  <c r="F251" i="28"/>
  <c r="G251" i="28"/>
  <c r="I54" i="28"/>
  <c r="B108" i="28"/>
  <c r="B228" i="28" s="1"/>
  <c r="AF523" i="28"/>
  <c r="AF501" i="28"/>
  <c r="AN492" i="28"/>
  <c r="AM501" i="28" s="1"/>
  <c r="D355" i="28"/>
  <c r="H316" i="28"/>
  <c r="D335" i="28"/>
  <c r="AI430" i="28"/>
  <c r="Q410" i="28"/>
  <c r="AF463" i="28"/>
  <c r="AM463" i="28" s="1"/>
  <c r="AF441" i="28"/>
  <c r="AN432" i="28"/>
  <c r="AM441" i="28" s="1"/>
  <c r="G252" i="28"/>
  <c r="C233" i="29"/>
  <c r="C233" i="19"/>
  <c r="D248" i="28"/>
  <c r="D238" i="29"/>
  <c r="D238" i="19"/>
  <c r="C229" i="29"/>
  <c r="C229" i="19"/>
  <c r="I58" i="11"/>
  <c r="F255" i="28"/>
  <c r="F256" i="28"/>
  <c r="AI428" i="28"/>
  <c r="B105" i="28"/>
  <c r="B225" i="28" s="1"/>
  <c r="I51" i="28"/>
  <c r="B109" i="28"/>
  <c r="B229" i="28" s="1"/>
  <c r="B248" i="28" s="1"/>
  <c r="I55" i="28"/>
  <c r="C30" i="29"/>
  <c r="B116" i="28"/>
  <c r="B236" i="28" s="1"/>
  <c r="H114" i="28"/>
  <c r="H234" i="28" s="1"/>
  <c r="H253" i="28" s="1"/>
  <c r="K5" i="29"/>
  <c r="D17" i="29"/>
  <c r="D29" i="29" s="1"/>
  <c r="D41" i="29" s="1"/>
  <c r="D53" i="29" s="1"/>
  <c r="D65" i="29" s="1"/>
  <c r="D77" i="29" s="1"/>
  <c r="D89" i="29" s="1"/>
  <c r="D101" i="29" s="1"/>
  <c r="D113" i="29" s="1"/>
  <c r="D125" i="29" s="1"/>
  <c r="D137" i="29" s="1"/>
  <c r="D149" i="29" s="1"/>
  <c r="D161" i="29" s="1"/>
  <c r="D173" i="29" s="1"/>
  <c r="D185" i="29" s="1"/>
  <c r="C243" i="29"/>
  <c r="C243" i="19"/>
  <c r="I96" i="28"/>
  <c r="C58" i="11"/>
  <c r="AF459" i="28"/>
  <c r="AN428" i="28"/>
  <c r="G58" i="11"/>
  <c r="C247" i="29"/>
  <c r="C247" i="19"/>
  <c r="D243" i="29"/>
  <c r="D243" i="19"/>
  <c r="H252" i="28"/>
  <c r="D242" i="29"/>
  <c r="D242" i="19"/>
  <c r="C8" i="9"/>
  <c r="D8" i="9" s="1"/>
  <c r="E8" i="9" s="1"/>
  <c r="C161" i="28"/>
  <c r="D161" i="28" s="1"/>
  <c r="C24" i="29"/>
  <c r="C20" i="29"/>
  <c r="C26" i="29"/>
  <c r="D192" i="19"/>
  <c r="D12" i="29"/>
  <c r="D24" i="29" s="1"/>
  <c r="D36" i="29" s="1"/>
  <c r="D48" i="29" s="1"/>
  <c r="D60" i="29" s="1"/>
  <c r="D72" i="29" s="1"/>
  <c r="D84" i="29" s="1"/>
  <c r="D96" i="29" s="1"/>
  <c r="D108" i="29" s="1"/>
  <c r="D120" i="29" s="1"/>
  <c r="D132" i="29" s="1"/>
  <c r="D144" i="29" s="1"/>
  <c r="D156" i="29" s="1"/>
  <c r="D168" i="29" s="1"/>
  <c r="D180" i="29" s="1"/>
  <c r="D192" i="29" s="1"/>
  <c r="C34" i="28"/>
  <c r="C35" i="28"/>
  <c r="G39" i="28"/>
  <c r="G33" i="28"/>
  <c r="D190" i="19"/>
  <c r="D10" i="29"/>
  <c r="D22" i="29" s="1"/>
  <c r="D34" i="29" s="1"/>
  <c r="D46" i="29" s="1"/>
  <c r="D194" i="19"/>
  <c r="D14" i="29"/>
  <c r="D26" i="29" s="1"/>
  <c r="D38" i="29" s="1"/>
  <c r="D50" i="29" s="1"/>
  <c r="D62" i="29" s="1"/>
  <c r="D74" i="29" s="1"/>
  <c r="D86" i="29" s="1"/>
  <c r="D98" i="29" s="1"/>
  <c r="D110" i="29" s="1"/>
  <c r="D122" i="29" s="1"/>
  <c r="D134" i="29" s="1"/>
  <c r="D146" i="29" s="1"/>
  <c r="D158" i="29" s="1"/>
  <c r="D170" i="29" s="1"/>
  <c r="D182" i="29" s="1"/>
  <c r="D194" i="29" s="1"/>
  <c r="C246" i="29"/>
  <c r="C246" i="19"/>
  <c r="C242" i="29"/>
  <c r="C242" i="19"/>
  <c r="D228" i="29"/>
  <c r="D228" i="19"/>
  <c r="H58" i="11"/>
  <c r="B113" i="28"/>
  <c r="B233" i="28" s="1"/>
  <c r="B252" i="28" s="1"/>
  <c r="AG494" i="28"/>
  <c r="AN463" i="28"/>
  <c r="AF526" i="28"/>
  <c r="AF504" i="28"/>
  <c r="AN495" i="28"/>
  <c r="AM504" i="28" s="1"/>
  <c r="J57" i="11"/>
  <c r="AG459" i="28"/>
  <c r="AM434" i="28"/>
  <c r="AI443" i="28"/>
  <c r="D57" i="11"/>
  <c r="AF428" i="28"/>
  <c r="AF435" i="28" s="1"/>
  <c r="Q408" i="28"/>
  <c r="H57" i="11"/>
  <c r="I52" i="28"/>
  <c r="B106" i="28"/>
  <c r="B226" i="28" s="1"/>
  <c r="B245" i="28" s="1"/>
  <c r="C251" i="28"/>
  <c r="AE490" i="28"/>
  <c r="AE499" i="28" s="1"/>
  <c r="AE521" i="28"/>
  <c r="AE468" i="28"/>
  <c r="I57" i="11"/>
  <c r="AM470" i="28"/>
  <c r="C15" i="29"/>
  <c r="K3" i="29"/>
  <c r="B107" i="28"/>
  <c r="B227" i="28" s="1"/>
  <c r="AM442" i="28"/>
  <c r="D222" i="29"/>
  <c r="D222" i="19"/>
  <c r="G36" i="28"/>
  <c r="B18" i="17"/>
  <c r="B219" i="28"/>
  <c r="P15" i="11"/>
  <c r="B110" i="28"/>
  <c r="B230" i="28" s="1"/>
  <c r="I56" i="28"/>
  <c r="C33" i="29"/>
  <c r="D227" i="29"/>
  <c r="D227" i="19"/>
  <c r="D188" i="19"/>
  <c r="D8" i="29"/>
  <c r="D20" i="29" s="1"/>
  <c r="D32" i="29" s="1"/>
  <c r="D44" i="29" s="1"/>
  <c r="D56" i="29" s="1"/>
  <c r="D68" i="29" s="1"/>
  <c r="D80" i="29" s="1"/>
  <c r="D92" i="29" s="1"/>
  <c r="D104" i="29" s="1"/>
  <c r="D116" i="29" s="1"/>
  <c r="D128" i="29" s="1"/>
  <c r="D140" i="29" s="1"/>
  <c r="D152" i="29" s="1"/>
  <c r="D164" i="29" s="1"/>
  <c r="D176" i="29" s="1"/>
  <c r="D188" i="29" s="1"/>
  <c r="D184" i="19"/>
  <c r="D4" i="29"/>
  <c r="D16" i="29" s="1"/>
  <c r="D28" i="29" s="1"/>
  <c r="D40" i="29" s="1"/>
  <c r="D52" i="29" s="1"/>
  <c r="D64" i="29" s="1"/>
  <c r="D76" i="29" s="1"/>
  <c r="D88" i="29" s="1"/>
  <c r="D100" i="29" s="1"/>
  <c r="D112" i="29" s="1"/>
  <c r="D124" i="29" s="1"/>
  <c r="D136" i="29" s="1"/>
  <c r="D148" i="29" s="1"/>
  <c r="D160" i="29" s="1"/>
  <c r="D172" i="29" s="1"/>
  <c r="D184" i="29" s="1"/>
  <c r="C39" i="28"/>
  <c r="K199" i="19"/>
  <c r="C160" i="28" s="1"/>
  <c r="D160" i="28" s="1"/>
  <c r="L22" i="19"/>
  <c r="M22" i="19" s="1"/>
  <c r="C22" i="29"/>
  <c r="K10" i="29"/>
  <c r="D186" i="19"/>
  <c r="D6" i="29"/>
  <c r="C239" i="29"/>
  <c r="C239" i="19"/>
  <c r="D244" i="29"/>
  <c r="D244" i="19"/>
  <c r="C228" i="29"/>
  <c r="C228" i="19"/>
  <c r="D230" i="29"/>
  <c r="D230" i="19"/>
  <c r="C57" i="11"/>
  <c r="C32" i="28"/>
  <c r="J58" i="11"/>
  <c r="B351" i="28"/>
  <c r="B352" i="28"/>
  <c r="D296" i="28" s="1"/>
  <c r="G34" i="28"/>
  <c r="E58" i="11"/>
  <c r="AF470" i="28"/>
  <c r="C236" i="29"/>
  <c r="C236" i="19"/>
  <c r="C252" i="28"/>
  <c r="G114" i="28"/>
  <c r="G234" i="28" s="1"/>
  <c r="C248" i="28"/>
  <c r="H249" i="28"/>
  <c r="D198" i="28"/>
  <c r="D217" i="28"/>
  <c r="D223" i="28" s="1"/>
  <c r="D242" i="28" s="1"/>
  <c r="F198" i="28"/>
  <c r="E261" i="28" s="1"/>
  <c r="F217" i="28"/>
  <c r="F223" i="28" s="1"/>
  <c r="F242" i="28" s="1"/>
  <c r="F261" i="28" s="1"/>
  <c r="F267" i="28" s="1"/>
  <c r="C7" i="9"/>
  <c r="D7" i="9" s="1"/>
  <c r="E7" i="9" s="1"/>
  <c r="E5" i="11"/>
  <c r="C9" i="9"/>
  <c r="D9" i="9" s="1"/>
  <c r="E9" i="9" s="1"/>
  <c r="F35" i="17"/>
  <c r="F17" i="17" s="1"/>
  <c r="B57" i="11"/>
  <c r="N73" i="9"/>
  <c r="H43" i="9"/>
  <c r="B263" i="28" s="1"/>
  <c r="B58" i="11"/>
  <c r="K73" i="9"/>
  <c r="F51" i="19"/>
  <c r="K51" i="19" s="1"/>
  <c r="L51" i="19" s="1"/>
  <c r="M51" i="19" s="1"/>
  <c r="C194" i="19"/>
  <c r="C191" i="19"/>
  <c r="C193" i="19"/>
  <c r="K198" i="19"/>
  <c r="C159" i="28" s="1"/>
  <c r="C187" i="19"/>
  <c r="C190" i="19"/>
  <c r="C192" i="19"/>
  <c r="C188" i="19"/>
  <c r="C184" i="19"/>
  <c r="D5" i="11"/>
  <c r="P18" i="23"/>
  <c r="O20" i="23"/>
  <c r="O21" i="23" s="1"/>
  <c r="P21" i="23" s="1"/>
  <c r="M33" i="23"/>
  <c r="M38" i="23" s="1"/>
  <c r="M30" i="23"/>
  <c r="N27" i="23"/>
  <c r="L200" i="19"/>
  <c r="M200" i="19" s="1"/>
  <c r="L201" i="19"/>
  <c r="M201" i="19" s="1"/>
  <c r="L199" i="19"/>
  <c r="M199" i="19" s="1"/>
  <c r="C5" i="11"/>
  <c r="F6" i="9"/>
  <c r="AM472" i="28" l="1"/>
  <c r="AF472" i="28"/>
  <c r="F52" i="19"/>
  <c r="K52" i="19" s="1"/>
  <c r="L52" i="19" s="1"/>
  <c r="M52" i="19" s="1"/>
  <c r="B249" i="28"/>
  <c r="B22" i="23"/>
  <c r="F53" i="29" s="1"/>
  <c r="B220" i="28"/>
  <c r="Q15" i="11"/>
  <c r="C27" i="29"/>
  <c r="K15" i="29"/>
  <c r="AE552" i="28"/>
  <c r="AE530" i="28"/>
  <c r="C32" i="29"/>
  <c r="K20" i="29"/>
  <c r="AM523" i="28"/>
  <c r="AM532" i="28" s="1"/>
  <c r="AF532" i="28"/>
  <c r="B253" i="28"/>
  <c r="K23" i="29"/>
  <c r="C35" i="29"/>
  <c r="K7" i="29"/>
  <c r="L65" i="9"/>
  <c r="F219" i="28"/>
  <c r="F269" i="28" s="1"/>
  <c r="F303" i="28" s="1"/>
  <c r="P33" i="11"/>
  <c r="P47" i="11" s="1"/>
  <c r="D297" i="28"/>
  <c r="F297" i="28" s="1"/>
  <c r="F296" i="28"/>
  <c r="C45" i="29"/>
  <c r="K14" i="29"/>
  <c r="K12" i="29"/>
  <c r="B250" i="28"/>
  <c r="AM459" i="28"/>
  <c r="K19" i="29"/>
  <c r="C31" i="29"/>
  <c r="G253" i="28"/>
  <c r="G254" i="28"/>
  <c r="B269" i="28"/>
  <c r="C34" i="29"/>
  <c r="K22" i="29"/>
  <c r="W376" i="28"/>
  <c r="B102" i="28"/>
  <c r="B246" i="28"/>
  <c r="AG490" i="28"/>
  <c r="AF468" i="28"/>
  <c r="AN459" i="28"/>
  <c r="D58" i="29"/>
  <c r="D70" i="29" s="1"/>
  <c r="D82" i="29" s="1"/>
  <c r="D94" i="29" s="1"/>
  <c r="D106" i="29" s="1"/>
  <c r="D118" i="29" s="1"/>
  <c r="D130" i="29" s="1"/>
  <c r="D142" i="29" s="1"/>
  <c r="D154" i="29" s="1"/>
  <c r="D166" i="29" s="1"/>
  <c r="D178" i="29" s="1"/>
  <c r="D190" i="29" s="1"/>
  <c r="C38" i="29"/>
  <c r="K26" i="29"/>
  <c r="C36" i="29"/>
  <c r="K24" i="29"/>
  <c r="C42" i="29"/>
  <c r="AM428" i="28"/>
  <c r="AM437" i="28" s="1"/>
  <c r="AI437" i="28"/>
  <c r="AM430" i="28"/>
  <c r="AM439" i="28" s="1"/>
  <c r="AI439" i="28"/>
  <c r="B247" i="28"/>
  <c r="C29" i="29"/>
  <c r="K17" i="29"/>
  <c r="K4" i="29"/>
  <c r="D21" i="29"/>
  <c r="K9" i="29"/>
  <c r="D18" i="29"/>
  <c r="K6" i="29"/>
  <c r="K198" i="29" s="1"/>
  <c r="I219" i="28"/>
  <c r="AM526" i="28"/>
  <c r="AM535" i="28" s="1"/>
  <c r="AF535" i="28"/>
  <c r="AF525" i="28"/>
  <c r="AF503" i="28"/>
  <c r="AN494" i="28"/>
  <c r="AM503" i="28" s="1"/>
  <c r="K8" i="29"/>
  <c r="AF437" i="28"/>
  <c r="B255" i="28"/>
  <c r="B256" i="28"/>
  <c r="C28" i="29"/>
  <c r="K16" i="29"/>
  <c r="C37" i="29"/>
  <c r="K25" i="29"/>
  <c r="D261" i="28"/>
  <c r="D267" i="28" s="1"/>
  <c r="D273" i="28" s="1"/>
  <c r="D285" i="28"/>
  <c r="D294" i="28" s="1"/>
  <c r="F273" i="28"/>
  <c r="F301" i="28" s="1"/>
  <c r="C316" i="28" s="1"/>
  <c r="C355" i="28" s="1"/>
  <c r="E285" i="28"/>
  <c r="E294" i="28" s="1"/>
  <c r="E267" i="28"/>
  <c r="E273" i="28" s="1"/>
  <c r="E6" i="11"/>
  <c r="C6" i="11"/>
  <c r="D6" i="11"/>
  <c r="H44" i="9"/>
  <c r="H65" i="9"/>
  <c r="F18" i="17"/>
  <c r="I17" i="17"/>
  <c r="P52" i="11" s="1"/>
  <c r="F45" i="28" s="1"/>
  <c r="G45" i="28" s="1"/>
  <c r="L52" i="11"/>
  <c r="F41" i="28" s="1"/>
  <c r="G41" i="28" s="1"/>
  <c r="L19" i="11"/>
  <c r="M43" i="11"/>
  <c r="L43" i="11"/>
  <c r="I43" i="9"/>
  <c r="C263" i="28" s="1"/>
  <c r="C269" i="28" s="1"/>
  <c r="C303" i="28" s="1"/>
  <c r="K74" i="9"/>
  <c r="B23" i="23"/>
  <c r="F54" i="29" s="1"/>
  <c r="C6" i="9"/>
  <c r="D6" i="9" s="1"/>
  <c r="E6" i="9" s="1"/>
  <c r="L198" i="19"/>
  <c r="M198" i="19" s="1"/>
  <c r="B5" i="11"/>
  <c r="P20" i="23"/>
  <c r="O22" i="23"/>
  <c r="P22" i="23" s="1"/>
  <c r="M36" i="23"/>
  <c r="N33" i="23"/>
  <c r="N28" i="23"/>
  <c r="O27" i="23"/>
  <c r="P57" i="11" l="1"/>
  <c r="F53" i="19"/>
  <c r="K53" i="19" s="1"/>
  <c r="L53" i="19" s="1"/>
  <c r="M53" i="19" s="1"/>
  <c r="N198" i="19"/>
  <c r="L198" i="29"/>
  <c r="M198" i="29" s="1"/>
  <c r="R380" i="28"/>
  <c r="C97" i="28"/>
  <c r="L47" i="11"/>
  <c r="L57" i="11" s="1"/>
  <c r="H66" i="9"/>
  <c r="H74" i="9" s="1"/>
  <c r="B264" i="28"/>
  <c r="B270" i="28" s="1"/>
  <c r="H92" i="9"/>
  <c r="C40" i="29"/>
  <c r="K28" i="29"/>
  <c r="C50" i="29"/>
  <c r="K38" i="29"/>
  <c r="C46" i="29"/>
  <c r="K34" i="29"/>
  <c r="K31" i="29"/>
  <c r="C43" i="29"/>
  <c r="C57" i="29"/>
  <c r="R404" i="28"/>
  <c r="AG434" i="28" s="1"/>
  <c r="H97" i="28"/>
  <c r="H115" i="28" s="1"/>
  <c r="H235" i="28" s="1"/>
  <c r="H254" i="28" s="1"/>
  <c r="B303" i="28"/>
  <c r="I303" i="28" s="1"/>
  <c r="I269" i="28"/>
  <c r="C44" i="29"/>
  <c r="K32" i="29"/>
  <c r="C39" i="29"/>
  <c r="K27" i="29"/>
  <c r="D30" i="29"/>
  <c r="K18" i="29"/>
  <c r="T404" i="28"/>
  <c r="AG465" i="28" s="1"/>
  <c r="H99" i="28"/>
  <c r="H116" i="28" s="1"/>
  <c r="H236" i="28" s="1"/>
  <c r="F220" i="28"/>
  <c r="F270" i="28" s="1"/>
  <c r="F304" i="28" s="1"/>
  <c r="Q33" i="11"/>
  <c r="C49" i="29"/>
  <c r="K37" i="29"/>
  <c r="K29" i="29"/>
  <c r="C41" i="29"/>
  <c r="C48" i="29"/>
  <c r="K36" i="29"/>
  <c r="AF521" i="28"/>
  <c r="AF499" i="28"/>
  <c r="AN490" i="28"/>
  <c r="AM499" i="28" s="1"/>
  <c r="AG583" i="28"/>
  <c r="AM468" i="28"/>
  <c r="X376" i="28"/>
  <c r="B103" i="28"/>
  <c r="Q47" i="11"/>
  <c r="AM525" i="28"/>
  <c r="AM534" i="28" s="1"/>
  <c r="AF534" i="28"/>
  <c r="D33" i="29"/>
  <c r="K21" i="29"/>
  <c r="C54" i="29"/>
  <c r="W394" i="28"/>
  <c r="AG587" i="28" s="1"/>
  <c r="F102" i="28"/>
  <c r="I102" i="28" s="1"/>
  <c r="K35" i="29"/>
  <c r="C47" i="29"/>
  <c r="AE561" i="28"/>
  <c r="AE583" i="28"/>
  <c r="C335" i="28"/>
  <c r="G316" i="28"/>
  <c r="E301" i="28"/>
  <c r="D301" i="28"/>
  <c r="B316" i="28" s="1"/>
  <c r="I18" i="17"/>
  <c r="Q52" i="11" s="1"/>
  <c r="F46" i="28" s="1"/>
  <c r="G46" i="28" s="1"/>
  <c r="L66" i="9"/>
  <c r="B6" i="11"/>
  <c r="I44" i="9"/>
  <c r="I65" i="9"/>
  <c r="I73" i="9" s="1"/>
  <c r="N74" i="9"/>
  <c r="M19" i="11"/>
  <c r="M52" i="11"/>
  <c r="F42" i="28" s="1"/>
  <c r="H73" i="9"/>
  <c r="F54" i="19"/>
  <c r="K54" i="19" s="1"/>
  <c r="L54" i="19" s="1"/>
  <c r="M54" i="19" s="1"/>
  <c r="B24" i="23"/>
  <c r="F55" i="29" s="1"/>
  <c r="N30" i="23"/>
  <c r="O28" i="23"/>
  <c r="O29" i="23" s="1"/>
  <c r="P29" i="23" s="1"/>
  <c r="P27" i="23"/>
  <c r="O33" i="23"/>
  <c r="N34" i="23"/>
  <c r="N36" i="23" s="1"/>
  <c r="N40" i="23" s="1"/>
  <c r="K199" i="29" l="1"/>
  <c r="N199" i="19" s="1"/>
  <c r="I220" i="28"/>
  <c r="L199" i="29"/>
  <c r="M199" i="29" s="1"/>
  <c r="K47" i="29"/>
  <c r="C59" i="29"/>
  <c r="AG614" i="28"/>
  <c r="H255" i="28"/>
  <c r="H256" i="28"/>
  <c r="K43" i="29"/>
  <c r="C55" i="29"/>
  <c r="C115" i="28"/>
  <c r="C235" i="28" s="1"/>
  <c r="C254" i="28" s="1"/>
  <c r="I97" i="28"/>
  <c r="G42" i="28"/>
  <c r="G43" i="28"/>
  <c r="I66" i="9"/>
  <c r="I74" i="9" s="1"/>
  <c r="C264" i="28"/>
  <c r="C270" i="28" s="1"/>
  <c r="C304" i="28" s="1"/>
  <c r="I92" i="9"/>
  <c r="C66" i="29"/>
  <c r="C60" i="29"/>
  <c r="K48" i="29"/>
  <c r="C61" i="29"/>
  <c r="K49" i="29"/>
  <c r="AG496" i="28"/>
  <c r="AN465" i="28"/>
  <c r="K39" i="29"/>
  <c r="C51" i="29"/>
  <c r="AF465" i="28"/>
  <c r="AM465" i="28" s="1"/>
  <c r="AF443" i="28"/>
  <c r="AN434" i="28"/>
  <c r="AM443" i="28" s="1"/>
  <c r="C62" i="29"/>
  <c r="K50" i="29"/>
  <c r="I270" i="28"/>
  <c r="B304" i="28"/>
  <c r="AG429" i="28"/>
  <c r="R408" i="28"/>
  <c r="T380" i="28"/>
  <c r="C99" i="28"/>
  <c r="M47" i="11"/>
  <c r="M57" i="11" s="1"/>
  <c r="AE614" i="28"/>
  <c r="AE623" i="28" s="1"/>
  <c r="AE592" i="28"/>
  <c r="Q57" i="11"/>
  <c r="AF614" i="28"/>
  <c r="AG590" i="28"/>
  <c r="AF592" i="28"/>
  <c r="C53" i="29"/>
  <c r="K41" i="29"/>
  <c r="X394" i="28"/>
  <c r="AG618" i="28" s="1"/>
  <c r="F103" i="28"/>
  <c r="I103" i="28" s="1"/>
  <c r="C69" i="29"/>
  <c r="AF618" i="28"/>
  <c r="AF596" i="28"/>
  <c r="D45" i="29"/>
  <c r="K33" i="29"/>
  <c r="W408" i="28"/>
  <c r="AF530" i="28"/>
  <c r="AM521" i="28"/>
  <c r="AM530" i="28" s="1"/>
  <c r="D42" i="29"/>
  <c r="K30" i="29"/>
  <c r="K200" i="29" s="1"/>
  <c r="C56" i="29"/>
  <c r="K44" i="29"/>
  <c r="C58" i="29"/>
  <c r="K46" i="29"/>
  <c r="C52" i="29"/>
  <c r="K40" i="29"/>
  <c r="E159" i="28"/>
  <c r="F159" i="28" s="1"/>
  <c r="O198" i="19"/>
  <c r="N38" i="23"/>
  <c r="B335" i="28"/>
  <c r="F316" i="28"/>
  <c r="B355" i="28"/>
  <c r="B25" i="23"/>
  <c r="F56" i="29" s="1"/>
  <c r="F55" i="19"/>
  <c r="K55" i="19" s="1"/>
  <c r="L55" i="19" s="1"/>
  <c r="M55" i="19" s="1"/>
  <c r="N42" i="23"/>
  <c r="N43" i="23" s="1"/>
  <c r="P33" i="23"/>
  <c r="O34" i="23"/>
  <c r="O35" i="23" s="1"/>
  <c r="P35" i="23" s="1"/>
  <c r="O30" i="23"/>
  <c r="P30" i="23" s="1"/>
  <c r="P28" i="23"/>
  <c r="AM474" i="28" l="1"/>
  <c r="I304" i="28"/>
  <c r="AF627" i="28"/>
  <c r="N200" i="19"/>
  <c r="L200" i="29"/>
  <c r="M200" i="29" s="1"/>
  <c r="D57" i="29"/>
  <c r="K45" i="29"/>
  <c r="K53" i="29"/>
  <c r="C65" i="29"/>
  <c r="C116" i="28"/>
  <c r="C236" i="28" s="1"/>
  <c r="I99" i="28"/>
  <c r="K51" i="29"/>
  <c r="C63" i="29"/>
  <c r="AF527" i="28"/>
  <c r="AF505" i="28"/>
  <c r="AN496" i="28"/>
  <c r="AM505" i="28" s="1"/>
  <c r="C72" i="29"/>
  <c r="C71" i="29"/>
  <c r="G319" i="28"/>
  <c r="H319" i="28"/>
  <c r="F319" i="28"/>
  <c r="E66" i="28"/>
  <c r="E120" i="28" s="1"/>
  <c r="F66" i="28"/>
  <c r="F120" i="28" s="1"/>
  <c r="G66" i="28"/>
  <c r="G120" i="28" s="1"/>
  <c r="D66" i="28"/>
  <c r="D120" i="28" s="1"/>
  <c r="G159" i="28"/>
  <c r="H66" i="28"/>
  <c r="H120" i="28" s="1"/>
  <c r="C66" i="28"/>
  <c r="C120" i="28" s="1"/>
  <c r="B66" i="28"/>
  <c r="D31" i="28"/>
  <c r="D54" i="29"/>
  <c r="K42" i="29"/>
  <c r="AG460" i="28"/>
  <c r="T408" i="28"/>
  <c r="C70" i="29"/>
  <c r="C73" i="29"/>
  <c r="C78" i="29"/>
  <c r="K55" i="29"/>
  <c r="C67" i="29"/>
  <c r="AG621" i="28"/>
  <c r="AF623" i="28"/>
  <c r="E160" i="28"/>
  <c r="F160" i="28" s="1"/>
  <c r="O199" i="19"/>
  <c r="C64" i="29"/>
  <c r="K52" i="29"/>
  <c r="C68" i="29"/>
  <c r="K56" i="29"/>
  <c r="C81" i="29"/>
  <c r="AF621" i="28"/>
  <c r="AF460" i="28"/>
  <c r="AF438" i="28"/>
  <c r="AN429" i="28"/>
  <c r="AM438" i="28" s="1"/>
  <c r="AG435" i="28"/>
  <c r="C74" i="29"/>
  <c r="AF474" i="28"/>
  <c r="X408" i="28"/>
  <c r="F56" i="19"/>
  <c r="K56" i="19" s="1"/>
  <c r="L56" i="19" s="1"/>
  <c r="M56" i="19" s="1"/>
  <c r="B26" i="23"/>
  <c r="F57" i="29" s="1"/>
  <c r="O36" i="23"/>
  <c r="P36" i="23" s="1"/>
  <c r="P34" i="23"/>
  <c r="K201" i="29" l="1"/>
  <c r="L201" i="29" s="1"/>
  <c r="M201" i="29" s="1"/>
  <c r="N201" i="19"/>
  <c r="H320" i="28"/>
  <c r="F320" i="28"/>
  <c r="G320" i="28"/>
  <c r="E67" i="28"/>
  <c r="E121" i="28" s="1"/>
  <c r="G67" i="28"/>
  <c r="G121" i="28" s="1"/>
  <c r="H67" i="28"/>
  <c r="H121" i="28" s="1"/>
  <c r="D67" i="28"/>
  <c r="D121" i="28" s="1"/>
  <c r="C67" i="28"/>
  <c r="C121" i="28" s="1"/>
  <c r="D32" i="28"/>
  <c r="E32" i="28" s="1"/>
  <c r="F67" i="28"/>
  <c r="F121" i="28" s="1"/>
  <c r="B67" i="28"/>
  <c r="G160" i="28"/>
  <c r="C93" i="29"/>
  <c r="AG491" i="28"/>
  <c r="AF469" i="28"/>
  <c r="AN460" i="28"/>
  <c r="AG466" i="28"/>
  <c r="B120" i="28"/>
  <c r="I66" i="28"/>
  <c r="I319" i="28"/>
  <c r="C76" i="29"/>
  <c r="C90" i="29"/>
  <c r="C82" i="29"/>
  <c r="AF536" i="28"/>
  <c r="AM527" i="28"/>
  <c r="AM536" i="28" s="1"/>
  <c r="C255" i="28"/>
  <c r="C256" i="28"/>
  <c r="D69" i="29"/>
  <c r="K57" i="29"/>
  <c r="C86" i="29"/>
  <c r="AM460" i="28"/>
  <c r="AF466" i="28"/>
  <c r="C79" i="29"/>
  <c r="C85" i="29"/>
  <c r="D66" i="29"/>
  <c r="K54" i="29"/>
  <c r="C84" i="29"/>
  <c r="C75" i="29"/>
  <c r="C77" i="29"/>
  <c r="C80" i="29"/>
  <c r="C83" i="29"/>
  <c r="E161" i="28"/>
  <c r="F161" i="28" s="1"/>
  <c r="O200" i="19"/>
  <c r="F57" i="19"/>
  <c r="K57" i="19" s="1"/>
  <c r="L57" i="19" s="1"/>
  <c r="M57" i="19" s="1"/>
  <c r="B27" i="23"/>
  <c r="F58" i="29" s="1"/>
  <c r="K58" i="29" s="1"/>
  <c r="AM469" i="28" l="1"/>
  <c r="AF500" i="28"/>
  <c r="AF522" i="28"/>
  <c r="AN491" i="28"/>
  <c r="AM500" i="28" s="1"/>
  <c r="AG497" i="28"/>
  <c r="B121" i="28"/>
  <c r="I67" i="28"/>
  <c r="C95" i="29"/>
  <c r="C92" i="29"/>
  <c r="D78" i="29"/>
  <c r="C98" i="29"/>
  <c r="C94" i="29"/>
  <c r="C88" i="29"/>
  <c r="C105" i="29"/>
  <c r="I320" i="28"/>
  <c r="C89" i="29"/>
  <c r="C97" i="29"/>
  <c r="H321" i="28"/>
  <c r="G321" i="28"/>
  <c r="F321" i="28"/>
  <c r="E68" i="28"/>
  <c r="E122" i="28" s="1"/>
  <c r="C68" i="28"/>
  <c r="C122" i="28" s="1"/>
  <c r="H68" i="28"/>
  <c r="H122" i="28" s="1"/>
  <c r="F68" i="28"/>
  <c r="F122" i="28" s="1"/>
  <c r="G68" i="28"/>
  <c r="G122" i="28" s="1"/>
  <c r="D68" i="28"/>
  <c r="D122" i="28" s="1"/>
  <c r="B68" i="28"/>
  <c r="G161" i="28"/>
  <c r="D33" i="28"/>
  <c r="E33" i="28" s="1"/>
  <c r="C96" i="29"/>
  <c r="D81" i="29"/>
  <c r="C102" i="29"/>
  <c r="E162" i="28"/>
  <c r="F162" i="28" s="1"/>
  <c r="O201" i="19"/>
  <c r="C87" i="29"/>
  <c r="C91" i="29"/>
  <c r="F58" i="19"/>
  <c r="K58" i="19" s="1"/>
  <c r="L58" i="19" s="1"/>
  <c r="M58" i="19" s="1"/>
  <c r="B28" i="23"/>
  <c r="F59" i="29" s="1"/>
  <c r="K59" i="29" s="1"/>
  <c r="I321" i="28" l="1"/>
  <c r="C99" i="29"/>
  <c r="B122" i="28"/>
  <c r="I68" i="28"/>
  <c r="C101" i="29"/>
  <c r="C106" i="29"/>
  <c r="D90" i="29"/>
  <c r="C114" i="29"/>
  <c r="C108" i="29"/>
  <c r="C100" i="29"/>
  <c r="AF531" i="28"/>
  <c r="AM522" i="28"/>
  <c r="AM531" i="28" s="1"/>
  <c r="AF528" i="28"/>
  <c r="C103" i="29"/>
  <c r="C109" i="29"/>
  <c r="C110" i="29"/>
  <c r="C104" i="29"/>
  <c r="H322" i="28"/>
  <c r="F322" i="28"/>
  <c r="G322" i="28"/>
  <c r="E69" i="28"/>
  <c r="E123" i="28" s="1"/>
  <c r="H69" i="28"/>
  <c r="H123" i="28" s="1"/>
  <c r="G69" i="28"/>
  <c r="G123" i="28" s="1"/>
  <c r="F69" i="28"/>
  <c r="F123" i="28" s="1"/>
  <c r="C69" i="28"/>
  <c r="C123" i="28" s="1"/>
  <c r="D69" i="28"/>
  <c r="D123" i="28" s="1"/>
  <c r="G162" i="28"/>
  <c r="B69" i="28"/>
  <c r="D34" i="28"/>
  <c r="E34" i="28" s="1"/>
  <c r="D93" i="29"/>
  <c r="C117" i="29"/>
  <c r="C107" i="29"/>
  <c r="F59" i="19"/>
  <c r="K59" i="19" s="1"/>
  <c r="L59" i="19" s="1"/>
  <c r="M59" i="19" s="1"/>
  <c r="B29" i="23"/>
  <c r="F60" i="29" s="1"/>
  <c r="K60" i="29" s="1"/>
  <c r="C129" i="29" l="1"/>
  <c r="C112" i="29"/>
  <c r="C126" i="29"/>
  <c r="C118" i="29"/>
  <c r="D105" i="29"/>
  <c r="C116" i="29"/>
  <c r="C121" i="29"/>
  <c r="C113" i="29"/>
  <c r="C111" i="29"/>
  <c r="C122" i="29"/>
  <c r="B123" i="28"/>
  <c r="I69" i="28"/>
  <c r="C119" i="29"/>
  <c r="I322" i="28"/>
  <c r="C115" i="29"/>
  <c r="C120" i="29"/>
  <c r="D102" i="29"/>
  <c r="F60" i="19"/>
  <c r="K60" i="19" s="1"/>
  <c r="L60" i="19" s="1"/>
  <c r="M60" i="19" s="1"/>
  <c r="B30" i="23"/>
  <c r="F61" i="29" s="1"/>
  <c r="K61" i="29" s="1"/>
  <c r="B124" i="19"/>
  <c r="B125" i="19"/>
  <c r="B126" i="19"/>
  <c r="B127" i="19"/>
  <c r="B128" i="19"/>
  <c r="B129" i="19"/>
  <c r="B130" i="19"/>
  <c r="B131" i="19"/>
  <c r="B132" i="19"/>
  <c r="B133" i="19"/>
  <c r="B134" i="19"/>
  <c r="B123" i="19"/>
  <c r="B112" i="19"/>
  <c r="B113" i="19"/>
  <c r="B114" i="19"/>
  <c r="B115" i="19"/>
  <c r="B116" i="19"/>
  <c r="B117" i="19"/>
  <c r="B118" i="19"/>
  <c r="B119" i="19"/>
  <c r="B120" i="19"/>
  <c r="B121" i="19"/>
  <c r="B122" i="19"/>
  <c r="B111" i="19"/>
  <c r="C132" i="29" l="1"/>
  <c r="C131" i="29"/>
  <c r="C125" i="29"/>
  <c r="C127" i="29"/>
  <c r="C134" i="29"/>
  <c r="C128" i="29"/>
  <c r="C130" i="29"/>
  <c r="C124" i="29"/>
  <c r="D114" i="29"/>
  <c r="C133" i="29"/>
  <c r="C141" i="29"/>
  <c r="C123" i="29"/>
  <c r="D117" i="29"/>
  <c r="C138" i="29"/>
  <c r="F61" i="19"/>
  <c r="K61" i="19" s="1"/>
  <c r="L61" i="19" s="1"/>
  <c r="M61" i="19" s="1"/>
  <c r="B31" i="23"/>
  <c r="F62" i="29" s="1"/>
  <c r="K62" i="29" s="1"/>
  <c r="K202" i="29" s="1"/>
  <c r="B208" i="19"/>
  <c r="B207" i="19"/>
  <c r="C31" i="23" l="1"/>
  <c r="F3" i="23" s="1"/>
  <c r="G3" i="23" s="1"/>
  <c r="B15" i="9"/>
  <c r="B168" i="28"/>
  <c r="B16" i="9"/>
  <c r="F16" i="9" s="1"/>
  <c r="B169" i="28"/>
  <c r="L4" i="11"/>
  <c r="R364" i="28" s="1"/>
  <c r="C139" i="29"/>
  <c r="C150" i="29"/>
  <c r="C135" i="29"/>
  <c r="C145" i="29"/>
  <c r="C136" i="29"/>
  <c r="C140" i="29"/>
  <c r="C143" i="29"/>
  <c r="L202" i="29"/>
  <c r="M202" i="29" s="1"/>
  <c r="N202" i="19"/>
  <c r="D129" i="29"/>
  <c r="C153" i="29"/>
  <c r="D126" i="29"/>
  <c r="C142" i="29"/>
  <c r="C146" i="29"/>
  <c r="C137" i="29"/>
  <c r="C144" i="29"/>
  <c r="F62" i="19"/>
  <c r="D31" i="23"/>
  <c r="C4" i="23" s="1"/>
  <c r="D4" i="23" s="1"/>
  <c r="B32" i="23" s="1"/>
  <c r="F63" i="29" s="1"/>
  <c r="K63" i="29" s="1"/>
  <c r="K4" i="11"/>
  <c r="Q364" i="28" s="1"/>
  <c r="C154" i="29" l="1"/>
  <c r="K62" i="19"/>
  <c r="L62" i="19" s="1"/>
  <c r="M62" i="19" s="1"/>
  <c r="C157" i="29"/>
  <c r="C155" i="29"/>
  <c r="C147" i="29"/>
  <c r="C152" i="29"/>
  <c r="C162" i="29"/>
  <c r="C174" i="29" s="1"/>
  <c r="C186" i="29" s="1"/>
  <c r="C156" i="29"/>
  <c r="C158" i="29"/>
  <c r="D138" i="29"/>
  <c r="D141" i="29"/>
  <c r="C148" i="29"/>
  <c r="C151" i="29"/>
  <c r="C149" i="29"/>
  <c r="C165" i="29"/>
  <c r="C177" i="29" s="1"/>
  <c r="C189" i="29" s="1"/>
  <c r="E163" i="28"/>
  <c r="F63" i="19"/>
  <c r="K63" i="19" s="1"/>
  <c r="L63" i="19" s="1"/>
  <c r="M63" i="19" s="1"/>
  <c r="B33" i="23"/>
  <c r="F64" i="29" s="1"/>
  <c r="K64" i="29" s="1"/>
  <c r="K202" i="19" l="1"/>
  <c r="C160" i="29"/>
  <c r="C172" i="29" s="1"/>
  <c r="C184" i="29" s="1"/>
  <c r="D150" i="29"/>
  <c r="C168" i="29"/>
  <c r="C180" i="29" s="1"/>
  <c r="C192" i="29" s="1"/>
  <c r="C164" i="29"/>
  <c r="C176" i="29" s="1"/>
  <c r="C188" i="29" s="1"/>
  <c r="C167" i="29"/>
  <c r="C179" i="29" s="1"/>
  <c r="C191" i="29" s="1"/>
  <c r="C161" i="29"/>
  <c r="C173" i="29" s="1"/>
  <c r="C185" i="29" s="1"/>
  <c r="C163" i="29"/>
  <c r="C175" i="29" s="1"/>
  <c r="C187" i="29" s="1"/>
  <c r="C159" i="29"/>
  <c r="C171" i="29" s="1"/>
  <c r="C183" i="29" s="1"/>
  <c r="D153" i="29"/>
  <c r="C170" i="29"/>
  <c r="C182" i="29" s="1"/>
  <c r="C194" i="29" s="1"/>
  <c r="C169" i="29"/>
  <c r="C181" i="29" s="1"/>
  <c r="C193" i="29" s="1"/>
  <c r="C166" i="29"/>
  <c r="C178" i="29" s="1"/>
  <c r="C190" i="29" s="1"/>
  <c r="F64" i="19"/>
  <c r="K64" i="19" s="1"/>
  <c r="L64" i="19" s="1"/>
  <c r="M64" i="19" s="1"/>
  <c r="B34" i="23"/>
  <c r="F65" i="29" s="1"/>
  <c r="K65" i="29" s="1"/>
  <c r="O202" i="19" l="1"/>
  <c r="F5" i="11"/>
  <c r="F6" i="11" s="1"/>
  <c r="L202" i="19"/>
  <c r="M202" i="19" s="1"/>
  <c r="C163" i="28"/>
  <c r="D163" i="28" s="1"/>
  <c r="C10" i="9"/>
  <c r="D10" i="9" s="1"/>
  <c r="E10" i="9" s="1"/>
  <c r="D162" i="29"/>
  <c r="D174" i="29" s="1"/>
  <c r="D186" i="29" s="1"/>
  <c r="D165" i="29"/>
  <c r="D177" i="29" s="1"/>
  <c r="D189" i="29" s="1"/>
  <c r="F65" i="19"/>
  <c r="K65" i="19" s="1"/>
  <c r="L65" i="19" s="1"/>
  <c r="M65" i="19" s="1"/>
  <c r="B35" i="23"/>
  <c r="F66" i="29" s="1"/>
  <c r="K66" i="29" s="1"/>
  <c r="F163" i="28" l="1"/>
  <c r="F323" i="28" s="1"/>
  <c r="F66" i="19"/>
  <c r="K66" i="19" s="1"/>
  <c r="L66" i="19" s="1"/>
  <c r="M66" i="19" s="1"/>
  <c r="B36" i="23"/>
  <c r="F67" i="29" s="1"/>
  <c r="K67" i="29" s="1"/>
  <c r="B137" i="19"/>
  <c r="B170" i="19"/>
  <c r="B169" i="19"/>
  <c r="B168" i="19"/>
  <c r="B167" i="19"/>
  <c r="B166" i="19"/>
  <c r="B165" i="19"/>
  <c r="B164" i="19"/>
  <c r="B163" i="19"/>
  <c r="B162" i="19"/>
  <c r="B161" i="19"/>
  <c r="B160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6" i="19"/>
  <c r="B135" i="19"/>
  <c r="D35" i="28" l="1"/>
  <c r="E35" i="28" s="1"/>
  <c r="D70" i="28"/>
  <c r="D124" i="28" s="1"/>
  <c r="E70" i="28"/>
  <c r="E124" i="28" s="1"/>
  <c r="G163" i="28"/>
  <c r="F70" i="28"/>
  <c r="F124" i="28" s="1"/>
  <c r="H323" i="28"/>
  <c r="B70" i="28"/>
  <c r="G70" i="28"/>
  <c r="G124" i="28" s="1"/>
  <c r="G323" i="28"/>
  <c r="H70" i="28"/>
  <c r="H124" i="28" s="1"/>
  <c r="C70" i="28"/>
  <c r="C124" i="28" s="1"/>
  <c r="F67" i="19"/>
  <c r="K67" i="19" s="1"/>
  <c r="L67" i="19" s="1"/>
  <c r="M67" i="19" s="1"/>
  <c r="B37" i="23"/>
  <c r="F68" i="29" s="1"/>
  <c r="K68" i="29" s="1"/>
  <c r="B210" i="19"/>
  <c r="B209" i="19"/>
  <c r="I323" i="28" l="1"/>
  <c r="I70" i="28"/>
  <c r="B124" i="28"/>
  <c r="B17" i="9"/>
  <c r="F17" i="9" s="1"/>
  <c r="B170" i="28"/>
  <c r="M4" i="11"/>
  <c r="T364" i="28" s="1"/>
  <c r="B18" i="9"/>
  <c r="F18" i="9" s="1"/>
  <c r="B171" i="28"/>
  <c r="N4" i="11"/>
  <c r="U364" i="28" s="1"/>
  <c r="F68" i="19"/>
  <c r="K68" i="19" s="1"/>
  <c r="L68" i="19" s="1"/>
  <c r="M68" i="19" s="1"/>
  <c r="B38" i="23"/>
  <c r="F69" i="29" s="1"/>
  <c r="K69" i="29" s="1"/>
  <c r="B159" i="19"/>
  <c r="B211" i="19" s="1"/>
  <c r="B19" i="9" l="1"/>
  <c r="F19" i="9" s="1"/>
  <c r="B172" i="28"/>
  <c r="O4" i="11"/>
  <c r="V364" i="28" s="1"/>
  <c r="F69" i="19"/>
  <c r="K69" i="19" s="1"/>
  <c r="L69" i="19" s="1"/>
  <c r="M69" i="19" s="1"/>
  <c r="B39" i="23"/>
  <c r="F70" i="29" s="1"/>
  <c r="K70" i="29" s="1"/>
  <c r="B215" i="19"/>
  <c r="F70" i="19" l="1"/>
  <c r="K70" i="19" s="1"/>
  <c r="L70" i="19" s="1"/>
  <c r="M70" i="19" s="1"/>
  <c r="B40" i="23"/>
  <c r="F71" i="29" s="1"/>
  <c r="K71" i="29" s="1"/>
  <c r="F71" i="19" l="1"/>
  <c r="K71" i="19" s="1"/>
  <c r="L71" i="19" s="1"/>
  <c r="M71" i="19" s="1"/>
  <c r="B41" i="23"/>
  <c r="F72" i="29" s="1"/>
  <c r="K72" i="29" s="1"/>
  <c r="F72" i="19" l="1"/>
  <c r="K72" i="19" s="1"/>
  <c r="L72" i="19" s="1"/>
  <c r="M72" i="19" s="1"/>
  <c r="B42" i="23"/>
  <c r="F73" i="29" s="1"/>
  <c r="K73" i="29" s="1"/>
  <c r="F73" i="19" l="1"/>
  <c r="K73" i="19" s="1"/>
  <c r="L73" i="19" s="1"/>
  <c r="M73" i="19" s="1"/>
  <c r="B43" i="23"/>
  <c r="F74" i="29" s="1"/>
  <c r="K74" i="29" s="1"/>
  <c r="K203" i="29" s="1"/>
  <c r="L203" i="29" l="1"/>
  <c r="M203" i="29" s="1"/>
  <c r="N203" i="19"/>
  <c r="C43" i="23"/>
  <c r="F4" i="23" s="1"/>
  <c r="G4" i="23" s="1"/>
  <c r="F74" i="19"/>
  <c r="D43" i="23"/>
  <c r="C5" i="23" s="1"/>
  <c r="D5" i="23" s="1"/>
  <c r="B44" i="23" s="1"/>
  <c r="F75" i="29" s="1"/>
  <c r="K75" i="29" s="1"/>
  <c r="K74" i="19" l="1"/>
  <c r="L74" i="19" s="1"/>
  <c r="M74" i="19" s="1"/>
  <c r="E164" i="28"/>
  <c r="B45" i="23"/>
  <c r="F76" i="29" s="1"/>
  <c r="K76" i="29" s="1"/>
  <c r="F75" i="19"/>
  <c r="K75" i="19" s="1"/>
  <c r="L75" i="19" s="1"/>
  <c r="M75" i="19" s="1"/>
  <c r="K203" i="19" l="1"/>
  <c r="F76" i="19"/>
  <c r="K76" i="19" s="1"/>
  <c r="L76" i="19" s="1"/>
  <c r="M76" i="19" s="1"/>
  <c r="B46" i="23"/>
  <c r="F77" i="29" s="1"/>
  <c r="K77" i="29" s="1"/>
  <c r="C11" i="9" l="1"/>
  <c r="D11" i="9" s="1"/>
  <c r="E11" i="9" s="1"/>
  <c r="C164" i="28"/>
  <c r="O203" i="19"/>
  <c r="G5" i="11"/>
  <c r="G6" i="11" s="1"/>
  <c r="L203" i="19"/>
  <c r="M203" i="19" s="1"/>
  <c r="F77" i="19"/>
  <c r="K77" i="19" s="1"/>
  <c r="L77" i="19" s="1"/>
  <c r="M77" i="19" s="1"/>
  <c r="B47" i="23"/>
  <c r="F78" i="29" s="1"/>
  <c r="K78" i="29" s="1"/>
  <c r="D164" i="28" l="1"/>
  <c r="F164" i="28"/>
  <c r="F78" i="19"/>
  <c r="K78" i="19" s="1"/>
  <c r="L78" i="19" s="1"/>
  <c r="M78" i="19" s="1"/>
  <c r="B48" i="23"/>
  <c r="F79" i="29" s="1"/>
  <c r="K79" i="29" s="1"/>
  <c r="H324" i="28" l="1"/>
  <c r="F324" i="28"/>
  <c r="G324" i="28"/>
  <c r="E71" i="28"/>
  <c r="E125" i="28" s="1"/>
  <c r="H71" i="28"/>
  <c r="H125" i="28" s="1"/>
  <c r="G71" i="28"/>
  <c r="G125" i="28" s="1"/>
  <c r="D71" i="28"/>
  <c r="D125" i="28" s="1"/>
  <c r="C71" i="28"/>
  <c r="C125" i="28" s="1"/>
  <c r="F71" i="28"/>
  <c r="F125" i="28" s="1"/>
  <c r="B71" i="28"/>
  <c r="D36" i="28"/>
  <c r="E36" i="28" s="1"/>
  <c r="G164" i="28"/>
  <c r="F79" i="19"/>
  <c r="K79" i="19" s="1"/>
  <c r="L79" i="19" s="1"/>
  <c r="M79" i="19" s="1"/>
  <c r="B49" i="23"/>
  <c r="F80" i="29" s="1"/>
  <c r="K80" i="29" s="1"/>
  <c r="B125" i="28" l="1"/>
  <c r="I71" i="28"/>
  <c r="I324" i="28"/>
  <c r="F80" i="19"/>
  <c r="K80" i="19" s="1"/>
  <c r="L80" i="19" s="1"/>
  <c r="M80" i="19" s="1"/>
  <c r="B50" i="23"/>
  <c r="F81" i="29" s="1"/>
  <c r="K81" i="29" s="1"/>
  <c r="F81" i="19" l="1"/>
  <c r="K81" i="19" s="1"/>
  <c r="L81" i="19" s="1"/>
  <c r="M81" i="19" s="1"/>
  <c r="B51" i="23"/>
  <c r="F82" i="29" s="1"/>
  <c r="K82" i="29" s="1"/>
  <c r="F82" i="19" l="1"/>
  <c r="K82" i="19" s="1"/>
  <c r="L82" i="19" s="1"/>
  <c r="M82" i="19" s="1"/>
  <c r="B52" i="23"/>
  <c r="F83" i="29" s="1"/>
  <c r="K83" i="29" s="1"/>
  <c r="F83" i="19" l="1"/>
  <c r="K83" i="19" s="1"/>
  <c r="L83" i="19" s="1"/>
  <c r="M83" i="19" s="1"/>
  <c r="B53" i="23"/>
  <c r="F84" i="29" s="1"/>
  <c r="K84" i="29" s="1"/>
  <c r="F84" i="19" l="1"/>
  <c r="K84" i="19" s="1"/>
  <c r="L84" i="19" s="1"/>
  <c r="M84" i="19" s="1"/>
  <c r="B54" i="23"/>
  <c r="F85" i="29" s="1"/>
  <c r="K85" i="29" s="1"/>
  <c r="F85" i="19" l="1"/>
  <c r="K85" i="19" s="1"/>
  <c r="L85" i="19" s="1"/>
  <c r="M85" i="19" s="1"/>
  <c r="B55" i="23"/>
  <c r="F86" i="29" s="1"/>
  <c r="K86" i="29" s="1"/>
  <c r="K204" i="29" s="1"/>
  <c r="C55" i="23" l="1"/>
  <c r="F5" i="23" s="1"/>
  <c r="G5" i="23" s="1"/>
  <c r="N204" i="19"/>
  <c r="L204" i="29"/>
  <c r="M204" i="29" s="1"/>
  <c r="F86" i="19"/>
  <c r="D55" i="23"/>
  <c r="C6" i="23" s="1"/>
  <c r="D6" i="23" s="1"/>
  <c r="B56" i="23" s="1"/>
  <c r="F87" i="29" s="1"/>
  <c r="K87" i="29" s="1"/>
  <c r="E165" i="28" l="1"/>
  <c r="K86" i="19"/>
  <c r="L86" i="19" s="1"/>
  <c r="M86" i="19" s="1"/>
  <c r="F87" i="19"/>
  <c r="K87" i="19" s="1"/>
  <c r="L87" i="19" s="1"/>
  <c r="M87" i="19" s="1"/>
  <c r="B57" i="23"/>
  <c r="F88" i="29" s="1"/>
  <c r="K88" i="29" s="1"/>
  <c r="K204" i="19" l="1"/>
  <c r="F88" i="19"/>
  <c r="K88" i="19" s="1"/>
  <c r="L88" i="19" s="1"/>
  <c r="M88" i="19" s="1"/>
  <c r="B58" i="23"/>
  <c r="F89" i="29" s="1"/>
  <c r="K89" i="29" s="1"/>
  <c r="C12" i="9" l="1"/>
  <c r="D12" i="9" s="1"/>
  <c r="E12" i="9" s="1"/>
  <c r="C165" i="28"/>
  <c r="O204" i="19"/>
  <c r="L204" i="19"/>
  <c r="M204" i="19" s="1"/>
  <c r="H5" i="11"/>
  <c r="H6" i="11" s="1"/>
  <c r="F89" i="19"/>
  <c r="K89" i="19" s="1"/>
  <c r="L89" i="19" s="1"/>
  <c r="M89" i="19" s="1"/>
  <c r="B59" i="23"/>
  <c r="F90" i="29" s="1"/>
  <c r="K90" i="29" s="1"/>
  <c r="D165" i="28" l="1"/>
  <c r="F165" i="28"/>
  <c r="F90" i="19"/>
  <c r="K90" i="19" s="1"/>
  <c r="L90" i="19" s="1"/>
  <c r="M90" i="19" s="1"/>
  <c r="B60" i="23"/>
  <c r="F91" i="29" s="1"/>
  <c r="K91" i="29" s="1"/>
  <c r="F325" i="28" l="1"/>
  <c r="H325" i="28"/>
  <c r="G325" i="28"/>
  <c r="E72" i="28"/>
  <c r="E126" i="28" s="1"/>
  <c r="H72" i="28"/>
  <c r="H126" i="28" s="1"/>
  <c r="D72" i="28"/>
  <c r="D126" i="28" s="1"/>
  <c r="B72" i="28"/>
  <c r="C72" i="28"/>
  <c r="C126" i="28" s="1"/>
  <c r="F72" i="28"/>
  <c r="F126" i="28" s="1"/>
  <c r="G72" i="28"/>
  <c r="G126" i="28" s="1"/>
  <c r="G165" i="28"/>
  <c r="D37" i="28"/>
  <c r="E37" i="28" s="1"/>
  <c r="F91" i="19"/>
  <c r="K91" i="19" s="1"/>
  <c r="L91" i="19" s="1"/>
  <c r="M91" i="19" s="1"/>
  <c r="B61" i="23"/>
  <c r="F92" i="29" s="1"/>
  <c r="K92" i="29" s="1"/>
  <c r="I325" i="28" l="1"/>
  <c r="B126" i="28"/>
  <c r="I72" i="28"/>
  <c r="F92" i="19"/>
  <c r="K92" i="19" s="1"/>
  <c r="L92" i="19" s="1"/>
  <c r="M92" i="19" s="1"/>
  <c r="B62" i="23"/>
  <c r="F93" i="29" s="1"/>
  <c r="K93" i="29" s="1"/>
  <c r="F93" i="19" l="1"/>
  <c r="K93" i="19" s="1"/>
  <c r="L93" i="19" s="1"/>
  <c r="M93" i="19" s="1"/>
  <c r="B63" i="23"/>
  <c r="F94" i="29" s="1"/>
  <c r="K94" i="29" s="1"/>
  <c r="F94" i="19" l="1"/>
  <c r="K94" i="19" s="1"/>
  <c r="L94" i="19" s="1"/>
  <c r="M94" i="19" s="1"/>
  <c r="B64" i="23"/>
  <c r="F95" i="29" s="1"/>
  <c r="K95" i="29" s="1"/>
  <c r="F95" i="19" l="1"/>
  <c r="K95" i="19" s="1"/>
  <c r="L95" i="19" s="1"/>
  <c r="M95" i="19" s="1"/>
  <c r="B65" i="23"/>
  <c r="F96" i="29" s="1"/>
  <c r="K96" i="29" s="1"/>
  <c r="F96" i="19" l="1"/>
  <c r="K96" i="19" s="1"/>
  <c r="L96" i="19" s="1"/>
  <c r="M96" i="19" s="1"/>
  <c r="B66" i="23"/>
  <c r="F97" i="29" s="1"/>
  <c r="K97" i="29" s="1"/>
  <c r="F97" i="19" l="1"/>
  <c r="K97" i="19" s="1"/>
  <c r="L97" i="19" s="1"/>
  <c r="M97" i="19" s="1"/>
  <c r="B67" i="23"/>
  <c r="F98" i="29" s="1"/>
  <c r="K98" i="29" s="1"/>
  <c r="K205" i="29" s="1"/>
  <c r="C67" i="23"/>
  <c r="F6" i="23" s="1"/>
  <c r="G6" i="23" s="1"/>
  <c r="L205" i="29" l="1"/>
  <c r="M205" i="29" s="1"/>
  <c r="N205" i="19"/>
  <c r="F98" i="19"/>
  <c r="D67" i="23"/>
  <c r="C7" i="23" s="1"/>
  <c r="D7" i="23" s="1"/>
  <c r="B68" i="23" s="1"/>
  <c r="F99" i="29" s="1"/>
  <c r="K99" i="29" s="1"/>
  <c r="K98" i="19" l="1"/>
  <c r="L98" i="19" s="1"/>
  <c r="M98" i="19" s="1"/>
  <c r="E166" i="28"/>
  <c r="F99" i="19"/>
  <c r="K99" i="19" s="1"/>
  <c r="L99" i="19" s="1"/>
  <c r="M99" i="19" s="1"/>
  <c r="B69" i="23"/>
  <c r="F100" i="29" s="1"/>
  <c r="K100" i="29" s="1"/>
  <c r="K205" i="19" l="1"/>
  <c r="B70" i="23"/>
  <c r="F101" i="29" s="1"/>
  <c r="K101" i="29" s="1"/>
  <c r="F100" i="19"/>
  <c r="K100" i="19" s="1"/>
  <c r="L100" i="19" s="1"/>
  <c r="M100" i="19" s="1"/>
  <c r="C13" i="9" l="1"/>
  <c r="D13" i="9" s="1"/>
  <c r="E13" i="9" s="1"/>
  <c r="C166" i="28"/>
  <c r="I5" i="11"/>
  <c r="I6" i="11" s="1"/>
  <c r="O205" i="19"/>
  <c r="L205" i="19"/>
  <c r="M205" i="19" s="1"/>
  <c r="F101" i="19"/>
  <c r="K101" i="19" s="1"/>
  <c r="L101" i="19" s="1"/>
  <c r="M101" i="19" s="1"/>
  <c r="B71" i="23"/>
  <c r="F102" i="29" s="1"/>
  <c r="K102" i="29" s="1"/>
  <c r="D166" i="28" l="1"/>
  <c r="F166" i="28"/>
  <c r="F102" i="19"/>
  <c r="K102" i="19" s="1"/>
  <c r="L102" i="19" s="1"/>
  <c r="M102" i="19" s="1"/>
  <c r="B72" i="23"/>
  <c r="F103" i="29" s="1"/>
  <c r="K103" i="29" s="1"/>
  <c r="G326" i="28" l="1"/>
  <c r="F326" i="28"/>
  <c r="H326" i="28"/>
  <c r="E73" i="28"/>
  <c r="E127" i="28" s="1"/>
  <c r="D73" i="28"/>
  <c r="D127" i="28" s="1"/>
  <c r="G73" i="28"/>
  <c r="G127" i="28" s="1"/>
  <c r="F73" i="28"/>
  <c r="F127" i="28" s="1"/>
  <c r="H73" i="28"/>
  <c r="H127" i="28" s="1"/>
  <c r="C73" i="28"/>
  <c r="C127" i="28" s="1"/>
  <c r="B73" i="28"/>
  <c r="G166" i="28"/>
  <c r="D38" i="28"/>
  <c r="E38" i="28" s="1"/>
  <c r="F103" i="19"/>
  <c r="K103" i="19" s="1"/>
  <c r="L103" i="19" s="1"/>
  <c r="M103" i="19" s="1"/>
  <c r="B73" i="23"/>
  <c r="F104" i="29" s="1"/>
  <c r="K104" i="29" s="1"/>
  <c r="B127" i="28" l="1"/>
  <c r="I73" i="28"/>
  <c r="I326" i="28"/>
  <c r="F104" i="19"/>
  <c r="K104" i="19" s="1"/>
  <c r="L104" i="19" s="1"/>
  <c r="M104" i="19" s="1"/>
  <c r="B74" i="23"/>
  <c r="F105" i="29" s="1"/>
  <c r="K105" i="29" s="1"/>
  <c r="F105" i="19" l="1"/>
  <c r="K105" i="19" s="1"/>
  <c r="L105" i="19" s="1"/>
  <c r="M105" i="19" s="1"/>
  <c r="B75" i="23"/>
  <c r="F106" i="29" s="1"/>
  <c r="K106" i="29" s="1"/>
  <c r="F106" i="19" l="1"/>
  <c r="K106" i="19" s="1"/>
  <c r="L106" i="19" s="1"/>
  <c r="M106" i="19" s="1"/>
  <c r="B76" i="23"/>
  <c r="F107" i="29" s="1"/>
  <c r="K107" i="29" s="1"/>
  <c r="F107" i="19" l="1"/>
  <c r="K107" i="19" s="1"/>
  <c r="L107" i="19" s="1"/>
  <c r="M107" i="19" s="1"/>
  <c r="B77" i="23"/>
  <c r="F108" i="29" s="1"/>
  <c r="K108" i="29" s="1"/>
  <c r="F108" i="19" l="1"/>
  <c r="K108" i="19" s="1"/>
  <c r="L108" i="19" s="1"/>
  <c r="M108" i="19" s="1"/>
  <c r="B78" i="23"/>
  <c r="F109" i="29" s="1"/>
  <c r="K109" i="29" s="1"/>
  <c r="F109" i="19" l="1"/>
  <c r="K109" i="19" s="1"/>
  <c r="L109" i="19" s="1"/>
  <c r="M109" i="19" s="1"/>
  <c r="B79" i="23"/>
  <c r="F110" i="29" s="1"/>
  <c r="K110" i="29" s="1"/>
  <c r="K206" i="29" s="1"/>
  <c r="C79" i="23" l="1"/>
  <c r="F7" i="23" s="1"/>
  <c r="G7" i="23" s="1"/>
  <c r="L206" i="29"/>
  <c r="M206" i="29" s="1"/>
  <c r="N206" i="19"/>
  <c r="F110" i="19"/>
  <c r="D79" i="23"/>
  <c r="C8" i="23" s="1"/>
  <c r="D8" i="23" s="1"/>
  <c r="B80" i="23" s="1"/>
  <c r="F111" i="29" s="1"/>
  <c r="K111" i="29" s="1"/>
  <c r="E167" i="28" l="1"/>
  <c r="K110" i="19"/>
  <c r="L110" i="19" s="1"/>
  <c r="M110" i="19" s="1"/>
  <c r="F111" i="19"/>
  <c r="K111" i="19" s="1"/>
  <c r="L111" i="19" s="1"/>
  <c r="M111" i="19" s="1"/>
  <c r="B81" i="23"/>
  <c r="F112" i="29" s="1"/>
  <c r="K112" i="29" s="1"/>
  <c r="K206" i="19" l="1"/>
  <c r="B82" i="23"/>
  <c r="F113" i="29" s="1"/>
  <c r="K113" i="29" s="1"/>
  <c r="F112" i="19"/>
  <c r="K112" i="19" s="1"/>
  <c r="L112" i="19" s="1"/>
  <c r="M112" i="19" s="1"/>
  <c r="O206" i="19" l="1"/>
  <c r="J5" i="11"/>
  <c r="J6" i="11" s="1"/>
  <c r="L206" i="19"/>
  <c r="M206" i="19" s="1"/>
  <c r="C167" i="28"/>
  <c r="D167" i="28" s="1"/>
  <c r="C14" i="9"/>
  <c r="D14" i="9" s="1"/>
  <c r="E14" i="9" s="1"/>
  <c r="F113" i="19"/>
  <c r="K113" i="19" s="1"/>
  <c r="L113" i="19" s="1"/>
  <c r="M113" i="19" s="1"/>
  <c r="B83" i="23"/>
  <c r="F114" i="29" s="1"/>
  <c r="K114" i="29" s="1"/>
  <c r="F167" i="28" l="1"/>
  <c r="G327" i="28" s="1"/>
  <c r="F114" i="19"/>
  <c r="K114" i="19" s="1"/>
  <c r="L114" i="19" s="1"/>
  <c r="M114" i="19" s="1"/>
  <c r="B84" i="23"/>
  <c r="F115" i="29" s="1"/>
  <c r="K115" i="29" s="1"/>
  <c r="F74" i="28" l="1"/>
  <c r="F128" i="28" s="1"/>
  <c r="G167" i="28"/>
  <c r="E74" i="28"/>
  <c r="E128" i="28" s="1"/>
  <c r="D39" i="28"/>
  <c r="E39" i="28" s="1"/>
  <c r="H74" i="28"/>
  <c r="H128" i="28" s="1"/>
  <c r="H327" i="28"/>
  <c r="I327" i="28" s="1"/>
  <c r="B74" i="28"/>
  <c r="B128" i="28" s="1"/>
  <c r="D74" i="28"/>
  <c r="D128" i="28" s="1"/>
  <c r="F327" i="28"/>
  <c r="G74" i="28"/>
  <c r="G128" i="28" s="1"/>
  <c r="C74" i="28"/>
  <c r="C128" i="28" s="1"/>
  <c r="F115" i="19"/>
  <c r="K115" i="19" s="1"/>
  <c r="L115" i="19" s="1"/>
  <c r="M115" i="19" s="1"/>
  <c r="B85" i="23"/>
  <c r="F116" i="29" s="1"/>
  <c r="K116" i="29" s="1"/>
  <c r="I74" i="28" l="1"/>
  <c r="F116" i="19"/>
  <c r="K116" i="19" s="1"/>
  <c r="L116" i="19" s="1"/>
  <c r="M116" i="19" s="1"/>
  <c r="B86" i="23"/>
  <c r="F117" i="29" s="1"/>
  <c r="K117" i="29" s="1"/>
  <c r="F117" i="19" l="1"/>
  <c r="K117" i="19" s="1"/>
  <c r="L117" i="19" s="1"/>
  <c r="M117" i="19" s="1"/>
  <c r="B87" i="23"/>
  <c r="F118" i="29" s="1"/>
  <c r="K118" i="29" s="1"/>
  <c r="F118" i="19" l="1"/>
  <c r="K118" i="19" s="1"/>
  <c r="L118" i="19" s="1"/>
  <c r="M118" i="19" s="1"/>
  <c r="B88" i="23"/>
  <c r="F119" i="29" s="1"/>
  <c r="K119" i="29" s="1"/>
  <c r="F119" i="19" l="1"/>
  <c r="K119" i="19" s="1"/>
  <c r="L119" i="19" s="1"/>
  <c r="M119" i="19" s="1"/>
  <c r="B89" i="23"/>
  <c r="F120" i="29" s="1"/>
  <c r="K120" i="29" s="1"/>
  <c r="F120" i="19" l="1"/>
  <c r="K120" i="19" s="1"/>
  <c r="L120" i="19" s="1"/>
  <c r="M120" i="19" s="1"/>
  <c r="B90" i="23"/>
  <c r="F121" i="29" s="1"/>
  <c r="K121" i="29" s="1"/>
  <c r="F121" i="19" l="1"/>
  <c r="K121" i="19" s="1"/>
  <c r="L121" i="19" s="1"/>
  <c r="M121" i="19" s="1"/>
  <c r="B91" i="23"/>
  <c r="F122" i="29" s="1"/>
  <c r="K122" i="29" s="1"/>
  <c r="K207" i="29" s="1"/>
  <c r="C91" i="23"/>
  <c r="F8" i="23" s="1"/>
  <c r="G8" i="23" s="1"/>
  <c r="L207" i="29" l="1"/>
  <c r="M207" i="29" s="1"/>
  <c r="N207" i="19"/>
  <c r="F122" i="19"/>
  <c r="D91" i="23"/>
  <c r="C9" i="23" s="1"/>
  <c r="D9" i="23" s="1"/>
  <c r="B92" i="23" s="1"/>
  <c r="F123" i="29" s="1"/>
  <c r="K123" i="29" s="1"/>
  <c r="E168" i="28" l="1"/>
  <c r="K122" i="19"/>
  <c r="F123" i="19"/>
  <c r="K123" i="19" s="1"/>
  <c r="L123" i="19" s="1"/>
  <c r="M123" i="19" s="1"/>
  <c r="B93" i="23"/>
  <c r="F124" i="29" s="1"/>
  <c r="K124" i="29" s="1"/>
  <c r="K207" i="19" l="1"/>
  <c r="C15" i="9" s="1"/>
  <c r="D15" i="9" s="1"/>
  <c r="E15" i="9" s="1"/>
  <c r="L122" i="19"/>
  <c r="M122" i="19" s="1"/>
  <c r="F124" i="19"/>
  <c r="K124" i="19" s="1"/>
  <c r="L124" i="19" s="1"/>
  <c r="M124" i="19" s="1"/>
  <c r="B94" i="23"/>
  <c r="F125" i="29" s="1"/>
  <c r="K125" i="29" s="1"/>
  <c r="K5" i="11" l="1"/>
  <c r="Q365" i="28" s="1"/>
  <c r="L207" i="19"/>
  <c r="M207" i="19" s="1"/>
  <c r="C168" i="28"/>
  <c r="O207" i="19"/>
  <c r="B95" i="23"/>
  <c r="F126" i="29" s="1"/>
  <c r="K126" i="29" s="1"/>
  <c r="F125" i="19"/>
  <c r="K125" i="19" s="1"/>
  <c r="L125" i="19" s="1"/>
  <c r="M125" i="19" s="1"/>
  <c r="K6" i="11" l="1"/>
  <c r="Q366" i="28" s="1"/>
  <c r="D168" i="28"/>
  <c r="F168" i="28"/>
  <c r="F126" i="19"/>
  <c r="K126" i="19" s="1"/>
  <c r="L126" i="19" s="1"/>
  <c r="M126" i="19" s="1"/>
  <c r="B96" i="23"/>
  <c r="F127" i="29" s="1"/>
  <c r="K127" i="29" s="1"/>
  <c r="R366" i="28" l="1"/>
  <c r="AK426" i="28"/>
  <c r="H328" i="28"/>
  <c r="F328" i="28"/>
  <c r="G328" i="28"/>
  <c r="E75" i="28"/>
  <c r="E129" i="28" s="1"/>
  <c r="D75" i="28"/>
  <c r="D129" i="28" s="1"/>
  <c r="C75" i="28"/>
  <c r="C129" i="28" s="1"/>
  <c r="B75" i="28"/>
  <c r="H75" i="28"/>
  <c r="H129" i="28" s="1"/>
  <c r="G75" i="28"/>
  <c r="G129" i="28" s="1"/>
  <c r="G168" i="28"/>
  <c r="F127" i="19"/>
  <c r="K127" i="19" s="1"/>
  <c r="L127" i="19" s="1"/>
  <c r="M127" i="19" s="1"/>
  <c r="B97" i="23"/>
  <c r="F128" i="29" s="1"/>
  <c r="K128" i="29" s="1"/>
  <c r="I328" i="28" l="1"/>
  <c r="B129" i="28"/>
  <c r="AK431" i="28"/>
  <c r="AO431" i="28" s="1"/>
  <c r="AK432" i="28"/>
  <c r="AO432" i="28" s="1"/>
  <c r="AK429" i="28"/>
  <c r="AO429" i="28" s="1"/>
  <c r="AK433" i="28"/>
  <c r="AO433" i="28" s="1"/>
  <c r="AK434" i="28"/>
  <c r="AO434" i="28" s="1"/>
  <c r="AK430" i="28"/>
  <c r="AO430" i="28" s="1"/>
  <c r="AK428" i="28"/>
  <c r="AO428" i="28" s="1"/>
  <c r="F128" i="19"/>
  <c r="K128" i="19" s="1"/>
  <c r="L128" i="19" s="1"/>
  <c r="M128" i="19" s="1"/>
  <c r="B98" i="23"/>
  <c r="F129" i="29" s="1"/>
  <c r="K129" i="29" s="1"/>
  <c r="F129" i="19" l="1"/>
  <c r="K129" i="19" s="1"/>
  <c r="L129" i="19" s="1"/>
  <c r="M129" i="19" s="1"/>
  <c r="B99" i="23"/>
  <c r="F130" i="29" s="1"/>
  <c r="K130" i="29" s="1"/>
  <c r="F130" i="19" l="1"/>
  <c r="K130" i="19" s="1"/>
  <c r="L130" i="19" s="1"/>
  <c r="M130" i="19" s="1"/>
  <c r="B100" i="23"/>
  <c r="F131" i="29" s="1"/>
  <c r="K131" i="29" s="1"/>
  <c r="F131" i="19" l="1"/>
  <c r="K131" i="19" s="1"/>
  <c r="L131" i="19" s="1"/>
  <c r="M131" i="19" s="1"/>
  <c r="B101" i="23"/>
  <c r="F132" i="29" s="1"/>
  <c r="K132" i="29" s="1"/>
  <c r="F132" i="19" l="1"/>
  <c r="K132" i="19" s="1"/>
  <c r="L132" i="19" s="1"/>
  <c r="M132" i="19" s="1"/>
  <c r="B102" i="23"/>
  <c r="F133" i="29" s="1"/>
  <c r="K133" i="29" s="1"/>
  <c r="F133" i="19" l="1"/>
  <c r="K133" i="19" s="1"/>
  <c r="L133" i="19" s="1"/>
  <c r="M133" i="19" s="1"/>
  <c r="B103" i="23"/>
  <c r="F134" i="29" s="1"/>
  <c r="K134" i="29" s="1"/>
  <c r="K208" i="29" s="1"/>
  <c r="C103" i="23" l="1"/>
  <c r="F9" i="23" s="1"/>
  <c r="G9" i="23" s="1"/>
  <c r="L208" i="29"/>
  <c r="M208" i="29" s="1"/>
  <c r="N208" i="19"/>
  <c r="F134" i="19"/>
  <c r="D103" i="23"/>
  <c r="C10" i="23" s="1"/>
  <c r="D10" i="23" s="1"/>
  <c r="B104" i="23" s="1"/>
  <c r="F135" i="29" s="1"/>
  <c r="K135" i="29" s="1"/>
  <c r="E169" i="28" l="1"/>
  <c r="K134" i="19"/>
  <c r="B105" i="23"/>
  <c r="F136" i="29" s="1"/>
  <c r="K136" i="29" s="1"/>
  <c r="F135" i="19"/>
  <c r="K135" i="19" s="1"/>
  <c r="L135" i="19" s="1"/>
  <c r="M135" i="19" s="1"/>
  <c r="K208" i="19" l="1"/>
  <c r="C16" i="9" s="1"/>
  <c r="D16" i="9" s="1"/>
  <c r="E16" i="9" s="1"/>
  <c r="L134" i="19"/>
  <c r="M134" i="19" s="1"/>
  <c r="F136" i="19"/>
  <c r="K136" i="19" s="1"/>
  <c r="L136" i="19" s="1"/>
  <c r="M136" i="19" s="1"/>
  <c r="B106" i="23"/>
  <c r="F137" i="29" s="1"/>
  <c r="K137" i="29" s="1"/>
  <c r="L5" i="11" l="1"/>
  <c r="R365" i="28" s="1"/>
  <c r="L208" i="19"/>
  <c r="M208" i="19" s="1"/>
  <c r="C169" i="28"/>
  <c r="O208" i="19"/>
  <c r="L6" i="11"/>
  <c r="F137" i="19"/>
  <c r="K137" i="19" s="1"/>
  <c r="L137" i="19" s="1"/>
  <c r="M137" i="19" s="1"/>
  <c r="B107" i="23"/>
  <c r="F138" i="29" s="1"/>
  <c r="K138" i="29" s="1"/>
  <c r="D169" i="28" l="1"/>
  <c r="F169" i="28"/>
  <c r="F138" i="19"/>
  <c r="K138" i="19" s="1"/>
  <c r="L138" i="19" s="1"/>
  <c r="M138" i="19" s="1"/>
  <c r="B108" i="23"/>
  <c r="F139" i="29" s="1"/>
  <c r="K139" i="29" s="1"/>
  <c r="AL426" i="28" l="1"/>
  <c r="G329" i="28"/>
  <c r="H329" i="28"/>
  <c r="F329" i="28"/>
  <c r="D76" i="28"/>
  <c r="D130" i="28" s="1"/>
  <c r="B76" i="28"/>
  <c r="G76" i="28"/>
  <c r="G130" i="28" s="1"/>
  <c r="F76" i="28"/>
  <c r="F130" i="28" s="1"/>
  <c r="E76" i="28"/>
  <c r="E130" i="28" s="1"/>
  <c r="H76" i="28"/>
  <c r="H130" i="28" s="1"/>
  <c r="C76" i="28"/>
  <c r="C130" i="28" s="1"/>
  <c r="D41" i="28"/>
  <c r="G169" i="28"/>
  <c r="F139" i="19"/>
  <c r="K139" i="19" s="1"/>
  <c r="L139" i="19" s="1"/>
  <c r="M139" i="19" s="1"/>
  <c r="B109" i="23"/>
  <c r="F140" i="29" s="1"/>
  <c r="K140" i="29" s="1"/>
  <c r="I329" i="28" l="1"/>
  <c r="B130" i="28"/>
  <c r="I76" i="28"/>
  <c r="AK457" i="28"/>
  <c r="AL431" i="28"/>
  <c r="AL432" i="28"/>
  <c r="AL433" i="28"/>
  <c r="AL430" i="28"/>
  <c r="AL428" i="28"/>
  <c r="AL434" i="28"/>
  <c r="AL429" i="28"/>
  <c r="F140" i="19"/>
  <c r="K140" i="19" s="1"/>
  <c r="L140" i="19" s="1"/>
  <c r="M140" i="19" s="1"/>
  <c r="B110" i="23"/>
  <c r="F141" i="29" s="1"/>
  <c r="K141" i="29" s="1"/>
  <c r="AP432" i="28" l="1"/>
  <c r="AO441" i="28" s="1"/>
  <c r="AK441" i="28"/>
  <c r="AP429" i="28"/>
  <c r="AO438" i="28" s="1"/>
  <c r="AK438" i="28"/>
  <c r="AP433" i="28"/>
  <c r="AO442" i="28" s="1"/>
  <c r="AK442" i="28"/>
  <c r="AK443" i="28"/>
  <c r="AP434" i="28"/>
  <c r="AO443" i="28" s="1"/>
  <c r="AP428" i="28"/>
  <c r="AO437" i="28" s="1"/>
  <c r="AK437" i="28"/>
  <c r="AP431" i="28"/>
  <c r="AO440" i="28" s="1"/>
  <c r="AK440" i="28"/>
  <c r="AP430" i="28"/>
  <c r="AO439" i="28" s="1"/>
  <c r="AK439" i="28"/>
  <c r="AK462" i="28"/>
  <c r="AO462" i="28" s="1"/>
  <c r="AK463" i="28"/>
  <c r="AO463" i="28" s="1"/>
  <c r="AK464" i="28"/>
  <c r="AO464" i="28" s="1"/>
  <c r="AK461" i="28"/>
  <c r="AO461" i="28" s="1"/>
  <c r="AK460" i="28"/>
  <c r="AO460" i="28" s="1"/>
  <c r="AK465" i="28"/>
  <c r="AO465" i="28" s="1"/>
  <c r="AK459" i="28"/>
  <c r="AO459" i="28" s="1"/>
  <c r="F141" i="19"/>
  <c r="K141" i="19" s="1"/>
  <c r="L141" i="19" s="1"/>
  <c r="M141" i="19" s="1"/>
  <c r="B111" i="23"/>
  <c r="F142" i="29" s="1"/>
  <c r="K142" i="29" s="1"/>
  <c r="F142" i="19" l="1"/>
  <c r="K142" i="19" s="1"/>
  <c r="L142" i="19" s="1"/>
  <c r="M142" i="19" s="1"/>
  <c r="B112" i="23"/>
  <c r="F143" i="29" s="1"/>
  <c r="K143" i="29" s="1"/>
  <c r="F143" i="19" l="1"/>
  <c r="K143" i="19" s="1"/>
  <c r="L143" i="19" s="1"/>
  <c r="M143" i="19" s="1"/>
  <c r="B113" i="23"/>
  <c r="F144" i="29" s="1"/>
  <c r="K144" i="29" s="1"/>
  <c r="F144" i="19" l="1"/>
  <c r="K144" i="19" s="1"/>
  <c r="L144" i="19" s="1"/>
  <c r="M144" i="19" s="1"/>
  <c r="B114" i="23"/>
  <c r="F145" i="29" s="1"/>
  <c r="K145" i="29" s="1"/>
  <c r="F145" i="19" l="1"/>
  <c r="K145" i="19" s="1"/>
  <c r="L145" i="19" s="1"/>
  <c r="M145" i="19" s="1"/>
  <c r="B115" i="23"/>
  <c r="F146" i="29" s="1"/>
  <c r="K146" i="29" s="1"/>
  <c r="K209" i="29" s="1"/>
  <c r="L209" i="29" l="1"/>
  <c r="M209" i="29" s="1"/>
  <c r="N209" i="19"/>
  <c r="F146" i="19"/>
  <c r="K146" i="19" s="1"/>
  <c r="L146" i="19" s="1"/>
  <c r="M146" i="19" s="1"/>
  <c r="D115" i="23"/>
  <c r="C11" i="23" s="1"/>
  <c r="D11" i="23" s="1"/>
  <c r="B116" i="23" s="1"/>
  <c r="F147" i="29" s="1"/>
  <c r="K147" i="29" s="1"/>
  <c r="C115" i="23"/>
  <c r="F10" i="23" s="1"/>
  <c r="G10" i="23" s="1"/>
  <c r="E170" i="28" l="1"/>
  <c r="F147" i="19"/>
  <c r="K147" i="19" s="1"/>
  <c r="L147" i="19" s="1"/>
  <c r="M147" i="19" s="1"/>
  <c r="B117" i="23"/>
  <c r="F148" i="29" s="1"/>
  <c r="K148" i="29" s="1"/>
  <c r="K209" i="19"/>
  <c r="O209" i="19" s="1"/>
  <c r="C17" i="9" l="1"/>
  <c r="D17" i="9" s="1"/>
  <c r="E17" i="9" s="1"/>
  <c r="C170" i="28"/>
  <c r="D170" i="28" s="1"/>
  <c r="L209" i="19"/>
  <c r="M209" i="19" s="1"/>
  <c r="M5" i="11"/>
  <c r="T365" i="28" s="1"/>
  <c r="B118" i="23"/>
  <c r="F149" i="29" s="1"/>
  <c r="K149" i="29" s="1"/>
  <c r="F148" i="19"/>
  <c r="K148" i="19" s="1"/>
  <c r="L148" i="19" s="1"/>
  <c r="M148" i="19" s="1"/>
  <c r="F170" i="28" l="1"/>
  <c r="M6" i="11"/>
  <c r="T366" i="28" s="1"/>
  <c r="B119" i="23"/>
  <c r="F150" i="29" s="1"/>
  <c r="K150" i="29" s="1"/>
  <c r="F149" i="19"/>
  <c r="K149" i="19" s="1"/>
  <c r="L149" i="19" s="1"/>
  <c r="M149" i="19" s="1"/>
  <c r="AL457" i="28" l="1"/>
  <c r="F330" i="28"/>
  <c r="H330" i="28"/>
  <c r="G330" i="28"/>
  <c r="G78" i="28"/>
  <c r="G132" i="28" s="1"/>
  <c r="C78" i="28"/>
  <c r="C132" i="28" s="1"/>
  <c r="F78" i="28"/>
  <c r="F132" i="28" s="1"/>
  <c r="D78" i="28"/>
  <c r="D132" i="28" s="1"/>
  <c r="E78" i="28"/>
  <c r="E132" i="28" s="1"/>
  <c r="B78" i="28"/>
  <c r="H78" i="28"/>
  <c r="H132" i="28" s="1"/>
  <c r="D42" i="28"/>
  <c r="E42" i="28" s="1"/>
  <c r="G170" i="28"/>
  <c r="B120" i="23"/>
  <c r="F151" i="29" s="1"/>
  <c r="K151" i="29" s="1"/>
  <c r="F150" i="19"/>
  <c r="K150" i="19" s="1"/>
  <c r="L150" i="19" s="1"/>
  <c r="M150" i="19" s="1"/>
  <c r="B132" i="28" l="1"/>
  <c r="I78" i="28"/>
  <c r="I330" i="28"/>
  <c r="AL488" i="28"/>
  <c r="AK519" i="28"/>
  <c r="AL462" i="28"/>
  <c r="AL464" i="28"/>
  <c r="AL463" i="28"/>
  <c r="AL461" i="28"/>
  <c r="AL460" i="28"/>
  <c r="AL465" i="28"/>
  <c r="AL459" i="28"/>
  <c r="B121" i="23"/>
  <c r="F152" i="29" s="1"/>
  <c r="K152" i="29" s="1"/>
  <c r="F151" i="19"/>
  <c r="K151" i="19" s="1"/>
  <c r="L151" i="19" s="1"/>
  <c r="M151" i="19" s="1"/>
  <c r="AP459" i="28" l="1"/>
  <c r="AO468" i="28" s="1"/>
  <c r="AK468" i="28"/>
  <c r="AK472" i="28"/>
  <c r="AP463" i="28"/>
  <c r="AO472" i="28" s="1"/>
  <c r="AL493" i="28"/>
  <c r="AL495" i="28"/>
  <c r="AL494" i="28"/>
  <c r="AL492" i="28"/>
  <c r="AL491" i="28"/>
  <c r="AL496" i="28"/>
  <c r="AL490" i="28"/>
  <c r="AK474" i="28"/>
  <c r="AP465" i="28"/>
  <c r="AO474" i="28" s="1"/>
  <c r="AP464" i="28"/>
  <c r="AO473" i="28" s="1"/>
  <c r="AK473" i="28"/>
  <c r="AP460" i="28"/>
  <c r="AO469" i="28" s="1"/>
  <c r="AK469" i="28"/>
  <c r="AP462" i="28"/>
  <c r="AO471" i="28" s="1"/>
  <c r="AK471" i="28"/>
  <c r="AP461" i="28"/>
  <c r="AO470" i="28" s="1"/>
  <c r="AK470" i="28"/>
  <c r="AK524" i="28"/>
  <c r="AO524" i="28" s="1"/>
  <c r="AK525" i="28"/>
  <c r="AO525" i="28" s="1"/>
  <c r="AK526" i="28"/>
  <c r="AO526" i="28" s="1"/>
  <c r="AK523" i="28"/>
  <c r="AO523" i="28" s="1"/>
  <c r="AK522" i="28"/>
  <c r="AO522" i="28" s="1"/>
  <c r="AK527" i="28"/>
  <c r="AO527" i="28" s="1"/>
  <c r="AK521" i="28"/>
  <c r="AO521" i="28" s="1"/>
  <c r="B122" i="23"/>
  <c r="F153" i="29" s="1"/>
  <c r="K153" i="29" s="1"/>
  <c r="F152" i="19"/>
  <c r="K152" i="19" s="1"/>
  <c r="L152" i="19" s="1"/>
  <c r="M152" i="19" s="1"/>
  <c r="AK500" i="28" l="1"/>
  <c r="AP491" i="28"/>
  <c r="AO500" i="28" s="1"/>
  <c r="AP493" i="28"/>
  <c r="AO502" i="28" s="1"/>
  <c r="AK502" i="28"/>
  <c r="AP492" i="28"/>
  <c r="AO501" i="28" s="1"/>
  <c r="AK501" i="28"/>
  <c r="AK503" i="28"/>
  <c r="AP494" i="28"/>
  <c r="AO503" i="28" s="1"/>
  <c r="AP490" i="28"/>
  <c r="AO499" i="28" s="1"/>
  <c r="AK499" i="28"/>
  <c r="AP496" i="28"/>
  <c r="AO505" i="28" s="1"/>
  <c r="AK505" i="28"/>
  <c r="AK504" i="28"/>
  <c r="AP495" i="28"/>
  <c r="AO504" i="28" s="1"/>
  <c r="B123" i="23"/>
  <c r="F154" i="29" s="1"/>
  <c r="K154" i="29" s="1"/>
  <c r="F153" i="19"/>
  <c r="K153" i="19" s="1"/>
  <c r="L153" i="19" s="1"/>
  <c r="M153" i="19" s="1"/>
  <c r="B124" i="23" l="1"/>
  <c r="F155" i="29" s="1"/>
  <c r="K155" i="29" s="1"/>
  <c r="F154" i="19"/>
  <c r="K154" i="19" s="1"/>
  <c r="L154" i="19" s="1"/>
  <c r="M154" i="19" s="1"/>
  <c r="B125" i="23" l="1"/>
  <c r="F156" i="29" s="1"/>
  <c r="K156" i="29" s="1"/>
  <c r="F155" i="19"/>
  <c r="K155" i="19" s="1"/>
  <c r="L155" i="19" s="1"/>
  <c r="M155" i="19" s="1"/>
  <c r="B126" i="23" l="1"/>
  <c r="F157" i="29" s="1"/>
  <c r="K157" i="29" s="1"/>
  <c r="F156" i="19"/>
  <c r="K156" i="19" s="1"/>
  <c r="L156" i="19" s="1"/>
  <c r="M156" i="19" s="1"/>
  <c r="B127" i="23" l="1"/>
  <c r="F158" i="29" s="1"/>
  <c r="K158" i="29" s="1"/>
  <c r="K210" i="29" s="1"/>
  <c r="F157" i="19"/>
  <c r="K157" i="19" s="1"/>
  <c r="L157" i="19" s="1"/>
  <c r="M157" i="19" s="1"/>
  <c r="N210" i="19" l="1"/>
  <c r="L210" i="29"/>
  <c r="M210" i="29" s="1"/>
  <c r="F158" i="19"/>
  <c r="D127" i="23"/>
  <c r="C12" i="23" s="1"/>
  <c r="D12" i="23" s="1"/>
  <c r="B128" i="23" s="1"/>
  <c r="F159" i="29" s="1"/>
  <c r="K159" i="29" s="1"/>
  <c r="C127" i="23"/>
  <c r="F11" i="23" s="1"/>
  <c r="G11" i="23" s="1"/>
  <c r="E171" i="28" l="1"/>
  <c r="K158" i="19"/>
  <c r="F159" i="19"/>
  <c r="K159" i="19" s="1"/>
  <c r="L159" i="19" s="1"/>
  <c r="M159" i="19" s="1"/>
  <c r="B129" i="23"/>
  <c r="F160" i="29" s="1"/>
  <c r="K160" i="29" s="1"/>
  <c r="K210" i="19" l="1"/>
  <c r="L158" i="19"/>
  <c r="M158" i="19" s="1"/>
  <c r="F160" i="19"/>
  <c r="K160" i="19" s="1"/>
  <c r="L160" i="19" s="1"/>
  <c r="M160" i="19" s="1"/>
  <c r="B130" i="23"/>
  <c r="F161" i="29" s="1"/>
  <c r="K161" i="29" s="1"/>
  <c r="L210" i="19" l="1"/>
  <c r="M210" i="19" s="1"/>
  <c r="C171" i="28"/>
  <c r="N5" i="11"/>
  <c r="O210" i="19"/>
  <c r="C18" i="9"/>
  <c r="D18" i="9" s="1"/>
  <c r="E18" i="9" s="1"/>
  <c r="B131" i="23"/>
  <c r="F162" i="29" s="1"/>
  <c r="K162" i="29" s="1"/>
  <c r="F161" i="19"/>
  <c r="K161" i="19" s="1"/>
  <c r="L161" i="19" s="1"/>
  <c r="M161" i="19" s="1"/>
  <c r="U365" i="28" l="1"/>
  <c r="N6" i="11"/>
  <c r="U366" i="28" s="1"/>
  <c r="D171" i="28"/>
  <c r="F171" i="28"/>
  <c r="B132" i="23"/>
  <c r="F163" i="29" s="1"/>
  <c r="K163" i="29" s="1"/>
  <c r="F162" i="19"/>
  <c r="K162" i="19" s="1"/>
  <c r="L162" i="19" s="1"/>
  <c r="M162" i="19" s="1"/>
  <c r="AL519" i="28" l="1"/>
  <c r="H331" i="28"/>
  <c r="F331" i="28"/>
  <c r="G331" i="28"/>
  <c r="F79" i="28"/>
  <c r="F133" i="28" s="1"/>
  <c r="G79" i="28"/>
  <c r="G133" i="28" s="1"/>
  <c r="B79" i="28"/>
  <c r="D79" i="28"/>
  <c r="D133" i="28" s="1"/>
  <c r="E79" i="28"/>
  <c r="E133" i="28" s="1"/>
  <c r="H79" i="28"/>
  <c r="H133" i="28" s="1"/>
  <c r="C79" i="28"/>
  <c r="C133" i="28" s="1"/>
  <c r="D43" i="28"/>
  <c r="E43" i="28" s="1"/>
  <c r="G171" i="28"/>
  <c r="B133" i="23"/>
  <c r="F164" i="29" s="1"/>
  <c r="K164" i="29" s="1"/>
  <c r="F163" i="19"/>
  <c r="K163" i="19" s="1"/>
  <c r="L163" i="19" s="1"/>
  <c r="M163" i="19" s="1"/>
  <c r="I331" i="28" l="1"/>
  <c r="B133" i="28"/>
  <c r="I79" i="28"/>
  <c r="AK550" i="28"/>
  <c r="AL524" i="28"/>
  <c r="AL526" i="28"/>
  <c r="AL525" i="28"/>
  <c r="AL523" i="28"/>
  <c r="AL527" i="28"/>
  <c r="AL522" i="28"/>
  <c r="AL521" i="28"/>
  <c r="B134" i="23"/>
  <c r="F165" i="29" s="1"/>
  <c r="K165" i="29" s="1"/>
  <c r="F164" i="19"/>
  <c r="K164" i="19" s="1"/>
  <c r="L164" i="19" s="1"/>
  <c r="M164" i="19" s="1"/>
  <c r="AP522" i="28" l="1"/>
  <c r="AO531" i="28" s="1"/>
  <c r="AK531" i="28"/>
  <c r="AP527" i="28"/>
  <c r="AO536" i="28" s="1"/>
  <c r="AK536" i="28"/>
  <c r="AP524" i="28"/>
  <c r="AO533" i="28" s="1"/>
  <c r="AK533" i="28"/>
  <c r="AK535" i="28"/>
  <c r="AP526" i="28"/>
  <c r="AO535" i="28" s="1"/>
  <c r="AP523" i="28"/>
  <c r="AO532" i="28" s="1"/>
  <c r="AK532" i="28"/>
  <c r="AK555" i="28"/>
  <c r="AO555" i="28" s="1"/>
  <c r="AK556" i="28"/>
  <c r="AO556" i="28" s="1"/>
  <c r="AK557" i="28"/>
  <c r="AO557" i="28" s="1"/>
  <c r="AK554" i="28"/>
  <c r="AO554" i="28" s="1"/>
  <c r="AK558" i="28"/>
  <c r="AO558" i="28" s="1"/>
  <c r="AK553" i="28"/>
  <c r="AO553" i="28" s="1"/>
  <c r="AK552" i="28"/>
  <c r="AO552" i="28" s="1"/>
  <c r="AK530" i="28"/>
  <c r="AP521" i="28"/>
  <c r="AO530" i="28" s="1"/>
  <c r="AK534" i="28"/>
  <c r="AP525" i="28"/>
  <c r="AO534" i="28" s="1"/>
  <c r="B135" i="23"/>
  <c r="F166" i="29" s="1"/>
  <c r="K166" i="29" s="1"/>
  <c r="F165" i="19"/>
  <c r="K165" i="19" s="1"/>
  <c r="L165" i="19" s="1"/>
  <c r="M165" i="19" s="1"/>
  <c r="B136" i="23" l="1"/>
  <c r="F167" i="29" s="1"/>
  <c r="K167" i="29" s="1"/>
  <c r="F166" i="19"/>
  <c r="K166" i="19" s="1"/>
  <c r="L166" i="19" s="1"/>
  <c r="M166" i="19" s="1"/>
  <c r="B137" i="23" l="1"/>
  <c r="F168" i="29" s="1"/>
  <c r="K168" i="29" s="1"/>
  <c r="F167" i="19"/>
  <c r="K167" i="19" s="1"/>
  <c r="L167" i="19" s="1"/>
  <c r="M167" i="19" s="1"/>
  <c r="B138" i="23" l="1"/>
  <c r="F169" i="29" s="1"/>
  <c r="K169" i="29" s="1"/>
  <c r="F168" i="19"/>
  <c r="K168" i="19" s="1"/>
  <c r="L168" i="19" s="1"/>
  <c r="M168" i="19" s="1"/>
  <c r="B139" i="23" l="1"/>
  <c r="F170" i="29" s="1"/>
  <c r="K170" i="29" s="1"/>
  <c r="K211" i="29" s="1"/>
  <c r="F169" i="19"/>
  <c r="K169" i="19" s="1"/>
  <c r="L169" i="19" s="1"/>
  <c r="M169" i="19" s="1"/>
  <c r="N211" i="19" l="1"/>
  <c r="K215" i="29"/>
  <c r="L215" i="29" s="1"/>
  <c r="L211" i="29"/>
  <c r="M211" i="29" s="1"/>
  <c r="F170" i="19"/>
  <c r="D139" i="23"/>
  <c r="C139" i="23"/>
  <c r="F12" i="23" s="1"/>
  <c r="G12" i="23" s="1"/>
  <c r="E172" i="28" l="1"/>
  <c r="K170" i="19"/>
  <c r="K211" i="19" l="1"/>
  <c r="L211" i="19" s="1"/>
  <c r="M211" i="19" s="1"/>
  <c r="L170" i="19"/>
  <c r="M170" i="19" s="1"/>
  <c r="M171" i="19" s="1"/>
  <c r="L143" i="28" s="1"/>
  <c r="K215" i="19" l="1"/>
  <c r="L215" i="19" s="1"/>
  <c r="C19" i="9"/>
  <c r="D19" i="9" s="1"/>
  <c r="E19" i="9" s="1"/>
  <c r="O5" i="11"/>
  <c r="V365" i="28" s="1"/>
  <c r="C172" i="28"/>
  <c r="O211" i="19"/>
  <c r="D172" i="28" l="1"/>
  <c r="F172" i="28"/>
  <c r="O6" i="11"/>
  <c r="V366" i="28" s="1"/>
  <c r="G332" i="28" l="1"/>
  <c r="F332" i="28"/>
  <c r="H332" i="28"/>
  <c r="D80" i="28"/>
  <c r="D134" i="28" s="1"/>
  <c r="G172" i="28"/>
  <c r="H80" i="28"/>
  <c r="H134" i="28" s="1"/>
  <c r="E80" i="28"/>
  <c r="E134" i="28" s="1"/>
  <c r="F80" i="28"/>
  <c r="F134" i="28" s="1"/>
  <c r="D44" i="28"/>
  <c r="C80" i="28"/>
  <c r="C134" i="28" s="1"/>
  <c r="B80" i="28"/>
  <c r="G80" i="28"/>
  <c r="G134" i="28" s="1"/>
  <c r="AL550" i="28"/>
  <c r="AL558" i="28" l="1"/>
  <c r="AL555" i="28"/>
  <c r="AP555" i="28" s="1"/>
  <c r="AL557" i="28"/>
  <c r="AL556" i="28"/>
  <c r="AL553" i="28"/>
  <c r="AP553" i="28" s="1"/>
  <c r="AL554" i="28"/>
  <c r="AP554" i="28" s="1"/>
  <c r="AL552" i="28"/>
  <c r="I332" i="28"/>
  <c r="AK581" i="28"/>
  <c r="B134" i="28"/>
  <c r="I80" i="28"/>
  <c r="E44" i="28"/>
  <c r="AK588" i="28" l="1"/>
  <c r="AK586" i="28"/>
  <c r="AK589" i="28"/>
  <c r="AK587" i="28"/>
  <c r="AK584" i="28"/>
  <c r="AO584" i="28" s="1"/>
  <c r="AK585" i="28"/>
  <c r="AO585" i="28" s="1"/>
  <c r="AK583" i="28"/>
  <c r="AP557" i="28"/>
  <c r="AO566" i="28" s="1"/>
  <c r="AK566" i="28"/>
  <c r="AK567" i="28"/>
  <c r="AP558" i="28"/>
  <c r="AO567" i="28" s="1"/>
  <c r="AP556" i="28"/>
  <c r="AO565" i="28" s="1"/>
  <c r="AK565" i="28"/>
  <c r="AO562" i="28"/>
  <c r="AK562" i="28"/>
  <c r="AP552" i="28"/>
  <c r="AO561" i="28" s="1"/>
  <c r="AK561" i="28"/>
  <c r="AO563" i="28"/>
  <c r="AK563" i="28"/>
  <c r="AO564" i="28"/>
  <c r="AK564" i="28"/>
  <c r="AO588" i="28" l="1"/>
  <c r="AO597" i="28" s="1"/>
  <c r="AK597" i="28"/>
  <c r="AO587" i="28"/>
  <c r="AO589" i="28"/>
  <c r="AO586" i="28"/>
  <c r="AO595" i="28" s="1"/>
  <c r="AO583" i="28"/>
  <c r="J122" i="19" l="1"/>
  <c r="J121" i="19"/>
  <c r="J120" i="19"/>
  <c r="J119" i="19"/>
  <c r="J118" i="19"/>
  <c r="J117" i="19"/>
  <c r="J116" i="19"/>
  <c r="J115" i="19"/>
  <c r="J114" i="19"/>
  <c r="J113" i="19"/>
  <c r="J112" i="19"/>
  <c r="J111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4" i="19"/>
  <c r="J5" i="19"/>
  <c r="J6" i="19"/>
  <c r="J7" i="19"/>
  <c r="J8" i="19"/>
  <c r="J9" i="19"/>
  <c r="J10" i="19"/>
  <c r="J11" i="19"/>
  <c r="J12" i="19"/>
  <c r="J13" i="19"/>
  <c r="J14" i="19"/>
  <c r="J3" i="19"/>
  <c r="L15" i="9" l="1"/>
  <c r="L38" i="9" l="1"/>
  <c r="L55" i="9" s="1"/>
  <c r="D29" i="18"/>
  <c r="L54" i="9"/>
  <c r="G15" i="9"/>
  <c r="K34" i="11"/>
  <c r="C346" i="28" l="1"/>
  <c r="D35" i="18"/>
  <c r="Q395" i="28"/>
  <c r="Q409" i="28" s="1"/>
  <c r="F60" i="28"/>
  <c r="K48" i="11"/>
  <c r="L62" i="9"/>
  <c r="F258" i="28" s="1"/>
  <c r="F15" i="9"/>
  <c r="F24" i="9" s="1"/>
  <c r="K11" i="11"/>
  <c r="K53" i="11"/>
  <c r="K58" i="11" l="1"/>
  <c r="C352" i="28"/>
  <c r="E296" i="28" s="1"/>
  <c r="E297" i="28" s="1"/>
  <c r="C351" i="28"/>
  <c r="Q372" i="28"/>
  <c r="B40" i="28"/>
  <c r="F114" i="28"/>
  <c r="F234" i="28" s="1"/>
  <c r="F75" i="28"/>
  <c r="I60" i="28"/>
  <c r="W368" i="28"/>
  <c r="Q8" i="11"/>
  <c r="P8" i="11"/>
  <c r="X368" i="28" l="1"/>
  <c r="C40" i="28"/>
  <c r="D40" i="28"/>
  <c r="C41" i="28"/>
  <c r="F129" i="28"/>
  <c r="I75" i="28"/>
  <c r="F253" i="28"/>
  <c r="F254" i="28"/>
  <c r="L73" i="9"/>
  <c r="G65" i="9"/>
  <c r="L74" i="9"/>
  <c r="G66" i="9"/>
  <c r="E40" i="28" l="1"/>
  <c r="E41" i="28"/>
  <c r="O74" i="9"/>
  <c r="O73" i="9"/>
  <c r="O86" i="9" l="1"/>
  <c r="O87" i="9"/>
  <c r="B13" i="23" l="1"/>
  <c r="C13" i="23"/>
  <c r="D13" i="23"/>
  <c r="F13" i="23"/>
  <c r="G13" i="23"/>
  <c r="C14" i="23"/>
  <c r="D14" i="23"/>
  <c r="F14" i="23"/>
  <c r="G14" i="23"/>
  <c r="B15" i="23"/>
  <c r="AE15" i="23"/>
  <c r="AE17" i="23"/>
  <c r="AE19" i="23"/>
  <c r="V31" i="23"/>
  <c r="V32" i="23"/>
  <c r="B140" i="23"/>
  <c r="B141" i="23"/>
  <c r="B142" i="23"/>
  <c r="B143" i="23"/>
  <c r="B144" i="23"/>
  <c r="B145" i="23"/>
  <c r="B146" i="23"/>
  <c r="B147" i="23"/>
  <c r="B148" i="23"/>
  <c r="B149" i="23"/>
  <c r="B150" i="23"/>
  <c r="B151" i="23"/>
  <c r="C151" i="23"/>
  <c r="D151" i="23"/>
  <c r="B152" i="23"/>
  <c r="B153" i="23"/>
  <c r="B154" i="23"/>
  <c r="B155" i="23"/>
  <c r="B156" i="23"/>
  <c r="B157" i="23"/>
  <c r="B158" i="23"/>
  <c r="B159" i="23"/>
  <c r="B160" i="23"/>
  <c r="B161" i="23"/>
  <c r="B162" i="23"/>
  <c r="B163" i="23"/>
  <c r="C163" i="23"/>
  <c r="D163" i="23"/>
  <c r="D45" i="28"/>
  <c r="E45" i="28"/>
  <c r="D46" i="28"/>
  <c r="E46" i="28"/>
  <c r="B81" i="28"/>
  <c r="C81" i="28"/>
  <c r="D81" i="28"/>
  <c r="E81" i="28"/>
  <c r="F81" i="28"/>
  <c r="G81" i="28"/>
  <c r="H81" i="28"/>
  <c r="I81" i="28"/>
  <c r="B82" i="28"/>
  <c r="C82" i="28"/>
  <c r="D82" i="28"/>
  <c r="E82" i="28"/>
  <c r="F82" i="28"/>
  <c r="G82" i="28"/>
  <c r="H82" i="28"/>
  <c r="I82" i="28"/>
  <c r="B135" i="28"/>
  <c r="C135" i="28"/>
  <c r="D135" i="28"/>
  <c r="F135" i="28"/>
  <c r="G135" i="28"/>
  <c r="H135" i="28"/>
  <c r="B136" i="28"/>
  <c r="C136" i="28"/>
  <c r="D136" i="28"/>
  <c r="F136" i="28"/>
  <c r="G136" i="28"/>
  <c r="H136" i="28"/>
  <c r="C173" i="28"/>
  <c r="E173" i="28"/>
  <c r="F173" i="28"/>
  <c r="C174" i="28"/>
  <c r="E174" i="28"/>
  <c r="F174" i="28"/>
  <c r="C175" i="28"/>
  <c r="C176" i="28"/>
  <c r="B306" i="28"/>
  <c r="C306" i="28"/>
  <c r="D306" i="28"/>
  <c r="E306" i="28"/>
  <c r="F306" i="28"/>
  <c r="G306" i="28"/>
  <c r="H306" i="28"/>
  <c r="I306" i="28"/>
  <c r="B307" i="28"/>
  <c r="C307" i="28"/>
  <c r="D307" i="28"/>
  <c r="E307" i="28"/>
  <c r="F307" i="28"/>
  <c r="G307" i="28"/>
  <c r="H307" i="28"/>
  <c r="I307" i="28"/>
  <c r="B312" i="28"/>
  <c r="C312" i="28"/>
  <c r="D312" i="28"/>
  <c r="E312" i="28"/>
  <c r="F312" i="28"/>
  <c r="G312" i="28"/>
  <c r="H312" i="28"/>
  <c r="I312" i="28"/>
  <c r="B313" i="28"/>
  <c r="C313" i="28"/>
  <c r="D313" i="28"/>
  <c r="E313" i="28"/>
  <c r="F313" i="28"/>
  <c r="G313" i="28"/>
  <c r="H313" i="28"/>
  <c r="I313" i="28"/>
  <c r="B357" i="28"/>
  <c r="C357" i="28"/>
  <c r="E357" i="28"/>
  <c r="B358" i="28"/>
  <c r="C358" i="28"/>
  <c r="E358" i="28"/>
  <c r="W365" i="28"/>
  <c r="X365" i="28"/>
  <c r="W370" i="28"/>
  <c r="X370" i="28"/>
  <c r="W372" i="28"/>
  <c r="X372" i="28"/>
  <c r="W377" i="28"/>
  <c r="X377" i="28"/>
  <c r="W381" i="28"/>
  <c r="X381" i="28"/>
  <c r="W385" i="28"/>
  <c r="X385" i="28"/>
  <c r="W386" i="28"/>
  <c r="X386" i="28"/>
  <c r="W390" i="28"/>
  <c r="X390" i="28"/>
  <c r="W391" i="28"/>
  <c r="X391" i="28"/>
  <c r="W395" i="28"/>
  <c r="X395" i="28"/>
  <c r="W396" i="28"/>
  <c r="X396" i="28"/>
  <c r="W400" i="28"/>
  <c r="X400" i="28"/>
  <c r="W405" i="28"/>
  <c r="X405" i="28"/>
  <c r="W409" i="28"/>
  <c r="X409" i="28"/>
  <c r="W410" i="28"/>
  <c r="X410" i="28"/>
  <c r="AJ583" i="28"/>
  <c r="AL583" i="28"/>
  <c r="AN583" i="28"/>
  <c r="AP583" i="28"/>
  <c r="AJ584" i="28"/>
  <c r="AL584" i="28"/>
  <c r="AN584" i="28"/>
  <c r="AP584" i="28"/>
  <c r="AJ585" i="28"/>
  <c r="AL585" i="28"/>
  <c r="AN585" i="28"/>
  <c r="AP585" i="28"/>
  <c r="AJ586" i="28"/>
  <c r="AL586" i="28"/>
  <c r="AJ587" i="28"/>
  <c r="AL587" i="28"/>
  <c r="AN587" i="28"/>
  <c r="AP587" i="28"/>
  <c r="AJ589" i="28"/>
  <c r="AL589" i="28"/>
  <c r="AN589" i="28"/>
  <c r="AP589" i="28"/>
  <c r="AI592" i="28"/>
  <c r="AK592" i="28"/>
  <c r="AM592" i="28"/>
  <c r="AO592" i="28"/>
  <c r="AI593" i="28"/>
  <c r="AK593" i="28"/>
  <c r="AM593" i="28"/>
  <c r="AO593" i="28"/>
  <c r="AI594" i="28"/>
  <c r="AK594" i="28"/>
  <c r="AM594" i="28"/>
  <c r="AO594" i="28"/>
  <c r="AI595" i="28"/>
  <c r="AK595" i="28"/>
  <c r="AI596" i="28"/>
  <c r="AK596" i="28"/>
  <c r="AM596" i="28"/>
  <c r="AO596" i="28"/>
  <c r="AI598" i="28"/>
  <c r="AK598" i="28"/>
  <c r="AM598" i="28"/>
  <c r="AO598" i="28"/>
  <c r="AI614" i="28"/>
  <c r="AJ614" i="28"/>
  <c r="AK614" i="28"/>
  <c r="AL614" i="28"/>
  <c r="AM614" i="28"/>
  <c r="AN614" i="28"/>
  <c r="AO614" i="28"/>
  <c r="AP614" i="28"/>
  <c r="AI615" i="28"/>
  <c r="AJ615" i="28"/>
  <c r="AK615" i="28"/>
  <c r="AL615" i="28"/>
  <c r="AM615" i="28"/>
  <c r="AN615" i="28"/>
  <c r="AO615" i="28"/>
  <c r="AP615" i="28"/>
  <c r="AI616" i="28"/>
  <c r="AJ616" i="28"/>
  <c r="AK616" i="28"/>
  <c r="AL616" i="28"/>
  <c r="AM616" i="28"/>
  <c r="AN616" i="28"/>
  <c r="AO616" i="28"/>
  <c r="AP616" i="28"/>
  <c r="AI617" i="28"/>
  <c r="AJ617" i="28"/>
  <c r="AK617" i="28"/>
  <c r="AL617" i="28"/>
  <c r="AI618" i="28"/>
  <c r="AJ618" i="28"/>
  <c r="AK618" i="28"/>
  <c r="AL618" i="28"/>
  <c r="AM618" i="28"/>
  <c r="AN618" i="28"/>
  <c r="AO618" i="28"/>
  <c r="AP618" i="28"/>
  <c r="AI620" i="28"/>
  <c r="AJ620" i="28"/>
  <c r="AK620" i="28"/>
  <c r="AL620" i="28"/>
  <c r="AM620" i="28"/>
  <c r="AN620" i="28"/>
  <c r="AO620" i="28"/>
  <c r="AP620" i="28"/>
  <c r="AI623" i="28"/>
  <c r="AK623" i="28"/>
  <c r="AM623" i="28"/>
  <c r="AO623" i="28"/>
  <c r="AI624" i="28"/>
  <c r="AK624" i="28"/>
  <c r="AM624" i="28"/>
  <c r="AO624" i="28"/>
  <c r="AI625" i="28"/>
  <c r="AK625" i="28"/>
  <c r="AM625" i="28"/>
  <c r="AO625" i="28"/>
  <c r="AI626" i="28"/>
  <c r="AK626" i="28"/>
  <c r="AI627" i="28"/>
  <c r="AK627" i="28"/>
  <c r="AM627" i="28"/>
  <c r="AO627" i="28"/>
  <c r="AI629" i="28"/>
  <c r="AK629" i="28"/>
  <c r="AM629" i="28"/>
  <c r="AO629" i="28"/>
  <c r="F171" i="19"/>
  <c r="K171" i="19"/>
  <c r="F172" i="19"/>
  <c r="K172" i="19"/>
  <c r="F173" i="19"/>
  <c r="K173" i="19"/>
  <c r="F174" i="19"/>
  <c r="K174" i="19"/>
  <c r="F175" i="19"/>
  <c r="K175" i="19"/>
  <c r="F176" i="19"/>
  <c r="K176" i="19"/>
  <c r="F177" i="19"/>
  <c r="K177" i="19"/>
  <c r="F178" i="19"/>
  <c r="K178" i="19"/>
  <c r="F179" i="19"/>
  <c r="K179" i="19"/>
  <c r="F180" i="19"/>
  <c r="K180" i="19"/>
  <c r="F181" i="19"/>
  <c r="K181" i="19"/>
  <c r="F182" i="19"/>
  <c r="K182" i="19"/>
  <c r="F183" i="19"/>
  <c r="K183" i="19"/>
  <c r="F184" i="19"/>
  <c r="K184" i="19"/>
  <c r="F185" i="19"/>
  <c r="K185" i="19"/>
  <c r="F186" i="19"/>
  <c r="K186" i="19"/>
  <c r="F187" i="19"/>
  <c r="K187" i="19"/>
  <c r="F188" i="19"/>
  <c r="K188" i="19"/>
  <c r="F189" i="19"/>
  <c r="K189" i="19"/>
  <c r="F190" i="19"/>
  <c r="K190" i="19"/>
  <c r="F191" i="19"/>
  <c r="K191" i="19"/>
  <c r="F192" i="19"/>
  <c r="K192" i="19"/>
  <c r="F193" i="19"/>
  <c r="K193" i="19"/>
  <c r="F194" i="19"/>
  <c r="K194" i="19"/>
  <c r="K196" i="19"/>
  <c r="K212" i="19"/>
  <c r="N212" i="19"/>
  <c r="O212" i="19"/>
  <c r="K213" i="19"/>
  <c r="N213" i="19"/>
  <c r="O213" i="19"/>
  <c r="K217" i="19"/>
  <c r="L217" i="19"/>
  <c r="F222" i="19"/>
  <c r="K222" i="19"/>
  <c r="F223" i="19"/>
  <c r="K223" i="19"/>
  <c r="F224" i="19"/>
  <c r="K224" i="19"/>
  <c r="F225" i="19"/>
  <c r="K225" i="19"/>
  <c r="F226" i="19"/>
  <c r="K226" i="19"/>
  <c r="F227" i="19"/>
  <c r="K227" i="19"/>
  <c r="F228" i="19"/>
  <c r="K228" i="19"/>
  <c r="F229" i="19"/>
  <c r="K229" i="19"/>
  <c r="F230" i="19"/>
  <c r="K230" i="19"/>
  <c r="F231" i="19"/>
  <c r="K231" i="19"/>
  <c r="F232" i="19"/>
  <c r="K232" i="19"/>
  <c r="F233" i="19"/>
  <c r="K233" i="19"/>
  <c r="L233" i="19"/>
  <c r="F236" i="19"/>
  <c r="K236" i="19"/>
  <c r="F237" i="19"/>
  <c r="K237" i="19"/>
  <c r="F238" i="19"/>
  <c r="K238" i="19"/>
  <c r="F239" i="19"/>
  <c r="K239" i="19"/>
  <c r="F240" i="19"/>
  <c r="K240" i="19"/>
  <c r="F241" i="19"/>
  <c r="K241" i="19"/>
  <c r="F242" i="19"/>
  <c r="K242" i="19"/>
  <c r="F243" i="19"/>
  <c r="K243" i="19"/>
  <c r="F244" i="19"/>
  <c r="K244" i="19"/>
  <c r="F245" i="19"/>
  <c r="K245" i="19"/>
  <c r="F246" i="19"/>
  <c r="K246" i="19"/>
  <c r="F247" i="19"/>
  <c r="K247" i="19"/>
  <c r="L247" i="19"/>
  <c r="F171" i="29"/>
  <c r="K171" i="29"/>
  <c r="F172" i="29"/>
  <c r="K172" i="29"/>
  <c r="F173" i="29"/>
  <c r="K173" i="29"/>
  <c r="F174" i="29"/>
  <c r="K174" i="29"/>
  <c r="F175" i="29"/>
  <c r="K175" i="29"/>
  <c r="F176" i="29"/>
  <c r="K176" i="29"/>
  <c r="F177" i="29"/>
  <c r="K177" i="29"/>
  <c r="F178" i="29"/>
  <c r="K178" i="29"/>
  <c r="F179" i="29"/>
  <c r="K179" i="29"/>
  <c r="F180" i="29"/>
  <c r="K180" i="29"/>
  <c r="F181" i="29"/>
  <c r="K181" i="29"/>
  <c r="F182" i="29"/>
  <c r="K182" i="29"/>
  <c r="F183" i="29"/>
  <c r="K183" i="29"/>
  <c r="F184" i="29"/>
  <c r="K184" i="29"/>
  <c r="F185" i="29"/>
  <c r="K185" i="29"/>
  <c r="F186" i="29"/>
  <c r="K186" i="29"/>
  <c r="F187" i="29"/>
  <c r="K187" i="29"/>
  <c r="F188" i="29"/>
  <c r="K188" i="29"/>
  <c r="F189" i="29"/>
  <c r="K189" i="29"/>
  <c r="F190" i="29"/>
  <c r="K190" i="29"/>
  <c r="F191" i="29"/>
  <c r="K191" i="29"/>
  <c r="F192" i="29"/>
  <c r="K192" i="29"/>
  <c r="F193" i="29"/>
  <c r="K193" i="29"/>
  <c r="F194" i="29"/>
  <c r="K194" i="29"/>
  <c r="K196" i="29"/>
  <c r="K212" i="29"/>
  <c r="K213" i="29"/>
  <c r="K217" i="29"/>
  <c r="L217" i="29"/>
  <c r="F222" i="29"/>
  <c r="K222" i="29"/>
  <c r="F223" i="29"/>
  <c r="K223" i="29"/>
  <c r="F224" i="29"/>
  <c r="K224" i="29"/>
  <c r="F225" i="29"/>
  <c r="K225" i="29"/>
  <c r="F226" i="29"/>
  <c r="K226" i="29"/>
  <c r="F227" i="29"/>
  <c r="K227" i="29"/>
  <c r="F228" i="29"/>
  <c r="K228" i="29"/>
  <c r="F229" i="29"/>
  <c r="K229" i="29"/>
  <c r="F230" i="29"/>
  <c r="K230" i="29"/>
  <c r="F231" i="29"/>
  <c r="K231" i="29"/>
  <c r="F232" i="29"/>
  <c r="K232" i="29"/>
  <c r="F233" i="29"/>
  <c r="K233" i="29"/>
  <c r="L233" i="29"/>
  <c r="F236" i="29"/>
  <c r="K236" i="29"/>
  <c r="F237" i="29"/>
  <c r="K237" i="29"/>
  <c r="F238" i="29"/>
  <c r="K238" i="29"/>
  <c r="F239" i="29"/>
  <c r="K239" i="29"/>
  <c r="F240" i="29"/>
  <c r="K240" i="29"/>
  <c r="F241" i="29"/>
  <c r="K241" i="29"/>
  <c r="F242" i="29"/>
  <c r="K242" i="29"/>
  <c r="F243" i="29"/>
  <c r="K243" i="29"/>
  <c r="F244" i="29"/>
  <c r="K244" i="29"/>
  <c r="F245" i="29"/>
  <c r="K245" i="29"/>
  <c r="F246" i="29"/>
  <c r="K246" i="29"/>
  <c r="F247" i="29"/>
  <c r="K247" i="29"/>
  <c r="L247" i="29"/>
  <c r="C20" i="9"/>
  <c r="G20" i="9"/>
  <c r="C21" i="9"/>
  <c r="G21" i="9"/>
  <c r="G69" i="9"/>
  <c r="H69" i="9"/>
  <c r="I69" i="9"/>
  <c r="J69" i="9"/>
  <c r="K69" i="9"/>
  <c r="L69" i="9"/>
  <c r="M69" i="9"/>
  <c r="N69" i="9"/>
  <c r="O69" i="9"/>
  <c r="P69" i="9"/>
  <c r="G70" i="9"/>
  <c r="H70" i="9"/>
  <c r="I70" i="9"/>
  <c r="J70" i="9"/>
  <c r="K70" i="9"/>
  <c r="L70" i="9"/>
  <c r="M70" i="9"/>
  <c r="N70" i="9"/>
  <c r="O70" i="9"/>
  <c r="P70" i="9"/>
  <c r="G73" i="9"/>
  <c r="G74" i="9"/>
  <c r="H77" i="9"/>
  <c r="I77" i="9"/>
  <c r="J77" i="9"/>
  <c r="K77" i="9"/>
  <c r="L77" i="9"/>
  <c r="M77" i="9"/>
  <c r="N77" i="9"/>
  <c r="O77" i="9"/>
  <c r="H78" i="9"/>
  <c r="I78" i="9"/>
  <c r="J78" i="9"/>
  <c r="K78" i="9"/>
  <c r="L78" i="9"/>
  <c r="M78" i="9"/>
  <c r="N78" i="9"/>
  <c r="O78" i="9"/>
  <c r="H91" i="9"/>
  <c r="I91" i="9"/>
  <c r="J91" i="9"/>
  <c r="B16" i="18"/>
  <c r="C16" i="18"/>
  <c r="D16" i="18"/>
  <c r="F16" i="18"/>
  <c r="B17" i="18"/>
  <c r="C17" i="18"/>
  <c r="D17" i="18"/>
  <c r="F17" i="18"/>
  <c r="P5" i="11"/>
  <c r="Q5" i="11"/>
  <c r="P9" i="11"/>
  <c r="Q9" i="11"/>
  <c r="P11" i="11"/>
  <c r="Q11" i="11"/>
  <c r="P16" i="11"/>
  <c r="Q16" i="11"/>
  <c r="P20" i="11"/>
  <c r="Q20" i="11"/>
  <c r="P24" i="11"/>
  <c r="Q24" i="11"/>
  <c r="P25" i="11"/>
  <c r="Q25" i="11"/>
  <c r="P29" i="11"/>
  <c r="Q29" i="11"/>
  <c r="P30" i="11"/>
  <c r="Q30" i="11"/>
  <c r="P34" i="11"/>
  <c r="Q34" i="11"/>
  <c r="P35" i="11"/>
  <c r="Q35" i="11"/>
  <c r="P39" i="11"/>
  <c r="Q39" i="11"/>
  <c r="P44" i="11"/>
  <c r="Q44" i="11"/>
  <c r="P48" i="11"/>
  <c r="Q48" i="11"/>
  <c r="P49" i="11"/>
  <c r="Q49" i="11"/>
  <c r="P53" i="11"/>
  <c r="Q53" i="11"/>
  <c r="P54" i="11"/>
  <c r="Q54" i="11"/>
  <c r="P58" i="11"/>
  <c r="Q58" i="11"/>
  <c r="P59" i="11"/>
  <c r="Q59" i="11"/>
</calcChain>
</file>

<file path=xl/sharedStrings.xml><?xml version="1.0" encoding="utf-8"?>
<sst xmlns="http://schemas.openxmlformats.org/spreadsheetml/2006/main" count="900" uniqueCount="303">
  <si>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</si>
  <si>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</si>
  <si>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</si>
  <si>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</si>
  <si>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</si>
  <si>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</si>
  <si>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</si>
  <si>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</si>
  <si>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</si>
  <si>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</si>
  <si>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</si>
  <si>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</si>
  <si>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</si>
  <si>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</si>
  <si>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</si>
  <si>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</si>
  <si>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</si>
  <si>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</si>
  <si>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</si>
  <si>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</si>
  <si>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</si>
  <si>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</si>
  <si>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</si>
  <si>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</si>
  <si>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</si>
  <si>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</si>
  <si>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</si>
  <si>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</si>
  <si>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</si>
  <si>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</si>
  <si>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</si>
  <si>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</si>
  <si>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</si>
  <si>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</si>
  <si>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</si>
  <si>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</si>
  <si>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</si>
  <si>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</si>
  <si>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</si>
  <si>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</si>
  <si>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</si>
  <si>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</si>
  <si>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</si>
  <si>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</si>
  <si>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</si>
  <si>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</si>
  <si>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</si>
  <si>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</si>
  <si>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</si>
  <si>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</si>
  <si>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</si>
  <si>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</si>
  <si>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</si>
  <si>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</si>
  <si>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</si>
  <si>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</si>
  <si>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</si>
  <si>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</si>
  <si>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</si>
  <si>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</si>
  <si>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</si>
  <si>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</si>
  <si>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</si>
  <si>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</si>
  <si>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</si>
  <si>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</si>
  <si>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Number of Customers</t>
  </si>
  <si>
    <t>Weather Normal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</si>
  <si>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</si>
  <si>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</si>
  <si>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</si>
  <si>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</si>
  <si>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</si>
  <si>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Large User</t>
  </si>
  <si>
    <t xml:space="preserve">2010 Actual </t>
  </si>
  <si>
    <t>CDM Activity</t>
  </si>
  <si>
    <t xml:space="preserve">2011 Actual </t>
  </si>
  <si>
    <t>Number of Peak Hours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</si>
  <si>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</si>
  <si>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</si>
  <si>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</si>
  <si>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</si>
  <si>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</si>
  <si>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</si>
  <si>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</si>
  <si>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</si>
  <si>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</si>
  <si>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</si>
  <si>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</si>
  <si>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</si>
  <si>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</si>
  <si>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</si>
  <si>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</si>
  <si>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</si>
  <si>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</si>
  <si>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Sentinel Lights</t>
  </si>
  <si>
    <t>Year</t>
  </si>
  <si>
    <t>Month</t>
  </si>
  <si>
    <t>Heat Deg Days</t>
  </si>
  <si>
    <t>Cool Deg Days</t>
  </si>
  <si>
    <t>Welland</t>
  </si>
  <si>
    <t>Not Used</t>
  </si>
  <si>
    <t>2011/2012 Cost of Service Method</t>
  </si>
  <si>
    <t>2013 Proposed Cost of Service Method</t>
  </si>
  <si>
    <t>Power Purchased</t>
  </si>
  <si>
    <t>Net</t>
  </si>
  <si>
    <t xml:space="preserve">times </t>
  </si>
  <si>
    <t>Could be the amount in the LRAM variance account</t>
  </si>
  <si>
    <t>CDM</t>
  </si>
  <si>
    <t>Historical Gross Up Value</t>
  </si>
  <si>
    <t>Gross-up</t>
  </si>
  <si>
    <t>Free ridership amount</t>
  </si>
  <si>
    <t>Gross kWh</t>
  </si>
  <si>
    <t>NTG%</t>
  </si>
  <si>
    <t>Free Ridership</t>
  </si>
  <si>
    <t>Net kWh</t>
  </si>
  <si>
    <t>4th Quarter 2011 OPA results</t>
  </si>
  <si>
    <t>ERIP included in 4th Quarter Report</t>
  </si>
  <si>
    <t>HPNC included in 4th Quarter Report</t>
  </si>
  <si>
    <t>ERIP 1</t>
  </si>
  <si>
    <t>ERIP 2</t>
  </si>
  <si>
    <t>ERIP 3</t>
  </si>
  <si>
    <t>ERIP 4</t>
  </si>
  <si>
    <t>ERIP 5</t>
  </si>
  <si>
    <t>ERIP 6</t>
  </si>
  <si>
    <t>HPNC 1</t>
  </si>
  <si>
    <t>HPNC 2</t>
  </si>
  <si>
    <t>Growth 
(GWh)</t>
  </si>
  <si>
    <t>Customer/
Connection
Count</t>
  </si>
  <si>
    <t xml:space="preserve">Growth </t>
  </si>
  <si>
    <t>Billed Energy (GWh) and Customer Count / Connections</t>
  </si>
  <si>
    <t>Number of Customers/Connections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</si>
  <si>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</si>
  <si>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</si>
  <si>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</si>
  <si>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</si>
  <si>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</si>
  <si>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</si>
  <si>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Geometric Mean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</si>
  <si>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</si>
  <si>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</si>
  <si>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</si>
  <si>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</si>
  <si>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</si>
  <si>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</si>
  <si>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2011 Programs</t>
  </si>
  <si>
    <t>2012 Programs</t>
  </si>
  <si>
    <t>2013 Programs</t>
  </si>
  <si>
    <t>2014 Programs</t>
  </si>
  <si>
    <t>kWh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</si>
  <si>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</si>
  <si>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</si>
  <si>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</si>
  <si>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</si>
  <si>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</si>
  <si>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</si>
  <si>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</si>
  <si>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2011 
Actual</t>
  </si>
  <si>
    <t>Residential</t>
  </si>
  <si>
    <t>Table 3-5: Statistcial Results</t>
  </si>
  <si>
    <t>20 Year Trend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</si>
  <si>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</si>
  <si>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</si>
  <si>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</si>
  <si>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</si>
  <si>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</si>
  <si>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3-12: Forecast Annual kWh Usage per Customer/Connection</t>
  </si>
  <si>
    <t>Table 3-14: Weather Sensitivity by Rate Class</t>
  </si>
  <si>
    <t>Table 3-19: Historical Annual kW per Applicable Rate Class</t>
  </si>
  <si>
    <t>Table 3-20: Historical kW/KWh Ratio per Applicable Rate Class</t>
  </si>
  <si>
    <t>Table 3-21: kW Forecast by Applicable Rate Class</t>
  </si>
  <si>
    <t>Table 3-22: Summary of Forecast</t>
  </si>
  <si>
    <t>2006 Programs</t>
  </si>
  <si>
    <t>2007 Programs</t>
  </si>
  <si>
    <t>2008 Programs</t>
  </si>
  <si>
    <t>2009 Programs</t>
  </si>
  <si>
    <t>2010 Programs</t>
  </si>
  <si>
    <t>2015 Programs</t>
  </si>
  <si>
    <t>Half Year Adjustment in 1st Year of Program</t>
  </si>
  <si>
    <t>Total with Adjustment</t>
  </si>
  <si>
    <t>Total OPA/IESO Annual CDM Results (Net) with Half Year Rule Adj</t>
  </si>
  <si>
    <t>Total to 2015</t>
  </si>
  <si>
    <t>Welland Hydro Weather Normal Load Forecast for 2017 Rate Application</t>
  </si>
  <si>
    <t xml:space="preserve">2012 Actual </t>
  </si>
  <si>
    <t xml:space="preserve">2013 Actual </t>
  </si>
  <si>
    <t xml:space="preserve">2014 Actual </t>
  </si>
  <si>
    <t xml:space="preserve">2015 Actual </t>
  </si>
  <si>
    <t>2016 Weather Normal</t>
  </si>
  <si>
    <t>2017 Weather Normal</t>
  </si>
  <si>
    <t>% Allocation</t>
  </si>
  <si>
    <t xml:space="preserve">10 Year Average </t>
  </si>
  <si>
    <t>10 Year Average</t>
  </si>
  <si>
    <t xml:space="preserve">20 Year Trend </t>
  </si>
  <si>
    <t>CDM Purchase Adjustment</t>
  </si>
  <si>
    <t>Predicted kWh Purchases after CDM</t>
  </si>
  <si>
    <t>Table 3-1: Summary of Operating Revenue</t>
  </si>
  <si>
    <t>2012
Actual</t>
  </si>
  <si>
    <t>2013
Actual</t>
  </si>
  <si>
    <t>2014
Actual</t>
  </si>
  <si>
    <t>2015
Actual</t>
  </si>
  <si>
    <t>2016
Bridge</t>
  </si>
  <si>
    <t>2017 Test at Current Rates</t>
  </si>
  <si>
    <t>2017 Test at Proposed Rates</t>
  </si>
  <si>
    <t>Distribution Throughput Revenue</t>
  </si>
  <si>
    <t>Street Lights</t>
  </si>
  <si>
    <t>Other Distribution Revenue</t>
  </si>
  <si>
    <t>SSS Administration Revenue</t>
  </si>
  <si>
    <t>Rent from Electric Property</t>
  </si>
  <si>
    <t>Late Payment Charges</t>
  </si>
  <si>
    <t>Specific Service Charges</t>
  </si>
  <si>
    <t xml:space="preserve">Merchandise &amp; Jobbing </t>
  </si>
  <si>
    <t>Other Distribution Rev.</t>
  </si>
  <si>
    <t>Other Income &amp; Exp.</t>
  </si>
  <si>
    <t>Grand Total</t>
  </si>
  <si>
    <t>Table 3-2: Summary of Load and Customer/Connection Forecast</t>
  </si>
  <si>
    <t>Billed 
Actual
(GWh)</t>
  </si>
  <si>
    <t>Billed 
Weather 
Normal
(GWh)</t>
  </si>
  <si>
    <t>2016 Bridge</t>
  </si>
  <si>
    <t>2017 Test</t>
  </si>
  <si>
    <t>Table 3-3 Billed Energy by Rate Class</t>
  </si>
  <si>
    <t>Billed Energy (GWh) - Actual</t>
  </si>
  <si>
    <t>Billed Energy (GWh) - Weather Normal</t>
  </si>
  <si>
    <t>Table 3-4: Number of Customers/Connections  and Annual Normalized Usage by Rate Class</t>
  </si>
  <si>
    <t>Actual Annual Energy Usage per Customer/Connection (kWh per customer/connection)</t>
  </si>
  <si>
    <t>Normalized Annual Energy Usage per Customer/Connection (kWh per customer/connection)</t>
  </si>
  <si>
    <t xml:space="preserve">MAPE (Monthly) </t>
  </si>
  <si>
    <t>Constant</t>
  </si>
  <si>
    <t>Table 3-6: Total System Purchases Excluding Large Use</t>
  </si>
  <si>
    <t>Predicted 
Weather 
Normal</t>
  </si>
  <si>
    <t>Weather 
Normal Conversion 
Factor</t>
  </si>
  <si>
    <t>Actual 
Weather 
Normal</t>
  </si>
  <si>
    <t>2017 WN - 10 year average</t>
  </si>
  <si>
    <t>2017 WN - 20 year trend</t>
  </si>
  <si>
    <t>Table 3-13: Non-normalized Weather Billed Energy Forecast</t>
  </si>
  <si>
    <t>2016 Programs</t>
  </si>
  <si>
    <t>2017 Programs</t>
  </si>
  <si>
    <t>Total Applicaable to Target</t>
  </si>
  <si>
    <t>Total Including Persistence</t>
  </si>
  <si>
    <t>2017 Test - kWh</t>
  </si>
  <si>
    <t>2017 Test - kW Annual</t>
  </si>
  <si>
    <t>2017 Test - kW Monthly</t>
  </si>
  <si>
    <t>Actual</t>
  </si>
  <si>
    <t>2012 
Actual</t>
  </si>
  <si>
    <t>2013 
Actual</t>
  </si>
  <si>
    <t>2014 
Actual</t>
  </si>
  <si>
    <t>2015 
Actual</t>
  </si>
  <si>
    <t xml:space="preserve">2016  Bridge </t>
  </si>
  <si>
    <t>2017
Test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</si>
  <si>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</si>
  <si>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</si>
  <si>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</si>
  <si>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</si>
  <si>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</si>
  <si>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</si>
  <si>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
  classes</t>
  </si>
  <si>
    <t>Throughput Revenue</t>
  </si>
  <si>
    <t>2012 Actual</t>
  </si>
  <si>
    <t>Difference $</t>
  </si>
  <si>
    <t>Difference %</t>
  </si>
  <si>
    <t>Billing Quantiites</t>
  </si>
  <si>
    <t>Customers / 
Connections</t>
  </si>
  <si>
    <t>Units</t>
  </si>
  <si>
    <t>Volume</t>
  </si>
  <si>
    <t xml:space="preserve">Volume Weather Normal </t>
  </si>
  <si>
    <t>Annual Usage Per Customer / Connection</t>
  </si>
  <si>
    <t>Annual Usage Per Customer / Connection Weather Normal</t>
  </si>
  <si>
    <t>kW</t>
  </si>
  <si>
    <t>Variance</t>
  </si>
  <si>
    <t>Tabe 3-1 Starts in Column K</t>
  </si>
  <si>
    <t>2013 Board Approved</t>
  </si>
  <si>
    <t>Weather Noraml Factor</t>
  </si>
  <si>
    <t xml:space="preserve">Street Lights </t>
  </si>
  <si>
    <t xml:space="preserve">Unmetered Scattered Loads </t>
  </si>
  <si>
    <t>% Variance</t>
  </si>
  <si>
    <t>Table 3-15: 2016 &amp; 2017 Expected Full Year Total kWh Savings</t>
  </si>
  <si>
    <t>Allocation %</t>
  </si>
  <si>
    <t>Table 3-16: Manual CDM Adjsutment by Rate Class (kWh)</t>
  </si>
  <si>
    <t>Table 3-17: 2017 Expected CDM Savings by Rate Class for LRAM Variance Account</t>
  </si>
  <si>
    <t xml:space="preserve">Table 3-18: Alignment of Non-normal to Weather Normal Forecast </t>
  </si>
  <si>
    <t>Average 2002 to 2015</t>
  </si>
  <si>
    <t>General Service 
&lt; 50 kW</t>
  </si>
  <si>
    <t>General Service 
50 to 
4,999 kW</t>
  </si>
  <si>
    <t>General Service &lt; 50 kW</t>
  </si>
  <si>
    <t>General Service 50 to 4,999 kW</t>
  </si>
  <si>
    <t>2013
Board Approved</t>
  </si>
  <si>
    <t>2011 Actual</t>
  </si>
  <si>
    <t>Table 3-23: Comparison 2011 Actual to 2012 Actual</t>
  </si>
  <si>
    <t>Table 3-24:Comparison 2011 Actual to 2012 Actual</t>
  </si>
  <si>
    <t>Table 3-25: Comparison 2012 Actual to 2013 Actual</t>
  </si>
  <si>
    <t>Table 3-26: Comparison 2012 Actual to 2013 Actual</t>
  </si>
  <si>
    <t>Table 3-27: Comparison 2013 Board Approved to 2013 Actual</t>
  </si>
  <si>
    <t>Table 3-28: Comparison 2013 Board Approved to 2013 Actual</t>
  </si>
  <si>
    <t>2014 Actual</t>
  </si>
  <si>
    <t>Table 3-29: Comparison 2013 Actual  to 2014 Actual</t>
  </si>
  <si>
    <t>Table 3-30: Comparison 2013 Actual  to 2014 Actual</t>
  </si>
  <si>
    <t>Table 3-31: Comparison 2014 Actual to 2015 Actual</t>
  </si>
  <si>
    <t>Table 3-32: Comparison 2014 Actual to 2015 Actual</t>
  </si>
  <si>
    <t>Table 3-33: Comparison 2015 Actual to 2016 Bridge</t>
  </si>
  <si>
    <t>Table 3-34: Comparison 2015 Actual to 2016 Bridge</t>
  </si>
  <si>
    <t>Table 3-35: Comparison 2016 Bridge to 2017 Test</t>
  </si>
  <si>
    <t>Table 3-36: Comparison 2016 Bridge to 2017 Test</t>
  </si>
  <si>
    <t>2nd Year Persistence by Year</t>
  </si>
  <si>
    <t>3rd Year Persistence by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</si>
</sst>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_(* #,##0.00_);_(* \(#,##0.00\);_(* &quot;-&quot;??_);_(@_)"/>
    <numFmt numFmtId="165" formatCode="&quot;$&quot;#,##0_);\(&quot;$&quot;#,##0\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#,##0.0"/>
    <numFmt numFmtId="172" formatCode="_(* #,##0.0_);_(* \(#,##0.0\);_(* &quot;-&quot;??_);_(@_)"/>
    <numFmt numFmtId="173" formatCode="_(* #,##0_);_(* \(#,##0\);_(* &quot;-&quot;??_);_(@_)"/>
    <numFmt numFmtId="174" formatCode="0.0"/>
    <numFmt numFmtId="175" formatCode="_-* #,##0_-;\-* #,##0_-;_-* &quot;-&quot;??_-;_-@_-"/>
    <numFmt numFmtId="176" formatCode="0.0%;\(0.0%\)"/>
    <numFmt numFmtId="177" formatCode="mmmm\ yyyy"/>
    <numFmt numFmtId="178" formatCode="#,##0.0;\(#,##0.0\)"/>
    <numFmt numFmtId="179" formatCode="0.0;\(0.0\)"/>
    <numFmt numFmtId="180" formatCode="0.0000%;\(0.0%\)"/>
    <numFmt numFmtId="181" formatCode="0;\(0\)"/>
    <numFmt numFmtId="182" formatCode="#,##0.0;\-#,##0.0"/>
    <numFmt numFmtId="183" formatCode="0,000;\(0,000\)"/>
    <numFmt numFmtId="184" formatCode="&quot;$&quot;#,##0"/>
    <numFmt numFmtId="185" formatCode="&quot;$&quot;#,##0;&quot;$&quot;\-#,##0"/>
    <numFmt numFmtId="186" formatCode="#,##0.00000"/>
    <numFmt numFmtId="187" formatCode="#,000;\(#,000\)"/>
    <numFmt numFmtId="188" formatCode="mm/dd/yyyy"/>
    <numFmt numFmtId="189" formatCode="0\-0"/>
    <numFmt numFmtId="190" formatCode="_(&quot;$&quot;* #,##0.00_);_(&quot;$&quot;* \(#,##0.00\);_(&quot;$&quot;* &quot;-&quot;??_);_(@_)"/>
    <numFmt numFmtId="191" formatCode="##\-#"/>
    <numFmt numFmtId="192" formatCode="&quot;£ &quot;#,##0.00;[Red]\-&quot;£ &quot;#,##0.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26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9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72" fontId="2" fillId="0" borderId="0"/>
    <xf numFmtId="171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88" fontId="2" fillId="0" borderId="0"/>
    <xf numFmtId="189" fontId="2" fillId="0" borderId="0"/>
    <xf numFmtId="188" fontId="2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37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4" borderId="0" applyNumberFormat="0" applyBorder="0" applyAlignment="0" applyProtection="0"/>
    <xf numFmtId="0" fontId="19" fillId="8" borderId="0" applyNumberFormat="0" applyBorder="0" applyAlignment="0" applyProtection="0"/>
    <xf numFmtId="0" fontId="23" fillId="11" borderId="21" applyNumberFormat="0" applyAlignment="0" applyProtection="0"/>
    <xf numFmtId="0" fontId="25" fillId="12" borderId="2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8" fillId="7" borderId="0" applyNumberFormat="0" applyBorder="0" applyAlignment="0" applyProtection="0"/>
    <xf numFmtId="38" fontId="8" fillId="38" borderId="0" applyNumberFormat="0" applyBorder="0" applyAlignment="0" applyProtection="0"/>
    <xf numFmtId="38" fontId="8" fillId="38" borderId="0" applyNumberFormat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10" fontId="8" fillId="39" borderId="1" applyNumberFormat="0" applyBorder="0" applyAlignment="0" applyProtection="0"/>
    <xf numFmtId="10" fontId="8" fillId="39" borderId="1" applyNumberFormat="0" applyBorder="0" applyAlignment="0" applyProtection="0"/>
    <xf numFmtId="0" fontId="21" fillId="10" borderId="21" applyNumberFormat="0" applyAlignment="0" applyProtection="0"/>
    <xf numFmtId="0" fontId="24" fillId="0" borderId="23" applyNumberFormat="0" applyFill="0" applyAlignment="0" applyProtection="0"/>
    <xf numFmtId="191" fontId="2" fillId="0" borderId="0"/>
    <xf numFmtId="173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0" fontId="20" fillId="9" borderId="0" applyNumberFormat="0" applyBorder="0" applyAlignment="0" applyProtection="0"/>
    <xf numFmtId="19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13" borderId="25" applyNumberFormat="0" applyFont="0" applyAlignment="0" applyProtection="0"/>
    <xf numFmtId="0" fontId="22" fillId="11" borderId="22" applyNumberFormat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Border="0" applyAlignment="0"/>
    <xf numFmtId="0" fontId="32" fillId="0" borderId="0" applyNumberFormat="0" applyBorder="0" applyAlignment="0"/>
    <xf numFmtId="0" fontId="33" fillId="0" borderId="0" applyNumberFormat="0" applyBorder="0" applyAlignment="0"/>
    <xf numFmtId="0" fontId="34" fillId="0" borderId="34">
      <alignment horizontal="center" vertical="center"/>
    </xf>
    <xf numFmtId="0" fontId="14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6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6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8" fontId="0" fillId="4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7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wrapText="1"/>
    </xf>
    <xf numFmtId="175" fontId="2" fillId="0" borderId="0" xfId="4" applyNumberFormat="1"/>
    <xf numFmtId="175" fontId="0" fillId="0" borderId="0" xfId="0" applyNumberFormat="1"/>
    <xf numFmtId="3" fontId="2" fillId="0" borderId="0" xfId="0" applyNumberFormat="1" applyFont="1" applyFill="1" applyAlignment="1">
      <alignment horizontal="center"/>
    </xf>
    <xf numFmtId="172" fontId="9" fillId="0" borderId="1" xfId="1" applyNumberFormat="1" applyFont="1" applyBorder="1"/>
    <xf numFmtId="0" fontId="9" fillId="0" borderId="0" xfId="10"/>
    <xf numFmtId="0" fontId="5" fillId="5" borderId="1" xfId="10" applyFont="1" applyFill="1" applyBorder="1" applyAlignment="1">
      <alignment horizontal="center"/>
    </xf>
    <xf numFmtId="172" fontId="5" fillId="5" borderId="1" xfId="1" applyNumberFormat="1" applyFont="1" applyFill="1" applyBorder="1" applyAlignment="1">
      <alignment horizontal="center"/>
    </xf>
    <xf numFmtId="177" fontId="9" fillId="0" borderId="1" xfId="10" applyNumberFormat="1" applyBorder="1"/>
    <xf numFmtId="0" fontId="10" fillId="0" borderId="0" xfId="10" applyFont="1" applyAlignment="1">
      <alignment horizontal="center"/>
    </xf>
    <xf numFmtId="0" fontId="9" fillId="0" borderId="0" xfId="10" applyFont="1" applyAlignment="1"/>
    <xf numFmtId="164" fontId="11" fillId="0" borderId="0" xfId="10" applyNumberFormat="1" applyFont="1"/>
    <xf numFmtId="172" fontId="9" fillId="0" borderId="0" xfId="1" applyNumberFormat="1" applyFont="1"/>
    <xf numFmtId="172" fontId="9" fillId="0" borderId="1" xfId="1" applyNumberFormat="1" applyFont="1" applyFill="1" applyBorder="1"/>
    <xf numFmtId="0" fontId="9" fillId="0" borderId="0" xfId="10" applyBorder="1"/>
    <xf numFmtId="0" fontId="9" fillId="0" borderId="0" xfId="10" applyFont="1"/>
    <xf numFmtId="169" fontId="0" fillId="3" borderId="0" xfId="0" applyNumberForma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4" xfId="0" applyBorder="1"/>
    <xf numFmtId="0" fontId="0" fillId="0" borderId="1" xfId="0" applyBorder="1"/>
    <xf numFmtId="164" fontId="0" fillId="0" borderId="4" xfId="1" applyFon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6" fontId="0" fillId="3" borderId="4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/>
    <xf numFmtId="166" fontId="0" fillId="0" borderId="1" xfId="0" applyNumberFormat="1" applyBorder="1"/>
    <xf numFmtId="3" fontId="0" fillId="0" borderId="0" xfId="0" applyNumberFormat="1"/>
    <xf numFmtId="0" fontId="0" fillId="0" borderId="9" xfId="0" applyBorder="1"/>
    <xf numFmtId="3" fontId="0" fillId="0" borderId="9" xfId="0" applyNumberFormat="1" applyBorder="1"/>
    <xf numFmtId="0" fontId="0" fillId="0" borderId="10" xfId="0" applyBorder="1"/>
    <xf numFmtId="0" fontId="0" fillId="0" borderId="5" xfId="0" applyBorder="1"/>
    <xf numFmtId="0" fontId="0" fillId="0" borderId="7" xfId="0" applyBorder="1"/>
    <xf numFmtId="3" fontId="0" fillId="0" borderId="7" xfId="0" applyNumberFormat="1" applyBorder="1"/>
    <xf numFmtId="0" fontId="0" fillId="0" borderId="8" xfId="0" applyBorder="1"/>
    <xf numFmtId="3" fontId="0" fillId="0" borderId="1" xfId="0" applyNumberFormat="1" applyBorder="1"/>
    <xf numFmtId="166" fontId="0" fillId="0" borderId="1" xfId="13" applyNumberFormat="1" applyFont="1" applyBorder="1"/>
    <xf numFmtId="173" fontId="0" fillId="0" borderId="0" xfId="1" applyNumberFormat="1" applyFont="1"/>
    <xf numFmtId="9" fontId="0" fillId="3" borderId="0" xfId="0" applyNumberFormat="1" applyFill="1"/>
    <xf numFmtId="9" fontId="0" fillId="0" borderId="0" xfId="13" applyFont="1" applyFill="1" applyBorder="1" applyAlignment="1"/>
    <xf numFmtId="164" fontId="0" fillId="0" borderId="0" xfId="1" applyFont="1" applyFill="1" applyBorder="1" applyAlignment="1"/>
    <xf numFmtId="164" fontId="0" fillId="0" borderId="2" xfId="1" applyFont="1" applyFill="1" applyBorder="1" applyAlignment="1"/>
    <xf numFmtId="3" fontId="2" fillId="0" borderId="0" xfId="0" applyNumberFormat="1" applyFont="1" applyAlignment="1">
      <alignment horizontal="center"/>
    </xf>
    <xf numFmtId="9" fontId="2" fillId="0" borderId="0" xfId="13" applyFont="1" applyAlignment="1">
      <alignment horizontal="center"/>
    </xf>
    <xf numFmtId="173" fontId="0" fillId="0" borderId="0" xfId="1" applyNumberFormat="1" applyFont="1" applyFill="1" applyBorder="1" applyAlignment="1"/>
    <xf numFmtId="173" fontId="0" fillId="0" borderId="2" xfId="1" applyNumberFormat="1" applyFont="1" applyFill="1" applyBorder="1" applyAlignment="1"/>
    <xf numFmtId="0" fontId="2" fillId="0" borderId="0" xfId="0" applyFont="1"/>
    <xf numFmtId="172" fontId="9" fillId="0" borderId="0" xfId="10" applyNumberFormat="1"/>
    <xf numFmtId="172" fontId="9" fillId="0" borderId="0" xfId="1" applyNumberFormat="1" applyFont="1" applyFill="1" applyBorder="1"/>
    <xf numFmtId="0" fontId="13" fillId="2" borderId="0" xfId="0" applyFont="1" applyFill="1"/>
    <xf numFmtId="4" fontId="8" fillId="2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17" fontId="3" fillId="0" borderId="0" xfId="0" applyNumberFormat="1" applyFont="1" applyFill="1"/>
    <xf numFmtId="3" fontId="3" fillId="0" borderId="0" xfId="1" applyNumberFormat="1" applyFont="1" applyFill="1" applyAlignment="1">
      <alignment horizontal="center"/>
    </xf>
    <xf numFmtId="182" fontId="3" fillId="0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0" fillId="0" borderId="0" xfId="0" applyNumberFormat="1" applyFill="1"/>
    <xf numFmtId="166" fontId="0" fillId="0" borderId="0" xfId="13" applyNumberFormat="1" applyFont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83" fontId="0" fillId="0" borderId="0" xfId="0" applyNumberFormat="1"/>
    <xf numFmtId="0" fontId="0" fillId="0" borderId="0" xfId="0" applyFill="1" applyAlignment="1"/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72" fontId="0" fillId="0" borderId="0" xfId="1" applyNumberFormat="1" applyFont="1" applyFill="1" applyBorder="1" applyAlignment="1"/>
    <xf numFmtId="9" fontId="0" fillId="0" borderId="0" xfId="13" applyFont="1" applyAlignment="1">
      <alignment horizontal="center"/>
    </xf>
    <xf numFmtId="172" fontId="0" fillId="0" borderId="0" xfId="0" applyNumberFormat="1"/>
    <xf numFmtId="37" fontId="0" fillId="0" borderId="0" xfId="0" applyNumberFormat="1"/>
    <xf numFmtId="16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184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184" fontId="2" fillId="0" borderId="1" xfId="0" applyNumberFormat="1" applyFont="1" applyBorder="1"/>
    <xf numFmtId="184" fontId="5" fillId="0" borderId="1" xfId="0" applyNumberFormat="1" applyFont="1" applyFill="1" applyBorder="1" applyAlignment="1">
      <alignment horizontal="right" vertical="center"/>
    </xf>
    <xf numFmtId="185" fontId="5" fillId="0" borderId="1" xfId="0" applyNumberFormat="1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2" fillId="0" borderId="0" xfId="0" applyNumberFormat="1" applyFont="1"/>
    <xf numFmtId="0" fontId="2" fillId="0" borderId="1" xfId="0" applyFont="1" applyFill="1" applyBorder="1" applyAlignment="1">
      <alignment horizontal="left" vertical="center"/>
    </xf>
    <xf numFmtId="171" fontId="2" fillId="0" borderId="1" xfId="0" applyNumberFormat="1" applyFont="1" applyFill="1" applyBorder="1" applyAlignment="1">
      <alignment horizontal="center" vertical="center"/>
    </xf>
    <xf numFmtId="37" fontId="2" fillId="0" borderId="1" xfId="0" applyNumberFormat="1" applyFont="1" applyFill="1" applyBorder="1" applyAlignment="1">
      <alignment horizontal="center" vertical="center"/>
    </xf>
    <xf numFmtId="171" fontId="2" fillId="0" borderId="1" xfId="11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5" fillId="0" borderId="11" xfId="12" applyFont="1" applyFill="1" applyBorder="1" applyAlignment="1">
      <alignment horizontal="left" vertical="center"/>
    </xf>
    <xf numFmtId="3" fontId="5" fillId="0" borderId="1" xfId="12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186" fontId="2" fillId="0" borderId="0" xfId="0" applyNumberFormat="1" applyFont="1"/>
    <xf numFmtId="171" fontId="2" fillId="0" borderId="0" xfId="0" applyNumberFormat="1" applyFont="1"/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1" fontId="2" fillId="0" borderId="0" xfId="11" applyNumberFormat="1" applyFont="1" applyFill="1" applyBorder="1" applyAlignment="1">
      <alignment horizontal="center" vertical="center"/>
    </xf>
    <xf numFmtId="171" fontId="2" fillId="0" borderId="0" xfId="0" applyNumberFormat="1" applyFont="1" applyFill="1" applyBorder="1" applyAlignment="1">
      <alignment horizontal="center" vertical="center"/>
    </xf>
    <xf numFmtId="3" fontId="2" fillId="0" borderId="1" xfId="11" applyNumberFormat="1" applyFont="1" applyFill="1" applyBorder="1" applyAlignment="1">
      <alignment horizontal="center" vertical="center"/>
    </xf>
    <xf numFmtId="3" fontId="2" fillId="0" borderId="13" xfId="1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66" fontId="2" fillId="0" borderId="1" xfId="1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4" fontId="2" fillId="0" borderId="1" xfId="11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left" vertical="center" indent="1"/>
    </xf>
    <xf numFmtId="179" fontId="2" fillId="0" borderId="1" xfId="11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left" vertical="center" wrapText="1" indent="1"/>
    </xf>
    <xf numFmtId="1" fontId="8" fillId="0" borderId="0" xfId="0" applyNumberFormat="1" applyFont="1" applyFill="1" applyBorder="1" applyAlignment="1">
      <alignment horizontal="left" vertical="center" indent="1"/>
    </xf>
    <xf numFmtId="179" fontId="8" fillId="0" borderId="0" xfId="11" applyNumberFormat="1" applyFont="1" applyFill="1" applyBorder="1" applyAlignment="1">
      <alignment horizontal="center" vertical="center"/>
    </xf>
    <xf numFmtId="176" fontId="2" fillId="0" borderId="13" xfId="11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174" fontId="5" fillId="0" borderId="1" xfId="11" applyNumberFormat="1" applyFont="1" applyFill="1" applyBorder="1" applyAlignment="1">
      <alignment horizontal="center" vertical="center"/>
    </xf>
    <xf numFmtId="176" fontId="5" fillId="0" borderId="13" xfId="11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5" fillId="0" borderId="11" xfId="12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3" fontId="2" fillId="0" borderId="1" xfId="0" applyNumberFormat="1" applyFont="1" applyFill="1" applyBorder="1" applyAlignment="1">
      <alignment horizontal="center" vertical="center" wrapText="1"/>
    </xf>
    <xf numFmtId="3" fontId="5" fillId="0" borderId="0" xfId="1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5" fillId="0" borderId="29" xfId="12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/>
    </xf>
    <xf numFmtId="171" fontId="2" fillId="0" borderId="14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30" fillId="0" borderId="1" xfId="14" applyFont="1" applyFill="1" applyBorder="1" applyAlignment="1">
      <alignment horizontal="center"/>
    </xf>
    <xf numFmtId="0" fontId="31" fillId="0" borderId="1" xfId="14" applyFont="1" applyFill="1" applyBorder="1" applyAlignment="1">
      <alignment horizontal="left"/>
    </xf>
    <xf numFmtId="0" fontId="31" fillId="0" borderId="11" xfId="14" applyFont="1" applyFill="1" applyBorder="1" applyAlignment="1">
      <alignment horizontal="left" wrapText="1"/>
    </xf>
    <xf numFmtId="0" fontId="5" fillId="0" borderId="0" xfId="0" applyFont="1" applyFill="1" applyAlignment="1">
      <alignment horizontal="center" vertical="center"/>
    </xf>
    <xf numFmtId="0" fontId="5" fillId="0" borderId="31" xfId="12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80" fontId="2" fillId="0" borderId="14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11" xfId="12" applyFont="1" applyFill="1" applyBorder="1" applyAlignment="1">
      <alignment horizontal="center" vertical="center" wrapText="1"/>
    </xf>
    <xf numFmtId="0" fontId="5" fillId="0" borderId="1" xfId="12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166" fontId="2" fillId="0" borderId="1" xfId="13" applyNumberFormat="1" applyFont="1" applyFill="1" applyBorder="1" applyAlignment="1">
      <alignment horizontal="center" vertical="center"/>
    </xf>
    <xf numFmtId="176" fontId="2" fillId="0" borderId="1" xfId="1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76" fontId="5" fillId="0" borderId="1" xfId="1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/>
    <xf numFmtId="168" fontId="2" fillId="0" borderId="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/>
    </xf>
    <xf numFmtId="3" fontId="2" fillId="0" borderId="11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/>
    </xf>
    <xf numFmtId="184" fontId="2" fillId="0" borderId="1" xfId="0" applyNumberFormat="1" applyFont="1" applyBorder="1" applyAlignment="1">
      <alignment horizontal="center"/>
    </xf>
    <xf numFmtId="166" fontId="2" fillId="0" borderId="1" xfId="15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3" fontId="2" fillId="0" borderId="1" xfId="15" applyNumberFormat="1" applyFont="1" applyBorder="1" applyAlignment="1">
      <alignment horizontal="center"/>
    </xf>
    <xf numFmtId="3" fontId="2" fillId="0" borderId="1" xfId="0" applyNumberFormat="1" applyFont="1" applyBorder="1"/>
    <xf numFmtId="0" fontId="5" fillId="0" borderId="13" xfId="0" applyFont="1" applyFill="1" applyBorder="1" applyAlignment="1">
      <alignment horizontal="left" vertical="center"/>
    </xf>
    <xf numFmtId="0" fontId="5" fillId="0" borderId="0" xfId="12" applyFont="1" applyFill="1" applyBorder="1" applyAlignment="1">
      <alignment horizontal="center" vertical="center" wrapText="1"/>
    </xf>
    <xf numFmtId="181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wrapText="1"/>
    </xf>
    <xf numFmtId="171" fontId="2" fillId="0" borderId="35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2" fillId="0" borderId="27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31" fillId="0" borderId="1" xfId="14" applyNumberFormat="1" applyFont="1" applyFill="1" applyBorder="1" applyAlignment="1">
      <alignment horizontal="center" wrapText="1"/>
    </xf>
    <xf numFmtId="9" fontId="31" fillId="0" borderId="1" xfId="14" applyNumberFormat="1" applyFont="1" applyFill="1" applyBorder="1" applyAlignment="1">
      <alignment horizontal="center"/>
    </xf>
    <xf numFmtId="0" fontId="31" fillId="0" borderId="14" xfId="14" applyFont="1" applyFill="1" applyBorder="1" applyAlignment="1">
      <alignment horizontal="left"/>
    </xf>
    <xf numFmtId="3" fontId="2" fillId="0" borderId="14" xfId="0" applyNumberFormat="1" applyFont="1" applyFill="1" applyBorder="1" applyAlignment="1">
      <alignment horizontal="center" vertical="center"/>
    </xf>
    <xf numFmtId="0" fontId="30" fillId="0" borderId="1" xfId="14" applyFont="1" applyFill="1" applyBorder="1" applyAlignment="1"/>
    <xf numFmtId="179" fontId="2" fillId="0" borderId="1" xfId="0" applyNumberFormat="1" applyFont="1" applyBorder="1"/>
    <xf numFmtId="171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33" xfId="12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/>
    </xf>
    <xf numFmtId="3" fontId="2" fillId="0" borderId="11" xfId="1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Border="1"/>
    <xf numFmtId="167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184" fontId="2" fillId="0" borderId="0" xfId="0" applyNumberFormat="1" applyFont="1" applyBorder="1" applyAlignment="1">
      <alignment horizontal="center"/>
    </xf>
    <xf numFmtId="166" fontId="2" fillId="0" borderId="0" xfId="15" applyNumberFormat="1" applyFont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13" applyNumberFormat="1" applyFont="1"/>
    <xf numFmtId="166" fontId="0" fillId="0" borderId="0" xfId="0" applyNumberFormat="1"/>
    <xf numFmtId="9" fontId="0" fillId="0" borderId="16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30" fillId="0" borderId="30" xfId="14" applyFont="1" applyFill="1" applyBorder="1" applyAlignment="1">
      <alignment horizontal="left"/>
    </xf>
    <xf numFmtId="0" fontId="30" fillId="0" borderId="0" xfId="14" applyFont="1" applyFill="1" applyBorder="1" applyAlignment="1">
      <alignment horizontal="left"/>
    </xf>
    <xf numFmtId="0" fontId="30" fillId="0" borderId="1" xfId="14" applyFont="1" applyFill="1" applyBorder="1" applyAlignment="1">
      <alignment horizontal="left"/>
    </xf>
    <xf numFmtId="167" fontId="2" fillId="0" borderId="11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/>
    </xf>
    <xf numFmtId="0" fontId="5" fillId="0" borderId="3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2" fontId="5" fillId="0" borderId="0" xfId="1" applyNumberFormat="1" applyFont="1" applyAlignment="1">
      <alignment horizontal="center"/>
    </xf>
    <xf numFmtId="167" fontId="0" fillId="0" borderId="0" xfId="0" applyNumberFormat="1"/>
  </cellXfs>
  <cellStyles count="99">
    <cellStyle name="$" xfId="16"/>
    <cellStyle name="$.00" xfId="17"/>
    <cellStyle name="$_9. Rev2Cost_GDPIPI" xfId="18"/>
    <cellStyle name="$_lists" xfId="19"/>
    <cellStyle name="$_lists_4. Current Monthly Fixed Charge" xfId="20"/>
    <cellStyle name="$_Sheet4" xfId="21"/>
    <cellStyle name="$M" xfId="22"/>
    <cellStyle name="$M.00" xfId="23"/>
    <cellStyle name="$M_9. Rev2Cost_GDPIPI" xfId="24"/>
    <cellStyle name="20% - Accent1 2" xfId="25"/>
    <cellStyle name="20% - Accent2 2" xfId="26"/>
    <cellStyle name="20% - Accent3 2" xfId="27"/>
    <cellStyle name="20% - Accent4 2" xfId="28"/>
    <cellStyle name="20% - Accent5 2" xfId="29"/>
    <cellStyle name="20% - Accent6 2" xfId="30"/>
    <cellStyle name="40% - Accent1 2" xfId="31"/>
    <cellStyle name="40% - Accent2 2" xfId="32"/>
    <cellStyle name="40% - Accent3 2" xfId="33"/>
    <cellStyle name="40% - Accent4 2" xfId="34"/>
    <cellStyle name="40% - Accent5 2" xfId="35"/>
    <cellStyle name="40% - Accent6 2" xfId="36"/>
    <cellStyle name="60% - Accent1 2" xfId="37"/>
    <cellStyle name="60% - Accent2 2" xfId="38"/>
    <cellStyle name="60% - Accent3 2" xfId="39"/>
    <cellStyle name="60% - Accent4 2" xfId="40"/>
    <cellStyle name="60% - Accent5 2" xfId="41"/>
    <cellStyle name="60% - Accent6 2" xfId="42"/>
    <cellStyle name="Accent1 2" xfId="43"/>
    <cellStyle name="Accent2 2" xfId="44"/>
    <cellStyle name="Accent3 2" xfId="45"/>
    <cellStyle name="Accent4 2" xfId="46"/>
    <cellStyle name="Accent5 2" xfId="47"/>
    <cellStyle name="Accent6 2" xfId="48"/>
    <cellStyle name="Bad 2" xfId="49"/>
    <cellStyle name="Calculation 2" xfId="50"/>
    <cellStyle name="Check Cell 2" xfId="51"/>
    <cellStyle name="Comma" xfId="1" builtinId="3"/>
    <cellStyle name="Comma 2" xfId="2"/>
    <cellStyle name="Comma 3" xfId="3"/>
    <cellStyle name="Comma 3 2" xfId="52"/>
    <cellStyle name="Comma 4" xfId="53"/>
    <cellStyle name="Comma 5" xfId="54"/>
    <cellStyle name="Comma 6" xfId="55"/>
    <cellStyle name="Comma_CDM monthly amounts" xfId="4"/>
    <cellStyle name="Comma0" xfId="5"/>
    <cellStyle name="Currency 2" xfId="56"/>
    <cellStyle name="Currency 3" xfId="57"/>
    <cellStyle name="Currency 4" xfId="58"/>
    <cellStyle name="Currency0" xfId="6"/>
    <cellStyle name="Date" xfId="7"/>
    <cellStyle name="Explanatory Text 2" xfId="59"/>
    <cellStyle name="Fixed" xfId="8"/>
    <cellStyle name="Good 2" xfId="60"/>
    <cellStyle name="Grey" xfId="61"/>
    <cellStyle name="Grey 2" xfId="62"/>
    <cellStyle name="Heading 1 2" xfId="63"/>
    <cellStyle name="Heading 2 2" xfId="64"/>
    <cellStyle name="Heading 3 2" xfId="65"/>
    <cellStyle name="Heading 4 2" xfId="66"/>
    <cellStyle name="Input [yellow]" xfId="67"/>
    <cellStyle name="Input [yellow] 2" xfId="68"/>
    <cellStyle name="Input 2" xfId="69"/>
    <cellStyle name="Linked Cell 2" xfId="70"/>
    <cellStyle name="M" xfId="71"/>
    <cellStyle name="M.00" xfId="72"/>
    <cellStyle name="M_9. Rev2Cost_GDPIPI" xfId="73"/>
    <cellStyle name="M_lists" xfId="74"/>
    <cellStyle name="M_lists_4. Current Monthly Fixed Charge" xfId="75"/>
    <cellStyle name="M_Sheet4" xfId="76"/>
    <cellStyle name="Neutral 2" xfId="77"/>
    <cellStyle name="Normal" xfId="0" builtinId="0"/>
    <cellStyle name="Normal - Style1" xfId="78"/>
    <cellStyle name="Normal 2" xfId="9"/>
    <cellStyle name="Normal 3" xfId="79"/>
    <cellStyle name="Normal 4" xfId="80"/>
    <cellStyle name="Normal 5" xfId="81"/>
    <cellStyle name="Normal 5 2" xfId="82"/>
    <cellStyle name="Normal 5 2 3" xfId="14"/>
    <cellStyle name="Normal 6" xfId="83"/>
    <cellStyle name="Normal 7" xfId="84"/>
    <cellStyle name="Normal_Heating &amp; Cooling Degree Days -- 20 years" xfId="10"/>
    <cellStyle name="Normal_OEB Trial Balance - Regulatory-July24-07" xfId="11"/>
    <cellStyle name="Normal_Sheet2" xfId="12"/>
    <cellStyle name="Note 2" xfId="85"/>
    <cellStyle name="Output 2" xfId="86"/>
    <cellStyle name="Percent" xfId="13" builtinId="5"/>
    <cellStyle name="Percent [2]" xfId="87"/>
    <cellStyle name="Percent 2" xfId="88"/>
    <cellStyle name="Percent 3" xfId="89"/>
    <cellStyle name="Percent 3 2" xfId="90"/>
    <cellStyle name="Percent 4" xfId="91"/>
    <cellStyle name="Percent 5" xfId="15"/>
    <cellStyle name="STYLE1" xfId="92"/>
    <cellStyle name="STYLE2" xfId="93"/>
    <cellStyle name="STYLE4" xfId="94"/>
    <cellStyle name="Subtotal" xfId="95"/>
    <cellStyle name="Title 2" xfId="96"/>
    <cellStyle name="Total 2" xfId="97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Welland%20Hydro%202013%20Load%20Forecast%20-%20Settlement%20Propos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WHESC%20CDM%20Plan%20WHESC_2015090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Welland%20Load%20Forecast%20Dat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2006-2010%20Final%20OPA%20CDM%20Results.Welland%20Hydro-Electric%20System%20Corp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7%20Rates/Load%20Forecast/Welland%20Hydro%202011-2014%20CDM%20Results%20with%20Persistence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7%20Rates/Interrogatories/Final%202015%20Annual%20Verified%20Results%20Report_Welland%20Hydro-Electric%20System%20Corp._2016063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2011%20Final%20Annual%20Report%20Data_Welland%20Hydro-Electric%20System%20Corp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ocuments%20and%20Settings/bbacon/My%20Documents/Lakeland/2013%20Rate%20Appl/Dummy%20F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WHESC%20Pre-2011%20Progra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Documents%20and%20Settings/dg/Desktop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ocuments%20and%20Settings/dg/Desktop/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LDC%20FTY%20-%20LF/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LDC%20FTY%20-%20LF/CostAlloc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mmaw/Local%20Settings/Temporary%20Internet%20Files/OLKBC/Exhibit%203%20Distribution%20Revenue%20Throughputs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Exibit 3 Tables"/>
      <sheetName val="Summary"/>
      <sheetName val="Purchased Power Model "/>
      <sheetName val="Rate Class Energy Model"/>
      <sheetName val="Rate Class Customer Model"/>
      <sheetName val="Rate Class Load Model"/>
      <sheetName val="CDM Activity"/>
      <sheetName val="Historical HDD &amp; CDD"/>
    </sheetNames>
    <sheetDataSet>
      <sheetData sheetId="0" refreshError="1"/>
      <sheetData sheetId="1"/>
      <sheetData sheetId="2">
        <row r="8">
          <cell r="M8">
            <v>421635734.39728421</v>
          </cell>
        </row>
        <row r="12">
          <cell r="M12">
            <v>20432.24624822551</v>
          </cell>
        </row>
        <row r="13">
          <cell r="M13">
            <v>162565618.49710244</v>
          </cell>
        </row>
        <row r="16">
          <cell r="M16">
            <v>1695.799451063576</v>
          </cell>
        </row>
        <row r="17">
          <cell r="M17">
            <v>54784534.147389494</v>
          </cell>
        </row>
        <row r="20">
          <cell r="M20">
            <v>169</v>
          </cell>
        </row>
        <row r="21">
          <cell r="M21">
            <v>141530393.74885863</v>
          </cell>
        </row>
        <row r="22">
          <cell r="M22">
            <v>396002.04170930648</v>
          </cell>
        </row>
        <row r="25">
          <cell r="M25">
            <v>1</v>
          </cell>
        </row>
        <row r="26">
          <cell r="M26">
            <v>59538700.549472243</v>
          </cell>
        </row>
        <row r="27">
          <cell r="M27">
            <v>168817.67255906758</v>
          </cell>
        </row>
        <row r="30">
          <cell r="M30">
            <v>6749.5</v>
          </cell>
        </row>
        <row r="31">
          <cell r="M31">
            <v>1273280.9617749564</v>
          </cell>
        </row>
        <row r="32">
          <cell r="M32">
            <v>3552</v>
          </cell>
        </row>
        <row r="35">
          <cell r="M35">
            <v>574</v>
          </cell>
        </row>
        <row r="36">
          <cell r="M36">
            <v>831976.87357555667</v>
          </cell>
        </row>
        <row r="37">
          <cell r="M37">
            <v>2296.8000000000002</v>
          </cell>
        </row>
        <row r="40">
          <cell r="M40">
            <v>225.35874142083784</v>
          </cell>
        </row>
        <row r="41">
          <cell r="M41">
            <v>1111229.6191108765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General Information"/>
      <sheetName val="B. LDC Authorization"/>
      <sheetName val="C. CDM Plan Summary"/>
      <sheetName val="D. CDM Plan Milestone LDC 1"/>
      <sheetName val="D. CDM Plan Milestone LDC 2"/>
      <sheetName val="D. CDM Plan Milestone LDC 3"/>
      <sheetName val="D. CDM Plan Milestone LDC 4"/>
      <sheetName val="D. CDM Plan Milestone LDC 5"/>
      <sheetName val="D. CDM Plan Milestone LDC 6"/>
      <sheetName val="D.CDM Plan Milestone LDC 7"/>
      <sheetName val="D. CDM Plan Milestone LDC 8"/>
      <sheetName val="D. CDM Plan Milestone LDC 9"/>
      <sheetName val="D. CDM Plan Milestone LDC 10"/>
      <sheetName val="E.  Proposed Program&amp;Pilots"/>
      <sheetName val="F. Detailed Information"/>
      <sheetName val="G. Additional Documentation"/>
      <sheetName val="Dropdown Lists"/>
      <sheetName val="Sheet1"/>
      <sheetName val="Summary of Version Changes"/>
    </sheetNames>
    <sheetDataSet>
      <sheetData sheetId="0"/>
      <sheetData sheetId="1"/>
      <sheetData sheetId="2"/>
      <sheetData sheetId="3">
        <row r="80">
          <cell r="O80">
            <v>4735.9500000000007</v>
          </cell>
          <cell r="Q80">
            <v>4054</v>
          </cell>
          <cell r="S80">
            <v>4350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Wholesale Purchased Details"/>
      <sheetName val="GS&gt;50kWh with Wholesale"/>
    </sheetNames>
    <sheetDataSet>
      <sheetData sheetId="0">
        <row r="5">
          <cell r="B5">
            <v>46293277</v>
          </cell>
          <cell r="AJ5">
            <v>20461</v>
          </cell>
        </row>
        <row r="6">
          <cell r="B6">
            <v>41843002</v>
          </cell>
          <cell r="AJ6">
            <v>20122</v>
          </cell>
        </row>
        <row r="7">
          <cell r="B7">
            <v>44412572</v>
          </cell>
          <cell r="AJ7">
            <v>20174</v>
          </cell>
        </row>
        <row r="8">
          <cell r="B8">
            <v>42581129</v>
          </cell>
          <cell r="AJ8">
            <v>20139</v>
          </cell>
        </row>
        <row r="9">
          <cell r="B9">
            <v>40099130</v>
          </cell>
          <cell r="AJ9">
            <v>20074</v>
          </cell>
        </row>
        <row r="10">
          <cell r="B10">
            <v>42830520</v>
          </cell>
          <cell r="AJ10">
            <v>19924</v>
          </cell>
        </row>
        <row r="11">
          <cell r="B11">
            <v>50209650</v>
          </cell>
          <cell r="AJ11">
            <v>19945</v>
          </cell>
        </row>
        <row r="12">
          <cell r="B12">
            <v>49113260</v>
          </cell>
          <cell r="AJ12">
            <v>20011</v>
          </cell>
        </row>
        <row r="13">
          <cell r="B13">
            <v>43203390</v>
          </cell>
          <cell r="AJ13">
            <v>20036</v>
          </cell>
        </row>
        <row r="14">
          <cell r="B14">
            <v>39840800</v>
          </cell>
          <cell r="AJ14">
            <v>20008</v>
          </cell>
        </row>
        <row r="15">
          <cell r="B15">
            <v>40267910</v>
          </cell>
          <cell r="AJ15">
            <v>20099</v>
          </cell>
        </row>
        <row r="16">
          <cell r="B16">
            <v>41966900</v>
          </cell>
          <cell r="AJ16">
            <v>20186</v>
          </cell>
        </row>
        <row r="17">
          <cell r="D17">
            <v>163758007.56999999</v>
          </cell>
          <cell r="F17">
            <v>18178</v>
          </cell>
          <cell r="H17">
            <v>47941435.170000002</v>
          </cell>
          <cell r="J17">
            <v>1679.5</v>
          </cell>
          <cell r="L17">
            <v>220590237.66</v>
          </cell>
          <cell r="N17">
            <v>551945.62</v>
          </cell>
          <cell r="O17">
            <v>239.41666666666666</v>
          </cell>
          <cell r="Q17">
            <v>4578874</v>
          </cell>
          <cell r="S17">
            <v>11856.554</v>
          </cell>
          <cell r="T17">
            <v>6411.75</v>
          </cell>
          <cell r="V17">
            <v>608624.5</v>
          </cell>
          <cell r="X17">
            <v>2536</v>
          </cell>
          <cell r="Y17">
            <v>765</v>
          </cell>
          <cell r="AA17">
            <v>1013836.09</v>
          </cell>
          <cell r="AC17">
            <v>225.25</v>
          </cell>
          <cell r="AF17">
            <v>64185900.630000003</v>
          </cell>
          <cell r="AG17">
            <v>193768.13</v>
          </cell>
          <cell r="AH17">
            <v>1.3333333333333333</v>
          </cell>
        </row>
        <row r="19">
          <cell r="B19">
            <v>45793920</v>
          </cell>
          <cell r="AJ19">
            <v>20303</v>
          </cell>
        </row>
        <row r="20">
          <cell r="B20">
            <v>41797690</v>
          </cell>
          <cell r="AJ20">
            <v>20308</v>
          </cell>
        </row>
        <row r="21">
          <cell r="B21">
            <v>43041020</v>
          </cell>
          <cell r="AJ21">
            <v>20266</v>
          </cell>
        </row>
        <row r="22">
          <cell r="B22">
            <v>39112340</v>
          </cell>
          <cell r="AJ22">
            <v>20218</v>
          </cell>
        </row>
        <row r="23">
          <cell r="B23">
            <v>37768340</v>
          </cell>
          <cell r="AJ23">
            <v>20233</v>
          </cell>
        </row>
        <row r="24">
          <cell r="B24">
            <v>38550110</v>
          </cell>
          <cell r="AJ24">
            <v>20150</v>
          </cell>
        </row>
        <row r="25">
          <cell r="B25">
            <v>45139630</v>
          </cell>
          <cell r="AJ25">
            <v>20104</v>
          </cell>
        </row>
        <row r="26">
          <cell r="B26">
            <v>44242730</v>
          </cell>
          <cell r="AJ26">
            <v>20166</v>
          </cell>
        </row>
        <row r="27">
          <cell r="B27">
            <v>39933800</v>
          </cell>
          <cell r="AJ27">
            <v>20176</v>
          </cell>
        </row>
        <row r="28">
          <cell r="B28">
            <v>39274410</v>
          </cell>
          <cell r="AJ28">
            <v>20165</v>
          </cell>
        </row>
        <row r="29">
          <cell r="B29">
            <v>39924090</v>
          </cell>
          <cell r="AJ29">
            <v>20235</v>
          </cell>
        </row>
        <row r="30">
          <cell r="B30">
            <v>42535190</v>
          </cell>
          <cell r="AJ30">
            <v>20324</v>
          </cell>
        </row>
        <row r="31">
          <cell r="D31">
            <v>157611433.94999999</v>
          </cell>
          <cell r="F31">
            <v>18297.833333333332</v>
          </cell>
          <cell r="H31">
            <v>46463108.060000002</v>
          </cell>
          <cell r="J31">
            <v>1684.3333333333333</v>
          </cell>
          <cell r="L31">
            <v>148754541.44</v>
          </cell>
          <cell r="N31">
            <v>449454.27000000008</v>
          </cell>
          <cell r="O31">
            <v>235.75</v>
          </cell>
          <cell r="Q31">
            <v>4648825</v>
          </cell>
          <cell r="S31">
            <v>12974.98</v>
          </cell>
          <cell r="T31">
            <v>6457.5</v>
          </cell>
          <cell r="V31">
            <v>1025570.6699999999</v>
          </cell>
          <cell r="X31">
            <v>2928.96</v>
          </cell>
          <cell r="Y31">
            <v>758.08333333333337</v>
          </cell>
          <cell r="AA31">
            <v>1222622.06</v>
          </cell>
          <cell r="AC31">
            <v>228.58333333333334</v>
          </cell>
          <cell r="AF31">
            <v>118136694</v>
          </cell>
          <cell r="AG31">
            <v>293338</v>
          </cell>
          <cell r="AH31">
            <v>2.75</v>
          </cell>
        </row>
        <row r="33">
          <cell r="B33">
            <v>46623430</v>
          </cell>
          <cell r="AJ33">
            <v>20483</v>
          </cell>
        </row>
        <row r="34">
          <cell r="B34">
            <v>42059450</v>
          </cell>
          <cell r="AJ34">
            <v>20455</v>
          </cell>
        </row>
        <row r="35">
          <cell r="B35">
            <v>44041140</v>
          </cell>
          <cell r="AJ35">
            <v>20436</v>
          </cell>
        </row>
        <row r="36">
          <cell r="B36">
            <v>39465450</v>
          </cell>
          <cell r="AJ36">
            <v>20438</v>
          </cell>
        </row>
        <row r="37">
          <cell r="B37">
            <v>38649380</v>
          </cell>
          <cell r="AJ37">
            <v>20382</v>
          </cell>
        </row>
        <row r="38">
          <cell r="B38">
            <v>40366830</v>
          </cell>
          <cell r="AJ38">
            <v>20295</v>
          </cell>
        </row>
        <row r="39">
          <cell r="B39">
            <v>42442080</v>
          </cell>
          <cell r="AJ39">
            <v>20268</v>
          </cell>
        </row>
        <row r="40">
          <cell r="B40">
            <v>42940430</v>
          </cell>
          <cell r="AJ40">
            <v>20241</v>
          </cell>
        </row>
        <row r="41">
          <cell r="B41">
            <v>41663760</v>
          </cell>
          <cell r="AJ41">
            <v>20388</v>
          </cell>
        </row>
        <row r="42">
          <cell r="B42">
            <v>39406350</v>
          </cell>
          <cell r="AJ42">
            <v>20386</v>
          </cell>
        </row>
        <row r="43">
          <cell r="B43">
            <v>40213160</v>
          </cell>
          <cell r="AJ43">
            <v>20441</v>
          </cell>
        </row>
        <row r="44">
          <cell r="B44">
            <v>43313970</v>
          </cell>
          <cell r="AJ44">
            <v>20588</v>
          </cell>
        </row>
        <row r="45">
          <cell r="D45">
            <v>158198542.48000002</v>
          </cell>
          <cell r="F45">
            <v>18497.833333333332</v>
          </cell>
          <cell r="H45">
            <v>49935622.290000007</v>
          </cell>
          <cell r="J45">
            <v>1682.9166666666667</v>
          </cell>
          <cell r="L45">
            <v>145858310.61000001</v>
          </cell>
          <cell r="N45">
            <v>418532.51999999996</v>
          </cell>
          <cell r="O45">
            <v>216.5</v>
          </cell>
          <cell r="Q45">
            <v>4671053</v>
          </cell>
          <cell r="S45">
            <v>13023.570000000002</v>
          </cell>
          <cell r="T45">
            <v>6471.333333333333</v>
          </cell>
          <cell r="V45">
            <v>1029431.6400000001</v>
          </cell>
          <cell r="X45">
            <v>3192.2000000000003</v>
          </cell>
          <cell r="Y45">
            <v>750.41666666666663</v>
          </cell>
          <cell r="AA45">
            <v>1196222.5299999998</v>
          </cell>
          <cell r="AC45">
            <v>232.41666666666666</v>
          </cell>
          <cell r="AF45">
            <v>123252607</v>
          </cell>
          <cell r="AG45">
            <v>287801.01</v>
          </cell>
          <cell r="AH45">
            <v>2.8333333333333335</v>
          </cell>
        </row>
        <row r="47">
          <cell r="B47">
            <v>46807180</v>
          </cell>
          <cell r="AJ47">
            <v>20702</v>
          </cell>
        </row>
        <row r="48">
          <cell r="B48">
            <v>41117740</v>
          </cell>
          <cell r="AJ48">
            <v>20700</v>
          </cell>
        </row>
        <row r="49">
          <cell r="B49">
            <v>44324530</v>
          </cell>
          <cell r="AJ49">
            <v>20659</v>
          </cell>
        </row>
        <row r="50">
          <cell r="B50">
            <v>39294850</v>
          </cell>
          <cell r="AJ50">
            <v>20681</v>
          </cell>
        </row>
        <row r="51">
          <cell r="B51">
            <v>38503630</v>
          </cell>
          <cell r="AJ51">
            <v>20636</v>
          </cell>
        </row>
        <row r="52">
          <cell r="B52">
            <v>43469730</v>
          </cell>
          <cell r="AJ52">
            <v>20624</v>
          </cell>
        </row>
        <row r="53">
          <cell r="B53">
            <v>51308440</v>
          </cell>
          <cell r="AJ53">
            <v>20638</v>
          </cell>
        </row>
        <row r="54">
          <cell r="B54">
            <v>48784110</v>
          </cell>
          <cell r="AJ54">
            <v>20601</v>
          </cell>
        </row>
        <row r="55">
          <cell r="B55">
            <v>41264120</v>
          </cell>
          <cell r="AJ55">
            <v>20620</v>
          </cell>
        </row>
        <row r="56">
          <cell r="B56">
            <v>40426860</v>
          </cell>
          <cell r="AJ56">
            <v>20641</v>
          </cell>
        </row>
        <row r="57">
          <cell r="B57">
            <v>41421880</v>
          </cell>
          <cell r="AJ57">
            <v>20652</v>
          </cell>
        </row>
        <row r="58">
          <cell r="B58">
            <v>44051790</v>
          </cell>
          <cell r="AJ58">
            <v>20740</v>
          </cell>
        </row>
        <row r="59">
          <cell r="D59">
            <v>170925878.90000001</v>
          </cell>
          <cell r="F59">
            <v>18756.166666666668</v>
          </cell>
          <cell r="H59">
            <v>52581299.459999993</v>
          </cell>
          <cell r="J59">
            <v>1690.8333333333333</v>
          </cell>
          <cell r="L59">
            <v>147125296.04999998</v>
          </cell>
          <cell r="N59">
            <v>415116.47000000003</v>
          </cell>
          <cell r="O59">
            <v>208</v>
          </cell>
          <cell r="Q59">
            <v>4673771</v>
          </cell>
          <cell r="S59">
            <v>13038.970000000003</v>
          </cell>
          <cell r="T59">
            <v>6520.166666666667</v>
          </cell>
          <cell r="V59">
            <v>999999.72</v>
          </cell>
          <cell r="X59">
            <v>2843.5</v>
          </cell>
          <cell r="Y59">
            <v>739.25</v>
          </cell>
          <cell r="AA59">
            <v>1199588.1900000002</v>
          </cell>
          <cell r="AC59">
            <v>234</v>
          </cell>
          <cell r="AF59">
            <v>124361165</v>
          </cell>
          <cell r="AG59">
            <v>296227</v>
          </cell>
          <cell r="AH59">
            <v>2.8333333333333335</v>
          </cell>
        </row>
        <row r="61">
          <cell r="B61">
            <v>43192750</v>
          </cell>
          <cell r="AJ61">
            <v>20858</v>
          </cell>
        </row>
        <row r="62">
          <cell r="B62">
            <v>39863550</v>
          </cell>
          <cell r="AJ62">
            <v>20902</v>
          </cell>
        </row>
        <row r="63">
          <cell r="B63">
            <v>42675980</v>
          </cell>
          <cell r="AJ63">
            <v>20845</v>
          </cell>
        </row>
        <row r="64">
          <cell r="B64">
            <v>34740070</v>
          </cell>
          <cell r="AJ64">
            <v>20839</v>
          </cell>
        </row>
        <row r="65">
          <cell r="B65">
            <v>38741980</v>
          </cell>
          <cell r="AJ65">
            <v>20801</v>
          </cell>
        </row>
        <row r="66">
          <cell r="B66">
            <v>41837560</v>
          </cell>
          <cell r="AJ66">
            <v>20769</v>
          </cell>
        </row>
        <row r="67">
          <cell r="B67">
            <v>47715260</v>
          </cell>
          <cell r="AJ67">
            <v>20730</v>
          </cell>
        </row>
        <row r="68">
          <cell r="B68">
            <v>44325550</v>
          </cell>
          <cell r="AJ68">
            <v>20634</v>
          </cell>
        </row>
        <row r="69">
          <cell r="B69">
            <v>36564730</v>
          </cell>
          <cell r="AJ69">
            <v>20765</v>
          </cell>
        </row>
        <row r="70">
          <cell r="B70">
            <v>38815730</v>
          </cell>
          <cell r="AJ70">
            <v>20724</v>
          </cell>
        </row>
        <row r="71">
          <cell r="B71">
            <v>39427080</v>
          </cell>
          <cell r="AJ71">
            <v>20776</v>
          </cell>
        </row>
        <row r="72">
          <cell r="B72">
            <v>40481750</v>
          </cell>
          <cell r="AJ72">
            <v>20889</v>
          </cell>
        </row>
        <row r="73">
          <cell r="D73">
            <v>160694398.38</v>
          </cell>
          <cell r="F73">
            <v>18914.833333333332</v>
          </cell>
          <cell r="H73">
            <v>50343291.240000002</v>
          </cell>
          <cell r="J73">
            <v>1668</v>
          </cell>
          <cell r="L73">
            <v>146968682.79000002</v>
          </cell>
          <cell r="N73">
            <v>414301.29000000004</v>
          </cell>
          <cell r="O73">
            <v>208.5</v>
          </cell>
          <cell r="Q73">
            <v>4688652</v>
          </cell>
          <cell r="S73">
            <v>13083.960000000001</v>
          </cell>
          <cell r="T73">
            <v>6557.75</v>
          </cell>
          <cell r="V73">
            <v>1010962.7199999999</v>
          </cell>
          <cell r="X73">
            <v>2812.06</v>
          </cell>
          <cell r="Y73">
            <v>732.41666666666663</v>
          </cell>
          <cell r="AA73">
            <v>1206597.6399999999</v>
          </cell>
          <cell r="AC73">
            <v>232.58333333333334</v>
          </cell>
          <cell r="AF73">
            <v>111878086</v>
          </cell>
          <cell r="AG73">
            <v>313394</v>
          </cell>
          <cell r="AH73">
            <v>3</v>
          </cell>
        </row>
        <row r="75">
          <cell r="B75">
            <v>43659020</v>
          </cell>
          <cell r="AJ75">
            <v>20925</v>
          </cell>
        </row>
        <row r="76">
          <cell r="B76">
            <v>42004080</v>
          </cell>
          <cell r="AJ76">
            <v>20950</v>
          </cell>
        </row>
        <row r="77">
          <cell r="B77">
            <v>41099580</v>
          </cell>
          <cell r="AJ77">
            <v>20904</v>
          </cell>
        </row>
        <row r="78">
          <cell r="B78">
            <v>37578410</v>
          </cell>
          <cell r="AJ78">
            <v>20877</v>
          </cell>
        </row>
        <row r="79">
          <cell r="B79">
            <v>37137720</v>
          </cell>
          <cell r="AJ79">
            <v>20803</v>
          </cell>
        </row>
        <row r="80">
          <cell r="B80">
            <v>42747830</v>
          </cell>
          <cell r="AJ80">
            <v>20822</v>
          </cell>
        </row>
        <row r="81">
          <cell r="B81">
            <v>41879640</v>
          </cell>
          <cell r="AJ81">
            <v>20767</v>
          </cell>
        </row>
        <row r="82">
          <cell r="B82">
            <v>45846620</v>
          </cell>
          <cell r="AJ82">
            <v>20719</v>
          </cell>
        </row>
        <row r="83">
          <cell r="B83">
            <v>40071090</v>
          </cell>
          <cell r="AJ83">
            <v>20805</v>
          </cell>
        </row>
        <row r="84">
          <cell r="B84">
            <v>39182630</v>
          </cell>
          <cell r="AJ84">
            <v>20803</v>
          </cell>
        </row>
        <row r="85">
          <cell r="B85">
            <v>40415660</v>
          </cell>
          <cell r="AJ85">
            <v>20862</v>
          </cell>
        </row>
        <row r="86">
          <cell r="B86">
            <v>42304750</v>
          </cell>
          <cell r="AJ86">
            <v>20954</v>
          </cell>
        </row>
        <row r="87">
          <cell r="D87">
            <v>162856079.99000001</v>
          </cell>
          <cell r="F87">
            <v>18996.166666666668</v>
          </cell>
          <cell r="H87">
            <v>53416948.359999999</v>
          </cell>
          <cell r="J87">
            <v>1656.5</v>
          </cell>
          <cell r="L87">
            <v>163224573.41000003</v>
          </cell>
          <cell r="N87">
            <v>441184.35</v>
          </cell>
          <cell r="O87">
            <v>194.16666666666666</v>
          </cell>
          <cell r="Q87">
            <v>4691239</v>
          </cell>
          <cell r="S87">
            <v>13085.879999999997</v>
          </cell>
          <cell r="T87">
            <v>6610.333333333333</v>
          </cell>
          <cell r="V87">
            <v>980631.10999999975</v>
          </cell>
          <cell r="X87">
            <v>3041.58</v>
          </cell>
          <cell r="Y87">
            <v>704.41666666666663</v>
          </cell>
          <cell r="AA87">
            <v>1144162.8699999999</v>
          </cell>
          <cell r="AC87">
            <v>231.66666666666666</v>
          </cell>
          <cell r="AF87">
            <v>82520777</v>
          </cell>
          <cell r="AG87">
            <v>248610</v>
          </cell>
          <cell r="AH87">
            <v>2.4166666666666665</v>
          </cell>
        </row>
        <row r="89">
          <cell r="B89">
            <v>43662060</v>
          </cell>
          <cell r="AJ89">
            <v>21045</v>
          </cell>
        </row>
        <row r="90">
          <cell r="B90">
            <v>42566180</v>
          </cell>
          <cell r="AJ90">
            <v>21097</v>
          </cell>
        </row>
        <row r="91">
          <cell r="B91">
            <v>42057090</v>
          </cell>
          <cell r="AJ91">
            <v>21048</v>
          </cell>
        </row>
        <row r="92">
          <cell r="B92">
            <v>37570770</v>
          </cell>
          <cell r="AJ92">
            <v>21037</v>
          </cell>
        </row>
        <row r="93">
          <cell r="B93">
            <v>36307140</v>
          </cell>
          <cell r="AJ93">
            <v>21010</v>
          </cell>
        </row>
        <row r="94">
          <cell r="B94">
            <v>41100780</v>
          </cell>
          <cell r="AJ94">
            <v>20943</v>
          </cell>
        </row>
        <row r="95">
          <cell r="B95">
            <v>44714390</v>
          </cell>
          <cell r="AJ95">
            <v>20876</v>
          </cell>
        </row>
        <row r="96">
          <cell r="B96">
            <v>41138100</v>
          </cell>
          <cell r="AJ96">
            <v>20898</v>
          </cell>
        </row>
        <row r="97">
          <cell r="B97">
            <v>39609350</v>
          </cell>
          <cell r="AJ97">
            <v>20867</v>
          </cell>
        </row>
        <row r="98">
          <cell r="B98">
            <v>37751930</v>
          </cell>
          <cell r="AJ98">
            <v>20969</v>
          </cell>
        </row>
        <row r="99">
          <cell r="B99">
            <v>38864960</v>
          </cell>
          <cell r="AJ99">
            <v>20995</v>
          </cell>
        </row>
        <row r="100">
          <cell r="B100">
            <v>41720160</v>
          </cell>
          <cell r="AJ100">
            <v>21113</v>
          </cell>
        </row>
        <row r="101">
          <cell r="D101">
            <v>157944948.05999997</v>
          </cell>
          <cell r="F101">
            <v>19136.5</v>
          </cell>
          <cell r="H101">
            <v>55072082.170000002</v>
          </cell>
          <cell r="J101">
            <v>1676.25</v>
          </cell>
          <cell r="L101">
            <v>145113726.81</v>
          </cell>
          <cell r="N101">
            <v>417425.21</v>
          </cell>
          <cell r="O101">
            <v>176.25</v>
          </cell>
          <cell r="Q101">
            <v>4724654</v>
          </cell>
          <cell r="S101">
            <v>13186.060000000001</v>
          </cell>
          <cell r="T101">
            <v>6670.583333333333</v>
          </cell>
          <cell r="V101">
            <v>949655.42</v>
          </cell>
          <cell r="X101">
            <v>2690.21</v>
          </cell>
          <cell r="Y101">
            <v>689</v>
          </cell>
          <cell r="AA101">
            <v>1157795.6099999999</v>
          </cell>
          <cell r="AC101">
            <v>232</v>
          </cell>
          <cell r="AF101">
            <v>102682486</v>
          </cell>
          <cell r="AG101">
            <v>271979</v>
          </cell>
          <cell r="AH101">
            <v>2.5</v>
          </cell>
        </row>
        <row r="103">
          <cell r="B103">
            <v>42696540</v>
          </cell>
          <cell r="AJ103">
            <v>21168</v>
          </cell>
        </row>
        <row r="104">
          <cell r="B104">
            <v>35865870</v>
          </cell>
          <cell r="AJ104">
            <v>21196</v>
          </cell>
        </row>
        <row r="105">
          <cell r="B105">
            <v>36893370</v>
          </cell>
          <cell r="AJ105">
            <v>21181</v>
          </cell>
        </row>
        <row r="106">
          <cell r="B106">
            <v>32546810</v>
          </cell>
          <cell r="AJ106">
            <v>21170</v>
          </cell>
        </row>
        <row r="107">
          <cell r="B107">
            <v>30411992.307692301</v>
          </cell>
          <cell r="AJ107">
            <v>21149</v>
          </cell>
        </row>
        <row r="108">
          <cell r="B108">
            <v>32954969.230769198</v>
          </cell>
          <cell r="AJ108">
            <v>21118</v>
          </cell>
        </row>
        <row r="109">
          <cell r="B109">
            <v>35112530.769230798</v>
          </cell>
          <cell r="AJ109">
            <v>21020</v>
          </cell>
        </row>
        <row r="110">
          <cell r="B110">
            <v>38795184.615384601</v>
          </cell>
          <cell r="AJ110">
            <v>20991</v>
          </cell>
        </row>
        <row r="111">
          <cell r="B111">
            <v>32382923.076923098</v>
          </cell>
          <cell r="AJ111">
            <v>21063</v>
          </cell>
        </row>
        <row r="112">
          <cell r="B112">
            <v>32302730.769230802</v>
          </cell>
          <cell r="AJ112">
            <v>21140</v>
          </cell>
        </row>
        <row r="113">
          <cell r="B113">
            <v>32596484.615384601</v>
          </cell>
          <cell r="AJ113">
            <v>21205</v>
          </cell>
        </row>
        <row r="114">
          <cell r="B114">
            <v>37057807.692307703</v>
          </cell>
          <cell r="AJ114">
            <v>21285</v>
          </cell>
        </row>
        <row r="115">
          <cell r="D115">
            <v>152428517.84</v>
          </cell>
          <cell r="F115">
            <v>19277.083333333332</v>
          </cell>
          <cell r="H115">
            <v>54644526.329999998</v>
          </cell>
          <cell r="J115">
            <v>1690.1666666666667</v>
          </cell>
          <cell r="L115">
            <v>135381160.95000002</v>
          </cell>
          <cell r="N115">
            <v>390493.22</v>
          </cell>
          <cell r="O115">
            <v>170.75</v>
          </cell>
          <cell r="Q115">
            <v>4691957</v>
          </cell>
          <cell r="S115">
            <v>13091.060000000001</v>
          </cell>
          <cell r="T115">
            <v>6709.416666666667</v>
          </cell>
          <cell r="V115">
            <v>1052725.24</v>
          </cell>
          <cell r="X115">
            <v>3630.8800000000006</v>
          </cell>
          <cell r="Y115">
            <v>679.66666666666663</v>
          </cell>
          <cell r="AA115">
            <v>1151826.33</v>
          </cell>
          <cell r="AC115">
            <v>230.5</v>
          </cell>
          <cell r="AF115">
            <v>48153613</v>
          </cell>
          <cell r="AG115">
            <v>195437</v>
          </cell>
          <cell r="AH115">
            <v>2.5</v>
          </cell>
        </row>
        <row r="117">
          <cell r="B117">
            <v>38555453.846153803</v>
          </cell>
          <cell r="AJ117">
            <v>21337</v>
          </cell>
        </row>
        <row r="118">
          <cell r="B118">
            <v>35503923.076923102</v>
          </cell>
          <cell r="AJ118">
            <v>21373</v>
          </cell>
        </row>
        <row r="119">
          <cell r="B119">
            <v>36616969.230769202</v>
          </cell>
          <cell r="AJ119">
            <v>21285</v>
          </cell>
        </row>
        <row r="120">
          <cell r="B120">
            <v>31620684.615384601</v>
          </cell>
          <cell r="AJ120">
            <v>21292</v>
          </cell>
        </row>
        <row r="121">
          <cell r="B121">
            <v>34713300</v>
          </cell>
          <cell r="AJ121">
            <v>21256</v>
          </cell>
        </row>
        <row r="122">
          <cell r="B122">
            <v>38175215.384615399</v>
          </cell>
          <cell r="AJ122">
            <v>21221</v>
          </cell>
        </row>
        <row r="123">
          <cell r="B123">
            <v>43449461.538461499</v>
          </cell>
          <cell r="AJ123">
            <v>21238</v>
          </cell>
        </row>
        <row r="124">
          <cell r="B124">
            <v>42901115.384615399</v>
          </cell>
          <cell r="AJ124">
            <v>21219</v>
          </cell>
        </row>
        <row r="125">
          <cell r="B125">
            <v>34876669.230769202</v>
          </cell>
          <cell r="AJ125">
            <v>21290</v>
          </cell>
        </row>
        <row r="126">
          <cell r="B126">
            <v>33323746.1538461</v>
          </cell>
          <cell r="AJ126">
            <v>21329</v>
          </cell>
        </row>
        <row r="127">
          <cell r="B127">
            <v>35291992.307692297</v>
          </cell>
          <cell r="AJ127">
            <v>21323</v>
          </cell>
        </row>
        <row r="128">
          <cell r="B128">
            <v>38566092.307692297</v>
          </cell>
          <cell r="AJ128">
            <v>21421</v>
          </cell>
        </row>
        <row r="129">
          <cell r="D129">
            <v>159733337.50999999</v>
          </cell>
          <cell r="F129">
            <v>19434.333333333332</v>
          </cell>
          <cell r="H129">
            <v>54184999.660000004</v>
          </cell>
          <cell r="J129">
            <v>1690.6666666666667</v>
          </cell>
          <cell r="L129">
            <v>144932476.47</v>
          </cell>
          <cell r="N129">
            <v>432238.21</v>
          </cell>
          <cell r="O129">
            <v>172.33333333333334</v>
          </cell>
          <cell r="Q129">
            <v>4700576</v>
          </cell>
          <cell r="S129">
            <v>13118.889999999998</v>
          </cell>
          <cell r="T129">
            <v>6737.666666666667</v>
          </cell>
          <cell r="V129">
            <v>908961.79999999993</v>
          </cell>
          <cell r="X129">
            <v>2816.28</v>
          </cell>
          <cell r="Y129">
            <v>679.16666666666663</v>
          </cell>
          <cell r="AA129">
            <v>1128126.51</v>
          </cell>
          <cell r="AC129">
            <v>227.25</v>
          </cell>
          <cell r="AF129">
            <v>60389409</v>
          </cell>
          <cell r="AG129">
            <v>168338</v>
          </cell>
          <cell r="AH129">
            <v>1.3333333333333333</v>
          </cell>
        </row>
        <row r="131">
          <cell r="B131">
            <v>40900176.416666664</v>
          </cell>
          <cell r="AJ131">
            <v>21445.222222222223</v>
          </cell>
        </row>
        <row r="132">
          <cell r="B132">
            <v>37002004.416666664</v>
          </cell>
          <cell r="AJ132">
            <v>21469.444444444445</v>
          </cell>
        </row>
        <row r="133">
          <cell r="B133">
            <v>39251866.416666664</v>
          </cell>
          <cell r="AJ133">
            <v>21493.666666666672</v>
          </cell>
        </row>
        <row r="134">
          <cell r="B134">
            <v>34076716.416666664</v>
          </cell>
          <cell r="AJ134">
            <v>21517.888888888894</v>
          </cell>
        </row>
        <row r="135">
          <cell r="B135">
            <v>34411223.416666664</v>
          </cell>
          <cell r="AJ135">
            <v>21542.11111111112</v>
          </cell>
        </row>
        <row r="136">
          <cell r="B136">
            <v>38049473.416666664</v>
          </cell>
          <cell r="AJ136">
            <v>21566.333333333343</v>
          </cell>
        </row>
        <row r="137">
          <cell r="B137">
            <v>46034684.416666664</v>
          </cell>
          <cell r="AJ137">
            <v>21590.555555555569</v>
          </cell>
        </row>
        <row r="138">
          <cell r="B138">
            <v>42762335.416666664</v>
          </cell>
          <cell r="AJ138">
            <v>21614.777777777792</v>
          </cell>
        </row>
        <row r="139">
          <cell r="B139">
            <v>34007841.416666664</v>
          </cell>
          <cell r="AJ139">
            <v>21639.000000000015</v>
          </cell>
        </row>
        <row r="140">
          <cell r="B140">
            <v>32896105.416666668</v>
          </cell>
          <cell r="AJ140">
            <v>21663.222222222237</v>
          </cell>
        </row>
        <row r="141">
          <cell r="B141">
            <v>34363376.416666664</v>
          </cell>
          <cell r="AJ141">
            <v>21687.44444444446</v>
          </cell>
        </row>
        <row r="142">
          <cell r="B142">
            <v>37465044.416666664</v>
          </cell>
          <cell r="AJ142">
            <v>21711.66666666669</v>
          </cell>
        </row>
        <row r="143">
          <cell r="D143">
            <v>158621921</v>
          </cell>
          <cell r="F143">
            <v>19716.902777777785</v>
          </cell>
          <cell r="H143">
            <v>54435719</v>
          </cell>
          <cell r="J143">
            <v>1690.8055555555559</v>
          </cell>
          <cell r="L143">
            <v>150174158</v>
          </cell>
          <cell r="N143">
            <v>417210</v>
          </cell>
          <cell r="O143">
            <v>169.73611111111106</v>
          </cell>
          <cell r="Q143">
            <v>4730347</v>
          </cell>
          <cell r="S143">
            <v>13148</v>
          </cell>
          <cell r="T143">
            <v>6739</v>
          </cell>
          <cell r="V143">
            <v>894240</v>
          </cell>
          <cell r="X143">
            <v>2462</v>
          </cell>
          <cell r="Y143">
            <v>663.28472222222206</v>
          </cell>
          <cell r="AA143">
            <v>1122904</v>
          </cell>
          <cell r="AC143">
            <v>226.32291666666671</v>
          </cell>
          <cell r="AF143">
            <v>59993492</v>
          </cell>
          <cell r="AG143">
            <v>170236</v>
          </cell>
          <cell r="AH143">
            <v>1</v>
          </cell>
        </row>
        <row r="145">
          <cell r="B145">
            <v>38332945</v>
          </cell>
          <cell r="AJ145">
            <v>21863</v>
          </cell>
        </row>
        <row r="146">
          <cell r="B146">
            <v>35663980</v>
          </cell>
          <cell r="AJ146">
            <v>21957</v>
          </cell>
        </row>
        <row r="147">
          <cell r="B147">
            <v>34848118</v>
          </cell>
          <cell r="AJ147">
            <v>21953</v>
          </cell>
        </row>
        <row r="148">
          <cell r="B148">
            <v>29360304</v>
          </cell>
          <cell r="AJ148">
            <v>21950</v>
          </cell>
        </row>
        <row r="149">
          <cell r="B149">
            <v>33203358</v>
          </cell>
          <cell r="AJ149">
            <v>21973</v>
          </cell>
        </row>
        <row r="150">
          <cell r="B150">
            <v>33725678</v>
          </cell>
          <cell r="AJ150">
            <v>21985</v>
          </cell>
        </row>
        <row r="151">
          <cell r="B151">
            <v>42152151.322580643</v>
          </cell>
          <cell r="AJ151">
            <v>21988</v>
          </cell>
        </row>
        <row r="152">
          <cell r="B152">
            <v>39128268</v>
          </cell>
          <cell r="AJ152">
            <v>22002</v>
          </cell>
        </row>
        <row r="153">
          <cell r="B153">
            <v>33338864</v>
          </cell>
          <cell r="AJ153">
            <v>22010</v>
          </cell>
        </row>
        <row r="154">
          <cell r="B154">
            <v>32606142</v>
          </cell>
          <cell r="AJ154">
            <v>22014</v>
          </cell>
        </row>
        <row r="155">
          <cell r="B155">
            <v>34295421</v>
          </cell>
          <cell r="AJ155">
            <v>22047</v>
          </cell>
        </row>
        <row r="156">
          <cell r="B156">
            <v>35015935</v>
          </cell>
          <cell r="AJ156">
            <v>22053</v>
          </cell>
        </row>
        <row r="157">
          <cell r="D157">
            <v>159179968</v>
          </cell>
          <cell r="F157">
            <v>20109.833333333332</v>
          </cell>
          <cell r="H157">
            <v>50022065</v>
          </cell>
          <cell r="J157">
            <v>1698.8333333333333</v>
          </cell>
          <cell r="L157">
            <v>141440866.32258064</v>
          </cell>
          <cell r="N157">
            <v>387769</v>
          </cell>
          <cell r="O157">
            <v>173.25</v>
          </cell>
          <cell r="Q157">
            <v>4479319</v>
          </cell>
          <cell r="S157">
            <v>12420</v>
          </cell>
          <cell r="T157">
            <v>6749.166666666667</v>
          </cell>
          <cell r="V157">
            <v>849278</v>
          </cell>
          <cell r="X157">
            <v>2331</v>
          </cell>
          <cell r="Y157">
            <v>626.84577546296293</v>
          </cell>
          <cell r="AA157">
            <v>1085389</v>
          </cell>
          <cell r="AC157">
            <v>220.70008680555566</v>
          </cell>
          <cell r="AF157">
            <v>48424320</v>
          </cell>
          <cell r="AG157">
            <v>152573</v>
          </cell>
          <cell r="AH157">
            <v>1</v>
          </cell>
        </row>
        <row r="159">
          <cell r="B159">
            <v>37762681.75</v>
          </cell>
          <cell r="AJ159">
            <v>22066</v>
          </cell>
        </row>
        <row r="160">
          <cell r="B160">
            <v>33318398.75</v>
          </cell>
          <cell r="AJ160">
            <v>22089</v>
          </cell>
        </row>
        <row r="161">
          <cell r="B161">
            <v>34776845.75</v>
          </cell>
          <cell r="AJ161">
            <v>22091</v>
          </cell>
        </row>
        <row r="162">
          <cell r="B162">
            <v>31363088.75</v>
          </cell>
          <cell r="AJ162">
            <v>22090</v>
          </cell>
        </row>
        <row r="163">
          <cell r="B163">
            <v>31691626.75</v>
          </cell>
          <cell r="AJ163">
            <v>22106</v>
          </cell>
        </row>
        <row r="164">
          <cell r="B164">
            <v>33388744.75</v>
          </cell>
          <cell r="AJ164">
            <v>22128</v>
          </cell>
        </row>
        <row r="165">
          <cell r="B165">
            <v>40707062.75</v>
          </cell>
          <cell r="AJ165">
            <v>22132</v>
          </cell>
        </row>
        <row r="166">
          <cell r="B166">
            <v>35841331.75</v>
          </cell>
          <cell r="AJ166">
            <v>22153</v>
          </cell>
        </row>
        <row r="167">
          <cell r="B167">
            <v>32423202.75</v>
          </cell>
          <cell r="AJ167">
            <v>22169</v>
          </cell>
        </row>
        <row r="168">
          <cell r="B168">
            <v>32735799.75</v>
          </cell>
          <cell r="AJ168">
            <v>22189</v>
          </cell>
        </row>
        <row r="169">
          <cell r="B169">
            <v>33760116.75</v>
          </cell>
          <cell r="AJ169">
            <v>22208</v>
          </cell>
        </row>
        <row r="170">
          <cell r="B170">
            <v>37600715.75</v>
          </cell>
          <cell r="AJ170">
            <v>22234</v>
          </cell>
        </row>
        <row r="171">
          <cell r="D171">
            <v>158724607</v>
          </cell>
          <cell r="F171">
            <v>20265.75</v>
          </cell>
          <cell r="H171">
            <v>52726527</v>
          </cell>
          <cell r="J171">
            <v>1698.5</v>
          </cell>
          <cell r="L171">
            <v>138149957</v>
          </cell>
          <cell r="N171">
            <v>389545</v>
          </cell>
          <cell r="O171">
            <v>172.66666666666666</v>
          </cell>
          <cell r="Q171">
            <v>2844301</v>
          </cell>
          <cell r="S171">
            <v>7923</v>
          </cell>
          <cell r="T171">
            <v>6778.916666666667</v>
          </cell>
          <cell r="V171">
            <v>782990</v>
          </cell>
          <cell r="X171">
            <v>2186</v>
          </cell>
          <cell r="Y171">
            <v>580.25</v>
          </cell>
          <cell r="AA171">
            <v>989250</v>
          </cell>
          <cell r="AC171">
            <v>235.5</v>
          </cell>
          <cell r="AF171">
            <v>44784691</v>
          </cell>
          <cell r="AG171">
            <v>153121</v>
          </cell>
          <cell r="AH171">
            <v>1</v>
          </cell>
        </row>
        <row r="173">
          <cell r="B173">
            <v>40157304.416666664</v>
          </cell>
          <cell r="AJ173">
            <v>22330</v>
          </cell>
        </row>
        <row r="174">
          <cell r="B174">
            <v>35890736.416666664</v>
          </cell>
          <cell r="AJ174">
            <v>22326</v>
          </cell>
        </row>
        <row r="175">
          <cell r="B175">
            <v>37345081.416666664</v>
          </cell>
          <cell r="AJ175">
            <v>22340</v>
          </cell>
        </row>
        <row r="176">
          <cell r="B176">
            <v>29856156.416666668</v>
          </cell>
          <cell r="AJ176">
            <v>22334</v>
          </cell>
        </row>
        <row r="177">
          <cell r="B177">
            <v>27591366.416666668</v>
          </cell>
          <cell r="AJ177">
            <v>22336</v>
          </cell>
        </row>
        <row r="178">
          <cell r="B178">
            <v>32152920.416666668</v>
          </cell>
          <cell r="AJ178">
            <v>22351</v>
          </cell>
        </row>
        <row r="179">
          <cell r="B179">
            <v>33898997.416666664</v>
          </cell>
          <cell r="AJ179">
            <v>22375</v>
          </cell>
        </row>
        <row r="180">
          <cell r="B180">
            <v>33235703.416666668</v>
          </cell>
          <cell r="AJ180">
            <v>22386</v>
          </cell>
        </row>
        <row r="181">
          <cell r="B181">
            <v>28690043.416666668</v>
          </cell>
          <cell r="AJ181">
            <v>22411</v>
          </cell>
        </row>
        <row r="182">
          <cell r="B182">
            <v>29545098.416666668</v>
          </cell>
          <cell r="AJ182">
            <v>22460</v>
          </cell>
        </row>
        <row r="183">
          <cell r="B183">
            <v>30497875.416666668</v>
          </cell>
          <cell r="AJ183">
            <v>22458</v>
          </cell>
        </row>
        <row r="184">
          <cell r="B184">
            <v>32693713.416666668</v>
          </cell>
          <cell r="AJ184">
            <v>22470</v>
          </cell>
        </row>
        <row r="185">
          <cell r="D185">
            <v>158185053</v>
          </cell>
          <cell r="F185">
            <v>20472.166666666668</v>
          </cell>
          <cell r="H185">
            <v>53903009</v>
          </cell>
          <cell r="J185">
            <v>1742.8333333333333</v>
          </cell>
          <cell r="L185">
            <v>144192534</v>
          </cell>
          <cell r="N185">
            <v>402375</v>
          </cell>
          <cell r="O185">
            <v>165.41666666666666</v>
          </cell>
          <cell r="Q185">
            <v>2503378</v>
          </cell>
          <cell r="S185">
            <v>6992</v>
          </cell>
          <cell r="T185">
            <v>6784.333333333333</v>
          </cell>
          <cell r="V185">
            <v>767199</v>
          </cell>
          <cell r="X185">
            <v>2120</v>
          </cell>
          <cell r="Y185">
            <v>519.16666666666663</v>
          </cell>
          <cell r="AA185">
            <v>966945</v>
          </cell>
          <cell r="AC185">
            <v>259.33333333333331</v>
          </cell>
          <cell r="AF185">
            <v>20367511</v>
          </cell>
          <cell r="AG185">
            <v>59144</v>
          </cell>
          <cell r="AH185">
            <v>1</v>
          </cell>
        </row>
        <row r="187">
          <cell r="B187">
            <v>35250727.083333336</v>
          </cell>
          <cell r="AJ187">
            <v>22484</v>
          </cell>
        </row>
        <row r="188">
          <cell r="B188">
            <v>32507721.083333332</v>
          </cell>
          <cell r="AJ188">
            <v>22480</v>
          </cell>
        </row>
        <row r="189">
          <cell r="B189">
            <v>32200533.083333332</v>
          </cell>
          <cell r="AJ189">
            <v>22502</v>
          </cell>
        </row>
        <row r="190">
          <cell r="B190">
            <v>27396995.083333332</v>
          </cell>
          <cell r="AJ190">
            <v>22537</v>
          </cell>
        </row>
        <row r="191">
          <cell r="B191">
            <v>28717672.083333332</v>
          </cell>
          <cell r="AJ191">
            <v>22526</v>
          </cell>
        </row>
        <row r="192">
          <cell r="B192">
            <v>29735254.083333332</v>
          </cell>
          <cell r="AJ192">
            <v>22535</v>
          </cell>
        </row>
        <row r="193">
          <cell r="B193">
            <v>35302271.083333336</v>
          </cell>
          <cell r="AJ193">
            <v>22560</v>
          </cell>
        </row>
        <row r="194">
          <cell r="B194">
            <v>33761714.083333336</v>
          </cell>
          <cell r="AJ194">
            <v>22588</v>
          </cell>
        </row>
        <row r="195">
          <cell r="B195">
            <v>32384101.083333332</v>
          </cell>
          <cell r="AJ195">
            <v>22606</v>
          </cell>
        </row>
        <row r="196">
          <cell r="B196">
            <v>27193803.083333332</v>
          </cell>
          <cell r="AJ196">
            <v>22626</v>
          </cell>
        </row>
        <row r="197">
          <cell r="B197">
            <v>27893759.083333332</v>
          </cell>
          <cell r="AJ197">
            <v>22650</v>
          </cell>
        </row>
        <row r="198">
          <cell r="B198">
            <v>30136379.083333332</v>
          </cell>
          <cell r="AJ198">
            <v>22667</v>
          </cell>
        </row>
        <row r="199">
          <cell r="D199">
            <v>157973719</v>
          </cell>
          <cell r="F199">
            <v>20635.5</v>
          </cell>
          <cell r="H199">
            <v>54312604</v>
          </cell>
          <cell r="J199">
            <v>1769.0833333333333</v>
          </cell>
          <cell r="L199">
            <v>139796962</v>
          </cell>
          <cell r="N199">
            <v>402768</v>
          </cell>
          <cell r="O199">
            <v>158.83333333333334</v>
          </cell>
          <cell r="Q199">
            <v>2284687</v>
          </cell>
          <cell r="S199">
            <v>6476</v>
          </cell>
          <cell r="T199">
            <v>6792.583333333333</v>
          </cell>
          <cell r="V199">
            <v>753964</v>
          </cell>
          <cell r="X199">
            <v>2077</v>
          </cell>
          <cell r="Y199">
            <v>515.08333333333337</v>
          </cell>
          <cell r="AA199">
            <v>970041</v>
          </cell>
          <cell r="AC199">
            <v>256.66666666666669</v>
          </cell>
          <cell r="AF199">
            <v>277079</v>
          </cell>
          <cell r="AG199">
            <v>479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1592.6489792038506</v>
          </cell>
          <cell r="F19">
            <v>1592.6489792038506</v>
          </cell>
          <cell r="G19">
            <v>1592.6489792038506</v>
          </cell>
          <cell r="H19">
            <v>1592.6489792038506</v>
          </cell>
          <cell r="I19">
            <v>276.60786237725119</v>
          </cell>
          <cell r="J19">
            <v>276.60786237725119</v>
          </cell>
          <cell r="K19">
            <v>253.02088596673747</v>
          </cell>
          <cell r="L19">
            <v>253.02088596673747</v>
          </cell>
          <cell r="M19">
            <v>237.75210632149077</v>
          </cell>
          <cell r="N19">
            <v>237.75210632149077</v>
          </cell>
          <cell r="O19">
            <v>224.62329757342923</v>
          </cell>
          <cell r="P19">
            <v>224.62329757342923</v>
          </cell>
        </row>
        <row r="20">
          <cell r="E20">
            <v>0</v>
          </cell>
          <cell r="F20">
            <v>754.92009632514714</v>
          </cell>
          <cell r="G20">
            <v>748.57953182069832</v>
          </cell>
          <cell r="H20">
            <v>748.57953182069832</v>
          </cell>
          <cell r="I20">
            <v>748.57953182069832</v>
          </cell>
          <cell r="J20">
            <v>748.47601761557303</v>
          </cell>
          <cell r="K20">
            <v>726.78393993460531</v>
          </cell>
          <cell r="L20">
            <v>726.78393993460531</v>
          </cell>
          <cell r="M20">
            <v>726.78393993460531</v>
          </cell>
          <cell r="N20">
            <v>255.42524420212723</v>
          </cell>
          <cell r="O20">
            <v>194.02121847494504</v>
          </cell>
          <cell r="P20">
            <v>114.29947685377283</v>
          </cell>
        </row>
        <row r="21">
          <cell r="E21">
            <v>0</v>
          </cell>
          <cell r="F21">
            <v>0</v>
          </cell>
          <cell r="G21">
            <v>1698.9911457649271</v>
          </cell>
          <cell r="H21">
            <v>1421.2454083835335</v>
          </cell>
          <cell r="I21">
            <v>1421.2454083835335</v>
          </cell>
          <cell r="J21">
            <v>1421.2454083835335</v>
          </cell>
          <cell r="K21">
            <v>1351.5104887136356</v>
          </cell>
          <cell r="L21">
            <v>1351.2622687136356</v>
          </cell>
          <cell r="M21">
            <v>1278.9039665952375</v>
          </cell>
          <cell r="N21">
            <v>1224.8461876169133</v>
          </cell>
          <cell r="O21">
            <v>983.66591170271067</v>
          </cell>
          <cell r="P21">
            <v>853.24362457395205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1770.3930768008443</v>
          </cell>
          <cell r="I22">
            <v>1504.1362745296419</v>
          </cell>
          <cell r="J22">
            <v>1504.1362745296419</v>
          </cell>
          <cell r="K22">
            <v>1503.3235261772784</v>
          </cell>
          <cell r="L22">
            <v>1455.7351482302615</v>
          </cell>
          <cell r="M22">
            <v>1319.2534374830393</v>
          </cell>
          <cell r="N22">
            <v>1283.1767253687281</v>
          </cell>
          <cell r="O22">
            <v>1282.3895574009448</v>
          </cell>
          <cell r="P22">
            <v>911.40488386924267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2319.9876243285594</v>
          </cell>
          <cell r="J23">
            <v>1830.0499655791743</v>
          </cell>
          <cell r="K23">
            <v>1827.9508740589647</v>
          </cell>
          <cell r="L23">
            <v>1826.8767060636785</v>
          </cell>
          <cell r="M23">
            <v>1747.3824583799858</v>
          </cell>
          <cell r="N23">
            <v>1483.6481075452314</v>
          </cell>
          <cell r="O23">
            <v>1475.875932981952</v>
          </cell>
          <cell r="P23">
            <v>1354.0410209617514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37">
          <cell r="AR37">
            <v>2299.6634182224193</v>
          </cell>
          <cell r="AS37">
            <v>2298.0643202224187</v>
          </cell>
          <cell r="AT37">
            <v>2281.0517176151302</v>
          </cell>
          <cell r="AU37">
            <v>2115.6132585554997</v>
          </cell>
          <cell r="AV37">
            <v>2068.3965962145567</v>
          </cell>
          <cell r="AW37">
            <v>1981.5335186569621</v>
          </cell>
          <cell r="AX37">
            <v>1842.6201901463883</v>
          </cell>
        </row>
      </sheetData>
      <sheetData sheetId="1">
        <row r="38">
          <cell r="AR38">
            <v>1258.4993935038303</v>
          </cell>
          <cell r="AS38">
            <v>1121.1476103869356</v>
          </cell>
          <cell r="AT38">
            <v>1118.6113663241597</v>
          </cell>
          <cell r="AU38">
            <v>1079.0065886896602</v>
          </cell>
          <cell r="AV38">
            <v>801.20002494319601</v>
          </cell>
          <cell r="AW38">
            <v>687.69914681012494</v>
          </cell>
        </row>
      </sheetData>
      <sheetData sheetId="2">
        <row r="37">
          <cell r="AT37">
            <v>4622.1689196876068</v>
          </cell>
          <cell r="AU37">
            <v>4431.6697522180575</v>
          </cell>
          <cell r="AV37">
            <v>4418.6520246126547</v>
          </cell>
          <cell r="AW37">
            <v>4327.5263237240342</v>
          </cell>
          <cell r="AX37">
            <v>3448.6609037812427</v>
          </cell>
        </row>
      </sheetData>
      <sheetData sheetId="3">
        <row r="48">
          <cell r="AU48">
            <v>2301.5730780724489</v>
          </cell>
          <cell r="AV48">
            <v>2254.7155472924487</v>
          </cell>
          <cell r="AW48">
            <v>2205.4911289437491</v>
          </cell>
          <cell r="AX48">
            <v>2850.3736680121492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-President"/>
      <sheetName val="Table of Contents"/>
      <sheetName val="How to Use This Report"/>
      <sheetName val="Report Summary"/>
      <sheetName val="LDC Progress"/>
      <sheetName val="Province-Wide Progress"/>
      <sheetName val="IESO Value Added Services Costs"/>
      <sheetName val="Methodology"/>
      <sheetName val="Reference Tables"/>
      <sheetName val="Glossary"/>
      <sheetName val="Graph Data"/>
    </sheetNames>
    <sheetDataSet>
      <sheetData sheetId="0"/>
      <sheetData sheetId="1"/>
      <sheetData sheetId="2"/>
      <sheetData sheetId="3"/>
      <sheetData sheetId="4">
        <row r="100">
          <cell r="AP100">
            <v>1729305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age"/>
      <sheetName val="TOC"/>
      <sheetName val="Summary"/>
      <sheetName val="2.3 Results Participation - LDC"/>
      <sheetName val="2.5.1 Evaluation Findings"/>
      <sheetName val="2.5.2 Results - LDC"/>
      <sheetName val="3.1.1 Summary - LDC"/>
      <sheetName val="Provincial - Participation"/>
      <sheetName val="Provincial - Results"/>
      <sheetName val="Provincial - Progress Summary"/>
      <sheetName val="Methodology"/>
      <sheetName val="Reference Tables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21">
            <v>2.0187763921959498</v>
          </cell>
          <cell r="C21">
            <v>2.0171772941959496</v>
          </cell>
          <cell r="D21">
            <v>2.0037721892506433</v>
          </cell>
          <cell r="E21">
            <v>1.8970941963785726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IP"/>
      <sheetName val="HPNC Gen 1"/>
    </sheetNames>
    <sheetDataSet>
      <sheetData sheetId="0">
        <row r="7">
          <cell r="B7" t="str">
            <v>Niagara Health System</v>
          </cell>
          <cell r="E7">
            <v>164978</v>
          </cell>
        </row>
        <row r="8">
          <cell r="B8" t="str">
            <v>Niagara College</v>
          </cell>
          <cell r="E8">
            <v>935585</v>
          </cell>
        </row>
        <row r="9">
          <cell r="B9" t="str">
            <v>42 Rice Road</v>
          </cell>
          <cell r="E9">
            <v>378169</v>
          </cell>
        </row>
        <row r="10">
          <cell r="B10" t="str">
            <v>Welded Tube of Canada</v>
          </cell>
          <cell r="E10">
            <v>195407</v>
          </cell>
        </row>
        <row r="11">
          <cell r="B11" t="str">
            <v>Sobeys</v>
          </cell>
          <cell r="E11">
            <v>127242</v>
          </cell>
        </row>
        <row r="12">
          <cell r="B12" t="str">
            <v>Zehrs</v>
          </cell>
          <cell r="E12">
            <v>394558</v>
          </cell>
        </row>
      </sheetData>
      <sheetData sheetId="1">
        <row r="7">
          <cell r="B7" t="str">
            <v>Niagara College</v>
          </cell>
          <cell r="E7">
            <v>248638</v>
          </cell>
        </row>
        <row r="8">
          <cell r="B8" t="str">
            <v>Jean Vanier</v>
          </cell>
          <cell r="E8">
            <v>330823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629"/>
  <sheetViews>
    <sheetView topLeftCell="A94" zoomScale="115" zoomScaleNormal="115" workbookViewId="0">
      <selection activeCell="A12" sqref="A12"/>
    </sheetView>
  </sheetViews>
  <sheetFormatPr defaultRowHeight="12.75" x14ac:dyDescent="0.2"/>
  <cols>
    <col min="1" max="1" width="20.28515625" style="120" customWidth="1"/>
    <col min="2" max="2" width="11" style="120" customWidth="1"/>
    <col min="3" max="4" width="11.140625" style="120" customWidth="1"/>
    <col min="5" max="5" width="12.7109375" style="120" customWidth="1"/>
    <col min="6" max="6" width="11.42578125" style="120" customWidth="1"/>
    <col min="7" max="10" width="11.28515625" style="120" customWidth="1"/>
    <col min="11" max="11" width="35.42578125" style="120" customWidth="1"/>
    <col min="12" max="12" width="13.140625" style="120" customWidth="1"/>
    <col min="13" max="13" width="11.42578125" style="120" bestFit="1" customWidth="1"/>
    <col min="14" max="14" width="40.5703125" style="120" bestFit="1" customWidth="1"/>
    <col min="15" max="15" width="11" style="120" customWidth="1"/>
    <col min="16" max="16" width="21.85546875" style="120" customWidth="1"/>
    <col min="17" max="24" width="10.5703125" style="120" customWidth="1"/>
    <col min="25" max="25" width="9.140625" style="120"/>
    <col min="26" max="26" width="26.7109375" style="120" customWidth="1"/>
    <col min="27" max="27" width="9.85546875" style="120" bestFit="1" customWidth="1"/>
    <col min="28" max="28" width="10.85546875" style="120" bestFit="1" customWidth="1"/>
    <col min="29" max="29" width="9.85546875" style="120" bestFit="1" customWidth="1"/>
    <col min="30" max="30" width="9.140625" style="120"/>
    <col min="31" max="31" width="27.7109375" style="120" customWidth="1"/>
    <col min="32" max="33" width="9.140625" style="120"/>
    <col min="34" max="34" width="5.28515625" style="120" bestFit="1" customWidth="1"/>
    <col min="35" max="35" width="11.140625" style="120" bestFit="1" customWidth="1"/>
    <col min="36" max="36" width="11" style="120" customWidth="1"/>
    <col min="37" max="38" width="11.140625" style="120" bestFit="1" customWidth="1"/>
    <col min="39" max="259" width="9.140625" style="120"/>
    <col min="260" max="260" width="26.85546875" style="120" customWidth="1"/>
    <col min="261" max="261" width="0" style="120" hidden="1" customWidth="1"/>
    <col min="262" max="262" width="12.42578125" style="120" customWidth="1"/>
    <col min="263" max="264" width="11.140625" style="120" customWidth="1"/>
    <col min="265" max="265" width="12.140625" style="120" customWidth="1"/>
    <col min="266" max="266" width="14" style="120" customWidth="1"/>
    <col min="267" max="267" width="12.5703125" style="120" customWidth="1"/>
    <col min="268" max="269" width="13.140625" style="120" customWidth="1"/>
    <col min="270" max="271" width="9.140625" style="120"/>
    <col min="272" max="272" width="11" style="120" customWidth="1"/>
    <col min="273" max="515" width="9.140625" style="120"/>
    <col min="516" max="516" width="26.85546875" style="120" customWidth="1"/>
    <col min="517" max="517" width="0" style="120" hidden="1" customWidth="1"/>
    <col min="518" max="518" width="12.42578125" style="120" customWidth="1"/>
    <col min="519" max="520" width="11.140625" style="120" customWidth="1"/>
    <col min="521" max="521" width="12.140625" style="120" customWidth="1"/>
    <col min="522" max="522" width="14" style="120" customWidth="1"/>
    <col min="523" max="523" width="12.5703125" style="120" customWidth="1"/>
    <col min="524" max="525" width="13.140625" style="120" customWidth="1"/>
    <col min="526" max="527" width="9.140625" style="120"/>
    <col min="528" max="528" width="11" style="120" customWidth="1"/>
    <col min="529" max="771" width="9.140625" style="120"/>
    <col min="772" max="772" width="26.85546875" style="120" customWidth="1"/>
    <col min="773" max="773" width="0" style="120" hidden="1" customWidth="1"/>
    <col min="774" max="774" width="12.42578125" style="120" customWidth="1"/>
    <col min="775" max="776" width="11.140625" style="120" customWidth="1"/>
    <col min="777" max="777" width="12.140625" style="120" customWidth="1"/>
    <col min="778" max="778" width="14" style="120" customWidth="1"/>
    <col min="779" max="779" width="12.5703125" style="120" customWidth="1"/>
    <col min="780" max="781" width="13.140625" style="120" customWidth="1"/>
    <col min="782" max="783" width="9.140625" style="120"/>
    <col min="784" max="784" width="11" style="120" customWidth="1"/>
    <col min="785" max="1027" width="9.140625" style="120"/>
    <col min="1028" max="1028" width="26.85546875" style="120" customWidth="1"/>
    <col min="1029" max="1029" width="0" style="120" hidden="1" customWidth="1"/>
    <col min="1030" max="1030" width="12.42578125" style="120" customWidth="1"/>
    <col min="1031" max="1032" width="11.140625" style="120" customWidth="1"/>
    <col min="1033" max="1033" width="12.140625" style="120" customWidth="1"/>
    <col min="1034" max="1034" width="14" style="120" customWidth="1"/>
    <col min="1035" max="1035" width="12.5703125" style="120" customWidth="1"/>
    <col min="1036" max="1037" width="13.140625" style="120" customWidth="1"/>
    <col min="1038" max="1039" width="9.140625" style="120"/>
    <col min="1040" max="1040" width="11" style="120" customWidth="1"/>
    <col min="1041" max="1283" width="9.140625" style="120"/>
    <col min="1284" max="1284" width="26.85546875" style="120" customWidth="1"/>
    <col min="1285" max="1285" width="0" style="120" hidden="1" customWidth="1"/>
    <col min="1286" max="1286" width="12.42578125" style="120" customWidth="1"/>
    <col min="1287" max="1288" width="11.140625" style="120" customWidth="1"/>
    <col min="1289" max="1289" width="12.140625" style="120" customWidth="1"/>
    <col min="1290" max="1290" width="14" style="120" customWidth="1"/>
    <col min="1291" max="1291" width="12.5703125" style="120" customWidth="1"/>
    <col min="1292" max="1293" width="13.140625" style="120" customWidth="1"/>
    <col min="1294" max="1295" width="9.140625" style="120"/>
    <col min="1296" max="1296" width="11" style="120" customWidth="1"/>
    <col min="1297" max="1539" width="9.140625" style="120"/>
    <col min="1540" max="1540" width="26.85546875" style="120" customWidth="1"/>
    <col min="1541" max="1541" width="0" style="120" hidden="1" customWidth="1"/>
    <col min="1542" max="1542" width="12.42578125" style="120" customWidth="1"/>
    <col min="1543" max="1544" width="11.140625" style="120" customWidth="1"/>
    <col min="1545" max="1545" width="12.140625" style="120" customWidth="1"/>
    <col min="1546" max="1546" width="14" style="120" customWidth="1"/>
    <col min="1547" max="1547" width="12.5703125" style="120" customWidth="1"/>
    <col min="1548" max="1549" width="13.140625" style="120" customWidth="1"/>
    <col min="1550" max="1551" width="9.140625" style="120"/>
    <col min="1552" max="1552" width="11" style="120" customWidth="1"/>
    <col min="1553" max="1795" width="9.140625" style="120"/>
    <col min="1796" max="1796" width="26.85546875" style="120" customWidth="1"/>
    <col min="1797" max="1797" width="0" style="120" hidden="1" customWidth="1"/>
    <col min="1798" max="1798" width="12.42578125" style="120" customWidth="1"/>
    <col min="1799" max="1800" width="11.140625" style="120" customWidth="1"/>
    <col min="1801" max="1801" width="12.140625" style="120" customWidth="1"/>
    <col min="1802" max="1802" width="14" style="120" customWidth="1"/>
    <col min="1803" max="1803" width="12.5703125" style="120" customWidth="1"/>
    <col min="1804" max="1805" width="13.140625" style="120" customWidth="1"/>
    <col min="1806" max="1807" width="9.140625" style="120"/>
    <col min="1808" max="1808" width="11" style="120" customWidth="1"/>
    <col min="1809" max="2051" width="9.140625" style="120"/>
    <col min="2052" max="2052" width="26.85546875" style="120" customWidth="1"/>
    <col min="2053" max="2053" width="0" style="120" hidden="1" customWidth="1"/>
    <col min="2054" max="2054" width="12.42578125" style="120" customWidth="1"/>
    <col min="2055" max="2056" width="11.140625" style="120" customWidth="1"/>
    <col min="2057" max="2057" width="12.140625" style="120" customWidth="1"/>
    <col min="2058" max="2058" width="14" style="120" customWidth="1"/>
    <col min="2059" max="2059" width="12.5703125" style="120" customWidth="1"/>
    <col min="2060" max="2061" width="13.140625" style="120" customWidth="1"/>
    <col min="2062" max="2063" width="9.140625" style="120"/>
    <col min="2064" max="2064" width="11" style="120" customWidth="1"/>
    <col min="2065" max="2307" width="9.140625" style="120"/>
    <col min="2308" max="2308" width="26.85546875" style="120" customWidth="1"/>
    <col min="2309" max="2309" width="0" style="120" hidden="1" customWidth="1"/>
    <col min="2310" max="2310" width="12.42578125" style="120" customWidth="1"/>
    <col min="2311" max="2312" width="11.140625" style="120" customWidth="1"/>
    <col min="2313" max="2313" width="12.140625" style="120" customWidth="1"/>
    <col min="2314" max="2314" width="14" style="120" customWidth="1"/>
    <col min="2315" max="2315" width="12.5703125" style="120" customWidth="1"/>
    <col min="2316" max="2317" width="13.140625" style="120" customWidth="1"/>
    <col min="2318" max="2319" width="9.140625" style="120"/>
    <col min="2320" max="2320" width="11" style="120" customWidth="1"/>
    <col min="2321" max="2563" width="9.140625" style="120"/>
    <col min="2564" max="2564" width="26.85546875" style="120" customWidth="1"/>
    <col min="2565" max="2565" width="0" style="120" hidden="1" customWidth="1"/>
    <col min="2566" max="2566" width="12.42578125" style="120" customWidth="1"/>
    <col min="2567" max="2568" width="11.140625" style="120" customWidth="1"/>
    <col min="2569" max="2569" width="12.140625" style="120" customWidth="1"/>
    <col min="2570" max="2570" width="14" style="120" customWidth="1"/>
    <col min="2571" max="2571" width="12.5703125" style="120" customWidth="1"/>
    <col min="2572" max="2573" width="13.140625" style="120" customWidth="1"/>
    <col min="2574" max="2575" width="9.140625" style="120"/>
    <col min="2576" max="2576" width="11" style="120" customWidth="1"/>
    <col min="2577" max="2819" width="9.140625" style="120"/>
    <col min="2820" max="2820" width="26.85546875" style="120" customWidth="1"/>
    <col min="2821" max="2821" width="0" style="120" hidden="1" customWidth="1"/>
    <col min="2822" max="2822" width="12.42578125" style="120" customWidth="1"/>
    <col min="2823" max="2824" width="11.140625" style="120" customWidth="1"/>
    <col min="2825" max="2825" width="12.140625" style="120" customWidth="1"/>
    <col min="2826" max="2826" width="14" style="120" customWidth="1"/>
    <col min="2827" max="2827" width="12.5703125" style="120" customWidth="1"/>
    <col min="2828" max="2829" width="13.140625" style="120" customWidth="1"/>
    <col min="2830" max="2831" width="9.140625" style="120"/>
    <col min="2832" max="2832" width="11" style="120" customWidth="1"/>
    <col min="2833" max="3075" width="9.140625" style="120"/>
    <col min="3076" max="3076" width="26.85546875" style="120" customWidth="1"/>
    <col min="3077" max="3077" width="0" style="120" hidden="1" customWidth="1"/>
    <col min="3078" max="3078" width="12.42578125" style="120" customWidth="1"/>
    <col min="3079" max="3080" width="11.140625" style="120" customWidth="1"/>
    <col min="3081" max="3081" width="12.140625" style="120" customWidth="1"/>
    <col min="3082" max="3082" width="14" style="120" customWidth="1"/>
    <col min="3083" max="3083" width="12.5703125" style="120" customWidth="1"/>
    <col min="3084" max="3085" width="13.140625" style="120" customWidth="1"/>
    <col min="3086" max="3087" width="9.140625" style="120"/>
    <col min="3088" max="3088" width="11" style="120" customWidth="1"/>
    <col min="3089" max="3331" width="9.140625" style="120"/>
    <col min="3332" max="3332" width="26.85546875" style="120" customWidth="1"/>
    <col min="3333" max="3333" width="0" style="120" hidden="1" customWidth="1"/>
    <col min="3334" max="3334" width="12.42578125" style="120" customWidth="1"/>
    <col min="3335" max="3336" width="11.140625" style="120" customWidth="1"/>
    <col min="3337" max="3337" width="12.140625" style="120" customWidth="1"/>
    <col min="3338" max="3338" width="14" style="120" customWidth="1"/>
    <col min="3339" max="3339" width="12.5703125" style="120" customWidth="1"/>
    <col min="3340" max="3341" width="13.140625" style="120" customWidth="1"/>
    <col min="3342" max="3343" width="9.140625" style="120"/>
    <col min="3344" max="3344" width="11" style="120" customWidth="1"/>
    <col min="3345" max="3587" width="9.140625" style="120"/>
    <col min="3588" max="3588" width="26.85546875" style="120" customWidth="1"/>
    <col min="3589" max="3589" width="0" style="120" hidden="1" customWidth="1"/>
    <col min="3590" max="3590" width="12.42578125" style="120" customWidth="1"/>
    <col min="3591" max="3592" width="11.140625" style="120" customWidth="1"/>
    <col min="3593" max="3593" width="12.140625" style="120" customWidth="1"/>
    <col min="3594" max="3594" width="14" style="120" customWidth="1"/>
    <col min="3595" max="3595" width="12.5703125" style="120" customWidth="1"/>
    <col min="3596" max="3597" width="13.140625" style="120" customWidth="1"/>
    <col min="3598" max="3599" width="9.140625" style="120"/>
    <col min="3600" max="3600" width="11" style="120" customWidth="1"/>
    <col min="3601" max="3843" width="9.140625" style="120"/>
    <col min="3844" max="3844" width="26.85546875" style="120" customWidth="1"/>
    <col min="3845" max="3845" width="0" style="120" hidden="1" customWidth="1"/>
    <col min="3846" max="3846" width="12.42578125" style="120" customWidth="1"/>
    <col min="3847" max="3848" width="11.140625" style="120" customWidth="1"/>
    <col min="3849" max="3849" width="12.140625" style="120" customWidth="1"/>
    <col min="3850" max="3850" width="14" style="120" customWidth="1"/>
    <col min="3851" max="3851" width="12.5703125" style="120" customWidth="1"/>
    <col min="3852" max="3853" width="13.140625" style="120" customWidth="1"/>
    <col min="3854" max="3855" width="9.140625" style="120"/>
    <col min="3856" max="3856" width="11" style="120" customWidth="1"/>
    <col min="3857" max="4099" width="9.140625" style="120"/>
    <col min="4100" max="4100" width="26.85546875" style="120" customWidth="1"/>
    <col min="4101" max="4101" width="0" style="120" hidden="1" customWidth="1"/>
    <col min="4102" max="4102" width="12.42578125" style="120" customWidth="1"/>
    <col min="4103" max="4104" width="11.140625" style="120" customWidth="1"/>
    <col min="4105" max="4105" width="12.140625" style="120" customWidth="1"/>
    <col min="4106" max="4106" width="14" style="120" customWidth="1"/>
    <col min="4107" max="4107" width="12.5703125" style="120" customWidth="1"/>
    <col min="4108" max="4109" width="13.140625" style="120" customWidth="1"/>
    <col min="4110" max="4111" width="9.140625" style="120"/>
    <col min="4112" max="4112" width="11" style="120" customWidth="1"/>
    <col min="4113" max="4355" width="9.140625" style="120"/>
    <col min="4356" max="4356" width="26.85546875" style="120" customWidth="1"/>
    <col min="4357" max="4357" width="0" style="120" hidden="1" customWidth="1"/>
    <col min="4358" max="4358" width="12.42578125" style="120" customWidth="1"/>
    <col min="4359" max="4360" width="11.140625" style="120" customWidth="1"/>
    <col min="4361" max="4361" width="12.140625" style="120" customWidth="1"/>
    <col min="4362" max="4362" width="14" style="120" customWidth="1"/>
    <col min="4363" max="4363" width="12.5703125" style="120" customWidth="1"/>
    <col min="4364" max="4365" width="13.140625" style="120" customWidth="1"/>
    <col min="4366" max="4367" width="9.140625" style="120"/>
    <col min="4368" max="4368" width="11" style="120" customWidth="1"/>
    <col min="4369" max="4611" width="9.140625" style="120"/>
    <col min="4612" max="4612" width="26.85546875" style="120" customWidth="1"/>
    <col min="4613" max="4613" width="0" style="120" hidden="1" customWidth="1"/>
    <col min="4614" max="4614" width="12.42578125" style="120" customWidth="1"/>
    <col min="4615" max="4616" width="11.140625" style="120" customWidth="1"/>
    <col min="4617" max="4617" width="12.140625" style="120" customWidth="1"/>
    <col min="4618" max="4618" width="14" style="120" customWidth="1"/>
    <col min="4619" max="4619" width="12.5703125" style="120" customWidth="1"/>
    <col min="4620" max="4621" width="13.140625" style="120" customWidth="1"/>
    <col min="4622" max="4623" width="9.140625" style="120"/>
    <col min="4624" max="4624" width="11" style="120" customWidth="1"/>
    <col min="4625" max="4867" width="9.140625" style="120"/>
    <col min="4868" max="4868" width="26.85546875" style="120" customWidth="1"/>
    <col min="4869" max="4869" width="0" style="120" hidden="1" customWidth="1"/>
    <col min="4870" max="4870" width="12.42578125" style="120" customWidth="1"/>
    <col min="4871" max="4872" width="11.140625" style="120" customWidth="1"/>
    <col min="4873" max="4873" width="12.140625" style="120" customWidth="1"/>
    <col min="4874" max="4874" width="14" style="120" customWidth="1"/>
    <col min="4875" max="4875" width="12.5703125" style="120" customWidth="1"/>
    <col min="4876" max="4877" width="13.140625" style="120" customWidth="1"/>
    <col min="4878" max="4879" width="9.140625" style="120"/>
    <col min="4880" max="4880" width="11" style="120" customWidth="1"/>
    <col min="4881" max="5123" width="9.140625" style="120"/>
    <col min="5124" max="5124" width="26.85546875" style="120" customWidth="1"/>
    <col min="5125" max="5125" width="0" style="120" hidden="1" customWidth="1"/>
    <col min="5126" max="5126" width="12.42578125" style="120" customWidth="1"/>
    <col min="5127" max="5128" width="11.140625" style="120" customWidth="1"/>
    <col min="5129" max="5129" width="12.140625" style="120" customWidth="1"/>
    <col min="5130" max="5130" width="14" style="120" customWidth="1"/>
    <col min="5131" max="5131" width="12.5703125" style="120" customWidth="1"/>
    <col min="5132" max="5133" width="13.140625" style="120" customWidth="1"/>
    <col min="5134" max="5135" width="9.140625" style="120"/>
    <col min="5136" max="5136" width="11" style="120" customWidth="1"/>
    <col min="5137" max="5379" width="9.140625" style="120"/>
    <col min="5380" max="5380" width="26.85546875" style="120" customWidth="1"/>
    <col min="5381" max="5381" width="0" style="120" hidden="1" customWidth="1"/>
    <col min="5382" max="5382" width="12.42578125" style="120" customWidth="1"/>
    <col min="5383" max="5384" width="11.140625" style="120" customWidth="1"/>
    <col min="5385" max="5385" width="12.140625" style="120" customWidth="1"/>
    <col min="5386" max="5386" width="14" style="120" customWidth="1"/>
    <col min="5387" max="5387" width="12.5703125" style="120" customWidth="1"/>
    <col min="5388" max="5389" width="13.140625" style="120" customWidth="1"/>
    <col min="5390" max="5391" width="9.140625" style="120"/>
    <col min="5392" max="5392" width="11" style="120" customWidth="1"/>
    <col min="5393" max="5635" width="9.140625" style="120"/>
    <col min="5636" max="5636" width="26.85546875" style="120" customWidth="1"/>
    <col min="5637" max="5637" width="0" style="120" hidden="1" customWidth="1"/>
    <col min="5638" max="5638" width="12.42578125" style="120" customWidth="1"/>
    <col min="5639" max="5640" width="11.140625" style="120" customWidth="1"/>
    <col min="5641" max="5641" width="12.140625" style="120" customWidth="1"/>
    <col min="5642" max="5642" width="14" style="120" customWidth="1"/>
    <col min="5643" max="5643" width="12.5703125" style="120" customWidth="1"/>
    <col min="5644" max="5645" width="13.140625" style="120" customWidth="1"/>
    <col min="5646" max="5647" width="9.140625" style="120"/>
    <col min="5648" max="5648" width="11" style="120" customWidth="1"/>
    <col min="5649" max="5891" width="9.140625" style="120"/>
    <col min="5892" max="5892" width="26.85546875" style="120" customWidth="1"/>
    <col min="5893" max="5893" width="0" style="120" hidden="1" customWidth="1"/>
    <col min="5894" max="5894" width="12.42578125" style="120" customWidth="1"/>
    <col min="5895" max="5896" width="11.140625" style="120" customWidth="1"/>
    <col min="5897" max="5897" width="12.140625" style="120" customWidth="1"/>
    <col min="5898" max="5898" width="14" style="120" customWidth="1"/>
    <col min="5899" max="5899" width="12.5703125" style="120" customWidth="1"/>
    <col min="5900" max="5901" width="13.140625" style="120" customWidth="1"/>
    <col min="5902" max="5903" width="9.140625" style="120"/>
    <col min="5904" max="5904" width="11" style="120" customWidth="1"/>
    <col min="5905" max="6147" width="9.140625" style="120"/>
    <col min="6148" max="6148" width="26.85546875" style="120" customWidth="1"/>
    <col min="6149" max="6149" width="0" style="120" hidden="1" customWidth="1"/>
    <col min="6150" max="6150" width="12.42578125" style="120" customWidth="1"/>
    <col min="6151" max="6152" width="11.140625" style="120" customWidth="1"/>
    <col min="6153" max="6153" width="12.140625" style="120" customWidth="1"/>
    <col min="6154" max="6154" width="14" style="120" customWidth="1"/>
    <col min="6155" max="6155" width="12.5703125" style="120" customWidth="1"/>
    <col min="6156" max="6157" width="13.140625" style="120" customWidth="1"/>
    <col min="6158" max="6159" width="9.140625" style="120"/>
    <col min="6160" max="6160" width="11" style="120" customWidth="1"/>
    <col min="6161" max="6403" width="9.140625" style="120"/>
    <col min="6404" max="6404" width="26.85546875" style="120" customWidth="1"/>
    <col min="6405" max="6405" width="0" style="120" hidden="1" customWidth="1"/>
    <col min="6406" max="6406" width="12.42578125" style="120" customWidth="1"/>
    <col min="6407" max="6408" width="11.140625" style="120" customWidth="1"/>
    <col min="6409" max="6409" width="12.140625" style="120" customWidth="1"/>
    <col min="6410" max="6410" width="14" style="120" customWidth="1"/>
    <col min="6411" max="6411" width="12.5703125" style="120" customWidth="1"/>
    <col min="6412" max="6413" width="13.140625" style="120" customWidth="1"/>
    <col min="6414" max="6415" width="9.140625" style="120"/>
    <col min="6416" max="6416" width="11" style="120" customWidth="1"/>
    <col min="6417" max="6659" width="9.140625" style="120"/>
    <col min="6660" max="6660" width="26.85546875" style="120" customWidth="1"/>
    <col min="6661" max="6661" width="0" style="120" hidden="1" customWidth="1"/>
    <col min="6662" max="6662" width="12.42578125" style="120" customWidth="1"/>
    <col min="6663" max="6664" width="11.140625" style="120" customWidth="1"/>
    <col min="6665" max="6665" width="12.140625" style="120" customWidth="1"/>
    <col min="6666" max="6666" width="14" style="120" customWidth="1"/>
    <col min="6667" max="6667" width="12.5703125" style="120" customWidth="1"/>
    <col min="6668" max="6669" width="13.140625" style="120" customWidth="1"/>
    <col min="6670" max="6671" width="9.140625" style="120"/>
    <col min="6672" max="6672" width="11" style="120" customWidth="1"/>
    <col min="6673" max="6915" width="9.140625" style="120"/>
    <col min="6916" max="6916" width="26.85546875" style="120" customWidth="1"/>
    <col min="6917" max="6917" width="0" style="120" hidden="1" customWidth="1"/>
    <col min="6918" max="6918" width="12.42578125" style="120" customWidth="1"/>
    <col min="6919" max="6920" width="11.140625" style="120" customWidth="1"/>
    <col min="6921" max="6921" width="12.140625" style="120" customWidth="1"/>
    <col min="6922" max="6922" width="14" style="120" customWidth="1"/>
    <col min="6923" max="6923" width="12.5703125" style="120" customWidth="1"/>
    <col min="6924" max="6925" width="13.140625" style="120" customWidth="1"/>
    <col min="6926" max="6927" width="9.140625" style="120"/>
    <col min="6928" max="6928" width="11" style="120" customWidth="1"/>
    <col min="6929" max="7171" width="9.140625" style="120"/>
    <col min="7172" max="7172" width="26.85546875" style="120" customWidth="1"/>
    <col min="7173" max="7173" width="0" style="120" hidden="1" customWidth="1"/>
    <col min="7174" max="7174" width="12.42578125" style="120" customWidth="1"/>
    <col min="7175" max="7176" width="11.140625" style="120" customWidth="1"/>
    <col min="7177" max="7177" width="12.140625" style="120" customWidth="1"/>
    <col min="7178" max="7178" width="14" style="120" customWidth="1"/>
    <col min="7179" max="7179" width="12.5703125" style="120" customWidth="1"/>
    <col min="7180" max="7181" width="13.140625" style="120" customWidth="1"/>
    <col min="7182" max="7183" width="9.140625" style="120"/>
    <col min="7184" max="7184" width="11" style="120" customWidth="1"/>
    <col min="7185" max="7427" width="9.140625" style="120"/>
    <col min="7428" max="7428" width="26.85546875" style="120" customWidth="1"/>
    <col min="7429" max="7429" width="0" style="120" hidden="1" customWidth="1"/>
    <col min="7430" max="7430" width="12.42578125" style="120" customWidth="1"/>
    <col min="7431" max="7432" width="11.140625" style="120" customWidth="1"/>
    <col min="7433" max="7433" width="12.140625" style="120" customWidth="1"/>
    <col min="7434" max="7434" width="14" style="120" customWidth="1"/>
    <col min="7435" max="7435" width="12.5703125" style="120" customWidth="1"/>
    <col min="7436" max="7437" width="13.140625" style="120" customWidth="1"/>
    <col min="7438" max="7439" width="9.140625" style="120"/>
    <col min="7440" max="7440" width="11" style="120" customWidth="1"/>
    <col min="7441" max="7683" width="9.140625" style="120"/>
    <col min="7684" max="7684" width="26.85546875" style="120" customWidth="1"/>
    <col min="7685" max="7685" width="0" style="120" hidden="1" customWidth="1"/>
    <col min="7686" max="7686" width="12.42578125" style="120" customWidth="1"/>
    <col min="7687" max="7688" width="11.140625" style="120" customWidth="1"/>
    <col min="7689" max="7689" width="12.140625" style="120" customWidth="1"/>
    <col min="7690" max="7690" width="14" style="120" customWidth="1"/>
    <col min="7691" max="7691" width="12.5703125" style="120" customWidth="1"/>
    <col min="7692" max="7693" width="13.140625" style="120" customWidth="1"/>
    <col min="7694" max="7695" width="9.140625" style="120"/>
    <col min="7696" max="7696" width="11" style="120" customWidth="1"/>
    <col min="7697" max="7939" width="9.140625" style="120"/>
    <col min="7940" max="7940" width="26.85546875" style="120" customWidth="1"/>
    <col min="7941" max="7941" width="0" style="120" hidden="1" customWidth="1"/>
    <col min="7942" max="7942" width="12.42578125" style="120" customWidth="1"/>
    <col min="7943" max="7944" width="11.140625" style="120" customWidth="1"/>
    <col min="7945" max="7945" width="12.140625" style="120" customWidth="1"/>
    <col min="7946" max="7946" width="14" style="120" customWidth="1"/>
    <col min="7947" max="7947" width="12.5703125" style="120" customWidth="1"/>
    <col min="7948" max="7949" width="13.140625" style="120" customWidth="1"/>
    <col min="7950" max="7951" width="9.140625" style="120"/>
    <col min="7952" max="7952" width="11" style="120" customWidth="1"/>
    <col min="7953" max="8195" width="9.140625" style="120"/>
    <col min="8196" max="8196" width="26.85546875" style="120" customWidth="1"/>
    <col min="8197" max="8197" width="0" style="120" hidden="1" customWidth="1"/>
    <col min="8198" max="8198" width="12.42578125" style="120" customWidth="1"/>
    <col min="8199" max="8200" width="11.140625" style="120" customWidth="1"/>
    <col min="8201" max="8201" width="12.140625" style="120" customWidth="1"/>
    <col min="8202" max="8202" width="14" style="120" customWidth="1"/>
    <col min="8203" max="8203" width="12.5703125" style="120" customWidth="1"/>
    <col min="8204" max="8205" width="13.140625" style="120" customWidth="1"/>
    <col min="8206" max="8207" width="9.140625" style="120"/>
    <col min="8208" max="8208" width="11" style="120" customWidth="1"/>
    <col min="8209" max="8451" width="9.140625" style="120"/>
    <col min="8452" max="8452" width="26.85546875" style="120" customWidth="1"/>
    <col min="8453" max="8453" width="0" style="120" hidden="1" customWidth="1"/>
    <col min="8454" max="8454" width="12.42578125" style="120" customWidth="1"/>
    <col min="8455" max="8456" width="11.140625" style="120" customWidth="1"/>
    <col min="8457" max="8457" width="12.140625" style="120" customWidth="1"/>
    <col min="8458" max="8458" width="14" style="120" customWidth="1"/>
    <col min="8459" max="8459" width="12.5703125" style="120" customWidth="1"/>
    <col min="8460" max="8461" width="13.140625" style="120" customWidth="1"/>
    <col min="8462" max="8463" width="9.140625" style="120"/>
    <col min="8464" max="8464" width="11" style="120" customWidth="1"/>
    <col min="8465" max="8707" width="9.140625" style="120"/>
    <col min="8708" max="8708" width="26.85546875" style="120" customWidth="1"/>
    <col min="8709" max="8709" width="0" style="120" hidden="1" customWidth="1"/>
    <col min="8710" max="8710" width="12.42578125" style="120" customWidth="1"/>
    <col min="8711" max="8712" width="11.140625" style="120" customWidth="1"/>
    <col min="8713" max="8713" width="12.140625" style="120" customWidth="1"/>
    <col min="8714" max="8714" width="14" style="120" customWidth="1"/>
    <col min="8715" max="8715" width="12.5703125" style="120" customWidth="1"/>
    <col min="8716" max="8717" width="13.140625" style="120" customWidth="1"/>
    <col min="8718" max="8719" width="9.140625" style="120"/>
    <col min="8720" max="8720" width="11" style="120" customWidth="1"/>
    <col min="8721" max="8963" width="9.140625" style="120"/>
    <col min="8964" max="8964" width="26.85546875" style="120" customWidth="1"/>
    <col min="8965" max="8965" width="0" style="120" hidden="1" customWidth="1"/>
    <col min="8966" max="8966" width="12.42578125" style="120" customWidth="1"/>
    <col min="8967" max="8968" width="11.140625" style="120" customWidth="1"/>
    <col min="8969" max="8969" width="12.140625" style="120" customWidth="1"/>
    <col min="8970" max="8970" width="14" style="120" customWidth="1"/>
    <col min="8971" max="8971" width="12.5703125" style="120" customWidth="1"/>
    <col min="8972" max="8973" width="13.140625" style="120" customWidth="1"/>
    <col min="8974" max="8975" width="9.140625" style="120"/>
    <col min="8976" max="8976" width="11" style="120" customWidth="1"/>
    <col min="8977" max="9219" width="9.140625" style="120"/>
    <col min="9220" max="9220" width="26.85546875" style="120" customWidth="1"/>
    <col min="9221" max="9221" width="0" style="120" hidden="1" customWidth="1"/>
    <col min="9222" max="9222" width="12.42578125" style="120" customWidth="1"/>
    <col min="9223" max="9224" width="11.140625" style="120" customWidth="1"/>
    <col min="9225" max="9225" width="12.140625" style="120" customWidth="1"/>
    <col min="9226" max="9226" width="14" style="120" customWidth="1"/>
    <col min="9227" max="9227" width="12.5703125" style="120" customWidth="1"/>
    <col min="9228" max="9229" width="13.140625" style="120" customWidth="1"/>
    <col min="9230" max="9231" width="9.140625" style="120"/>
    <col min="9232" max="9232" width="11" style="120" customWidth="1"/>
    <col min="9233" max="9475" width="9.140625" style="120"/>
    <col min="9476" max="9476" width="26.85546875" style="120" customWidth="1"/>
    <col min="9477" max="9477" width="0" style="120" hidden="1" customWidth="1"/>
    <col min="9478" max="9478" width="12.42578125" style="120" customWidth="1"/>
    <col min="9479" max="9480" width="11.140625" style="120" customWidth="1"/>
    <col min="9481" max="9481" width="12.140625" style="120" customWidth="1"/>
    <col min="9482" max="9482" width="14" style="120" customWidth="1"/>
    <col min="9483" max="9483" width="12.5703125" style="120" customWidth="1"/>
    <col min="9484" max="9485" width="13.140625" style="120" customWidth="1"/>
    <col min="9486" max="9487" width="9.140625" style="120"/>
    <col min="9488" max="9488" width="11" style="120" customWidth="1"/>
    <col min="9489" max="9731" width="9.140625" style="120"/>
    <col min="9732" max="9732" width="26.85546875" style="120" customWidth="1"/>
    <col min="9733" max="9733" width="0" style="120" hidden="1" customWidth="1"/>
    <col min="9734" max="9734" width="12.42578125" style="120" customWidth="1"/>
    <col min="9735" max="9736" width="11.140625" style="120" customWidth="1"/>
    <col min="9737" max="9737" width="12.140625" style="120" customWidth="1"/>
    <col min="9738" max="9738" width="14" style="120" customWidth="1"/>
    <col min="9739" max="9739" width="12.5703125" style="120" customWidth="1"/>
    <col min="9740" max="9741" width="13.140625" style="120" customWidth="1"/>
    <col min="9742" max="9743" width="9.140625" style="120"/>
    <col min="9744" max="9744" width="11" style="120" customWidth="1"/>
    <col min="9745" max="9987" width="9.140625" style="120"/>
    <col min="9988" max="9988" width="26.85546875" style="120" customWidth="1"/>
    <col min="9989" max="9989" width="0" style="120" hidden="1" customWidth="1"/>
    <col min="9990" max="9990" width="12.42578125" style="120" customWidth="1"/>
    <col min="9991" max="9992" width="11.140625" style="120" customWidth="1"/>
    <col min="9993" max="9993" width="12.140625" style="120" customWidth="1"/>
    <col min="9994" max="9994" width="14" style="120" customWidth="1"/>
    <col min="9995" max="9995" width="12.5703125" style="120" customWidth="1"/>
    <col min="9996" max="9997" width="13.140625" style="120" customWidth="1"/>
    <col min="9998" max="9999" width="9.140625" style="120"/>
    <col min="10000" max="10000" width="11" style="120" customWidth="1"/>
    <col min="10001" max="10243" width="9.140625" style="120"/>
    <col min="10244" max="10244" width="26.85546875" style="120" customWidth="1"/>
    <col min="10245" max="10245" width="0" style="120" hidden="1" customWidth="1"/>
    <col min="10246" max="10246" width="12.42578125" style="120" customWidth="1"/>
    <col min="10247" max="10248" width="11.140625" style="120" customWidth="1"/>
    <col min="10249" max="10249" width="12.140625" style="120" customWidth="1"/>
    <col min="10250" max="10250" width="14" style="120" customWidth="1"/>
    <col min="10251" max="10251" width="12.5703125" style="120" customWidth="1"/>
    <col min="10252" max="10253" width="13.140625" style="120" customWidth="1"/>
    <col min="10254" max="10255" width="9.140625" style="120"/>
    <col min="10256" max="10256" width="11" style="120" customWidth="1"/>
    <col min="10257" max="10499" width="9.140625" style="120"/>
    <col min="10500" max="10500" width="26.85546875" style="120" customWidth="1"/>
    <col min="10501" max="10501" width="0" style="120" hidden="1" customWidth="1"/>
    <col min="10502" max="10502" width="12.42578125" style="120" customWidth="1"/>
    <col min="10503" max="10504" width="11.140625" style="120" customWidth="1"/>
    <col min="10505" max="10505" width="12.140625" style="120" customWidth="1"/>
    <col min="10506" max="10506" width="14" style="120" customWidth="1"/>
    <col min="10507" max="10507" width="12.5703125" style="120" customWidth="1"/>
    <col min="10508" max="10509" width="13.140625" style="120" customWidth="1"/>
    <col min="10510" max="10511" width="9.140625" style="120"/>
    <col min="10512" max="10512" width="11" style="120" customWidth="1"/>
    <col min="10513" max="10755" width="9.140625" style="120"/>
    <col min="10756" max="10756" width="26.85546875" style="120" customWidth="1"/>
    <col min="10757" max="10757" width="0" style="120" hidden="1" customWidth="1"/>
    <col min="10758" max="10758" width="12.42578125" style="120" customWidth="1"/>
    <col min="10759" max="10760" width="11.140625" style="120" customWidth="1"/>
    <col min="10761" max="10761" width="12.140625" style="120" customWidth="1"/>
    <col min="10762" max="10762" width="14" style="120" customWidth="1"/>
    <col min="10763" max="10763" width="12.5703125" style="120" customWidth="1"/>
    <col min="10764" max="10765" width="13.140625" style="120" customWidth="1"/>
    <col min="10766" max="10767" width="9.140625" style="120"/>
    <col min="10768" max="10768" width="11" style="120" customWidth="1"/>
    <col min="10769" max="11011" width="9.140625" style="120"/>
    <col min="11012" max="11012" width="26.85546875" style="120" customWidth="1"/>
    <col min="11013" max="11013" width="0" style="120" hidden="1" customWidth="1"/>
    <col min="11014" max="11014" width="12.42578125" style="120" customWidth="1"/>
    <col min="11015" max="11016" width="11.140625" style="120" customWidth="1"/>
    <col min="11017" max="11017" width="12.140625" style="120" customWidth="1"/>
    <col min="11018" max="11018" width="14" style="120" customWidth="1"/>
    <col min="11019" max="11019" width="12.5703125" style="120" customWidth="1"/>
    <col min="11020" max="11021" width="13.140625" style="120" customWidth="1"/>
    <col min="11022" max="11023" width="9.140625" style="120"/>
    <col min="11024" max="11024" width="11" style="120" customWidth="1"/>
    <col min="11025" max="11267" width="9.140625" style="120"/>
    <col min="11268" max="11268" width="26.85546875" style="120" customWidth="1"/>
    <col min="11269" max="11269" width="0" style="120" hidden="1" customWidth="1"/>
    <col min="11270" max="11270" width="12.42578125" style="120" customWidth="1"/>
    <col min="11271" max="11272" width="11.140625" style="120" customWidth="1"/>
    <col min="11273" max="11273" width="12.140625" style="120" customWidth="1"/>
    <col min="11274" max="11274" width="14" style="120" customWidth="1"/>
    <col min="11275" max="11275" width="12.5703125" style="120" customWidth="1"/>
    <col min="11276" max="11277" width="13.140625" style="120" customWidth="1"/>
    <col min="11278" max="11279" width="9.140625" style="120"/>
    <col min="11280" max="11280" width="11" style="120" customWidth="1"/>
    <col min="11281" max="11523" width="9.140625" style="120"/>
    <col min="11524" max="11524" width="26.85546875" style="120" customWidth="1"/>
    <col min="11525" max="11525" width="0" style="120" hidden="1" customWidth="1"/>
    <col min="11526" max="11526" width="12.42578125" style="120" customWidth="1"/>
    <col min="11527" max="11528" width="11.140625" style="120" customWidth="1"/>
    <col min="11529" max="11529" width="12.140625" style="120" customWidth="1"/>
    <col min="11530" max="11530" width="14" style="120" customWidth="1"/>
    <col min="11531" max="11531" width="12.5703125" style="120" customWidth="1"/>
    <col min="11532" max="11533" width="13.140625" style="120" customWidth="1"/>
    <col min="11534" max="11535" width="9.140625" style="120"/>
    <col min="11536" max="11536" width="11" style="120" customWidth="1"/>
    <col min="11537" max="11779" width="9.140625" style="120"/>
    <col min="11780" max="11780" width="26.85546875" style="120" customWidth="1"/>
    <col min="11781" max="11781" width="0" style="120" hidden="1" customWidth="1"/>
    <col min="11782" max="11782" width="12.42578125" style="120" customWidth="1"/>
    <col min="11783" max="11784" width="11.140625" style="120" customWidth="1"/>
    <col min="11785" max="11785" width="12.140625" style="120" customWidth="1"/>
    <col min="11786" max="11786" width="14" style="120" customWidth="1"/>
    <col min="11787" max="11787" width="12.5703125" style="120" customWidth="1"/>
    <col min="11788" max="11789" width="13.140625" style="120" customWidth="1"/>
    <col min="11790" max="11791" width="9.140625" style="120"/>
    <col min="11792" max="11792" width="11" style="120" customWidth="1"/>
    <col min="11793" max="12035" width="9.140625" style="120"/>
    <col min="12036" max="12036" width="26.85546875" style="120" customWidth="1"/>
    <col min="12037" max="12037" width="0" style="120" hidden="1" customWidth="1"/>
    <col min="12038" max="12038" width="12.42578125" style="120" customWidth="1"/>
    <col min="12039" max="12040" width="11.140625" style="120" customWidth="1"/>
    <col min="12041" max="12041" width="12.140625" style="120" customWidth="1"/>
    <col min="12042" max="12042" width="14" style="120" customWidth="1"/>
    <col min="12043" max="12043" width="12.5703125" style="120" customWidth="1"/>
    <col min="12044" max="12045" width="13.140625" style="120" customWidth="1"/>
    <col min="12046" max="12047" width="9.140625" style="120"/>
    <col min="12048" max="12048" width="11" style="120" customWidth="1"/>
    <col min="12049" max="12291" width="9.140625" style="120"/>
    <col min="12292" max="12292" width="26.85546875" style="120" customWidth="1"/>
    <col min="12293" max="12293" width="0" style="120" hidden="1" customWidth="1"/>
    <col min="12294" max="12294" width="12.42578125" style="120" customWidth="1"/>
    <col min="12295" max="12296" width="11.140625" style="120" customWidth="1"/>
    <col min="12297" max="12297" width="12.140625" style="120" customWidth="1"/>
    <col min="12298" max="12298" width="14" style="120" customWidth="1"/>
    <col min="12299" max="12299" width="12.5703125" style="120" customWidth="1"/>
    <col min="12300" max="12301" width="13.140625" style="120" customWidth="1"/>
    <col min="12302" max="12303" width="9.140625" style="120"/>
    <col min="12304" max="12304" width="11" style="120" customWidth="1"/>
    <col min="12305" max="12547" width="9.140625" style="120"/>
    <col min="12548" max="12548" width="26.85546875" style="120" customWidth="1"/>
    <col min="12549" max="12549" width="0" style="120" hidden="1" customWidth="1"/>
    <col min="12550" max="12550" width="12.42578125" style="120" customWidth="1"/>
    <col min="12551" max="12552" width="11.140625" style="120" customWidth="1"/>
    <col min="12553" max="12553" width="12.140625" style="120" customWidth="1"/>
    <col min="12554" max="12554" width="14" style="120" customWidth="1"/>
    <col min="12555" max="12555" width="12.5703125" style="120" customWidth="1"/>
    <col min="12556" max="12557" width="13.140625" style="120" customWidth="1"/>
    <col min="12558" max="12559" width="9.140625" style="120"/>
    <col min="12560" max="12560" width="11" style="120" customWidth="1"/>
    <col min="12561" max="12803" width="9.140625" style="120"/>
    <col min="12804" max="12804" width="26.85546875" style="120" customWidth="1"/>
    <col min="12805" max="12805" width="0" style="120" hidden="1" customWidth="1"/>
    <col min="12806" max="12806" width="12.42578125" style="120" customWidth="1"/>
    <col min="12807" max="12808" width="11.140625" style="120" customWidth="1"/>
    <col min="12809" max="12809" width="12.140625" style="120" customWidth="1"/>
    <col min="12810" max="12810" width="14" style="120" customWidth="1"/>
    <col min="12811" max="12811" width="12.5703125" style="120" customWidth="1"/>
    <col min="12812" max="12813" width="13.140625" style="120" customWidth="1"/>
    <col min="12814" max="12815" width="9.140625" style="120"/>
    <col min="12816" max="12816" width="11" style="120" customWidth="1"/>
    <col min="12817" max="13059" width="9.140625" style="120"/>
    <col min="13060" max="13060" width="26.85546875" style="120" customWidth="1"/>
    <col min="13061" max="13061" width="0" style="120" hidden="1" customWidth="1"/>
    <col min="13062" max="13062" width="12.42578125" style="120" customWidth="1"/>
    <col min="13063" max="13064" width="11.140625" style="120" customWidth="1"/>
    <col min="13065" max="13065" width="12.140625" style="120" customWidth="1"/>
    <col min="13066" max="13066" width="14" style="120" customWidth="1"/>
    <col min="13067" max="13067" width="12.5703125" style="120" customWidth="1"/>
    <col min="13068" max="13069" width="13.140625" style="120" customWidth="1"/>
    <col min="13070" max="13071" width="9.140625" style="120"/>
    <col min="13072" max="13072" width="11" style="120" customWidth="1"/>
    <col min="13073" max="13315" width="9.140625" style="120"/>
    <col min="13316" max="13316" width="26.85546875" style="120" customWidth="1"/>
    <col min="13317" max="13317" width="0" style="120" hidden="1" customWidth="1"/>
    <col min="13318" max="13318" width="12.42578125" style="120" customWidth="1"/>
    <col min="13319" max="13320" width="11.140625" style="120" customWidth="1"/>
    <col min="13321" max="13321" width="12.140625" style="120" customWidth="1"/>
    <col min="13322" max="13322" width="14" style="120" customWidth="1"/>
    <col min="13323" max="13323" width="12.5703125" style="120" customWidth="1"/>
    <col min="13324" max="13325" width="13.140625" style="120" customWidth="1"/>
    <col min="13326" max="13327" width="9.140625" style="120"/>
    <col min="13328" max="13328" width="11" style="120" customWidth="1"/>
    <col min="13329" max="13571" width="9.140625" style="120"/>
    <col min="13572" max="13572" width="26.85546875" style="120" customWidth="1"/>
    <col min="13573" max="13573" width="0" style="120" hidden="1" customWidth="1"/>
    <col min="13574" max="13574" width="12.42578125" style="120" customWidth="1"/>
    <col min="13575" max="13576" width="11.140625" style="120" customWidth="1"/>
    <col min="13577" max="13577" width="12.140625" style="120" customWidth="1"/>
    <col min="13578" max="13578" width="14" style="120" customWidth="1"/>
    <col min="13579" max="13579" width="12.5703125" style="120" customWidth="1"/>
    <col min="13580" max="13581" width="13.140625" style="120" customWidth="1"/>
    <col min="13582" max="13583" width="9.140625" style="120"/>
    <col min="13584" max="13584" width="11" style="120" customWidth="1"/>
    <col min="13585" max="13827" width="9.140625" style="120"/>
    <col min="13828" max="13828" width="26.85546875" style="120" customWidth="1"/>
    <col min="13829" max="13829" width="0" style="120" hidden="1" customWidth="1"/>
    <col min="13830" max="13830" width="12.42578125" style="120" customWidth="1"/>
    <col min="13831" max="13832" width="11.140625" style="120" customWidth="1"/>
    <col min="13833" max="13833" width="12.140625" style="120" customWidth="1"/>
    <col min="13834" max="13834" width="14" style="120" customWidth="1"/>
    <col min="13835" max="13835" width="12.5703125" style="120" customWidth="1"/>
    <col min="13836" max="13837" width="13.140625" style="120" customWidth="1"/>
    <col min="13838" max="13839" width="9.140625" style="120"/>
    <col min="13840" max="13840" width="11" style="120" customWidth="1"/>
    <col min="13841" max="14083" width="9.140625" style="120"/>
    <col min="14084" max="14084" width="26.85546875" style="120" customWidth="1"/>
    <col min="14085" max="14085" width="0" style="120" hidden="1" customWidth="1"/>
    <col min="14086" max="14086" width="12.42578125" style="120" customWidth="1"/>
    <col min="14087" max="14088" width="11.140625" style="120" customWidth="1"/>
    <col min="14089" max="14089" width="12.140625" style="120" customWidth="1"/>
    <col min="14090" max="14090" width="14" style="120" customWidth="1"/>
    <col min="14091" max="14091" width="12.5703125" style="120" customWidth="1"/>
    <col min="14092" max="14093" width="13.140625" style="120" customWidth="1"/>
    <col min="14094" max="14095" width="9.140625" style="120"/>
    <col min="14096" max="14096" width="11" style="120" customWidth="1"/>
    <col min="14097" max="14339" width="9.140625" style="120"/>
    <col min="14340" max="14340" width="26.85546875" style="120" customWidth="1"/>
    <col min="14341" max="14341" width="0" style="120" hidden="1" customWidth="1"/>
    <col min="14342" max="14342" width="12.42578125" style="120" customWidth="1"/>
    <col min="14343" max="14344" width="11.140625" style="120" customWidth="1"/>
    <col min="14345" max="14345" width="12.140625" style="120" customWidth="1"/>
    <col min="14346" max="14346" width="14" style="120" customWidth="1"/>
    <col min="14347" max="14347" width="12.5703125" style="120" customWidth="1"/>
    <col min="14348" max="14349" width="13.140625" style="120" customWidth="1"/>
    <col min="14350" max="14351" width="9.140625" style="120"/>
    <col min="14352" max="14352" width="11" style="120" customWidth="1"/>
    <col min="14353" max="14595" width="9.140625" style="120"/>
    <col min="14596" max="14596" width="26.85546875" style="120" customWidth="1"/>
    <col min="14597" max="14597" width="0" style="120" hidden="1" customWidth="1"/>
    <col min="14598" max="14598" width="12.42578125" style="120" customWidth="1"/>
    <col min="14599" max="14600" width="11.140625" style="120" customWidth="1"/>
    <col min="14601" max="14601" width="12.140625" style="120" customWidth="1"/>
    <col min="14602" max="14602" width="14" style="120" customWidth="1"/>
    <col min="14603" max="14603" width="12.5703125" style="120" customWidth="1"/>
    <col min="14604" max="14605" width="13.140625" style="120" customWidth="1"/>
    <col min="14606" max="14607" width="9.140625" style="120"/>
    <col min="14608" max="14608" width="11" style="120" customWidth="1"/>
    <col min="14609" max="14851" width="9.140625" style="120"/>
    <col min="14852" max="14852" width="26.85546875" style="120" customWidth="1"/>
    <col min="14853" max="14853" width="0" style="120" hidden="1" customWidth="1"/>
    <col min="14854" max="14854" width="12.42578125" style="120" customWidth="1"/>
    <col min="14855" max="14856" width="11.140625" style="120" customWidth="1"/>
    <col min="14857" max="14857" width="12.140625" style="120" customWidth="1"/>
    <col min="14858" max="14858" width="14" style="120" customWidth="1"/>
    <col min="14859" max="14859" width="12.5703125" style="120" customWidth="1"/>
    <col min="14860" max="14861" width="13.140625" style="120" customWidth="1"/>
    <col min="14862" max="14863" width="9.140625" style="120"/>
    <col min="14864" max="14864" width="11" style="120" customWidth="1"/>
    <col min="14865" max="15107" width="9.140625" style="120"/>
    <col min="15108" max="15108" width="26.85546875" style="120" customWidth="1"/>
    <col min="15109" max="15109" width="0" style="120" hidden="1" customWidth="1"/>
    <col min="15110" max="15110" width="12.42578125" style="120" customWidth="1"/>
    <col min="15111" max="15112" width="11.140625" style="120" customWidth="1"/>
    <col min="15113" max="15113" width="12.140625" style="120" customWidth="1"/>
    <col min="15114" max="15114" width="14" style="120" customWidth="1"/>
    <col min="15115" max="15115" width="12.5703125" style="120" customWidth="1"/>
    <col min="15116" max="15117" width="13.140625" style="120" customWidth="1"/>
    <col min="15118" max="15119" width="9.140625" style="120"/>
    <col min="15120" max="15120" width="11" style="120" customWidth="1"/>
    <col min="15121" max="15363" width="9.140625" style="120"/>
    <col min="15364" max="15364" width="26.85546875" style="120" customWidth="1"/>
    <col min="15365" max="15365" width="0" style="120" hidden="1" customWidth="1"/>
    <col min="15366" max="15366" width="12.42578125" style="120" customWidth="1"/>
    <col min="15367" max="15368" width="11.140625" style="120" customWidth="1"/>
    <col min="15369" max="15369" width="12.140625" style="120" customWidth="1"/>
    <col min="15370" max="15370" width="14" style="120" customWidth="1"/>
    <col min="15371" max="15371" width="12.5703125" style="120" customWidth="1"/>
    <col min="15372" max="15373" width="13.140625" style="120" customWidth="1"/>
    <col min="15374" max="15375" width="9.140625" style="120"/>
    <col min="15376" max="15376" width="11" style="120" customWidth="1"/>
    <col min="15377" max="15619" width="9.140625" style="120"/>
    <col min="15620" max="15620" width="26.85546875" style="120" customWidth="1"/>
    <col min="15621" max="15621" width="0" style="120" hidden="1" customWidth="1"/>
    <col min="15622" max="15622" width="12.42578125" style="120" customWidth="1"/>
    <col min="15623" max="15624" width="11.140625" style="120" customWidth="1"/>
    <col min="15625" max="15625" width="12.140625" style="120" customWidth="1"/>
    <col min="15626" max="15626" width="14" style="120" customWidth="1"/>
    <col min="15627" max="15627" width="12.5703125" style="120" customWidth="1"/>
    <col min="15628" max="15629" width="13.140625" style="120" customWidth="1"/>
    <col min="15630" max="15631" width="9.140625" style="120"/>
    <col min="15632" max="15632" width="11" style="120" customWidth="1"/>
    <col min="15633" max="15875" width="9.140625" style="120"/>
    <col min="15876" max="15876" width="26.85546875" style="120" customWidth="1"/>
    <col min="15877" max="15877" width="0" style="120" hidden="1" customWidth="1"/>
    <col min="15878" max="15878" width="12.42578125" style="120" customWidth="1"/>
    <col min="15879" max="15880" width="11.140625" style="120" customWidth="1"/>
    <col min="15881" max="15881" width="12.140625" style="120" customWidth="1"/>
    <col min="15882" max="15882" width="14" style="120" customWidth="1"/>
    <col min="15883" max="15883" width="12.5703125" style="120" customWidth="1"/>
    <col min="15884" max="15885" width="13.140625" style="120" customWidth="1"/>
    <col min="15886" max="15887" width="9.140625" style="120"/>
    <col min="15888" max="15888" width="11" style="120" customWidth="1"/>
    <col min="15889" max="16131" width="9.140625" style="120"/>
    <col min="16132" max="16132" width="26.85546875" style="120" customWidth="1"/>
    <col min="16133" max="16133" width="0" style="120" hidden="1" customWidth="1"/>
    <col min="16134" max="16134" width="12.42578125" style="120" customWidth="1"/>
    <col min="16135" max="16136" width="11.140625" style="120" customWidth="1"/>
    <col min="16137" max="16137" width="12.140625" style="120" customWidth="1"/>
    <col min="16138" max="16138" width="14" style="120" customWidth="1"/>
    <col min="16139" max="16139" width="12.5703125" style="120" customWidth="1"/>
    <col min="16140" max="16141" width="13.140625" style="120" customWidth="1"/>
    <col min="16142" max="16143" width="9.140625" style="120"/>
    <col min="16144" max="16144" width="11" style="120" customWidth="1"/>
    <col min="16145" max="16384" width="9.140625" style="120"/>
  </cols>
  <sheetData>
    <row r="2" spans="1:24" x14ac:dyDescent="0.2">
      <c r="N2" s="323" t="s">
        <v>195</v>
      </c>
      <c r="O2" s="323"/>
      <c r="P2" s="323"/>
      <c r="Q2" s="323"/>
      <c r="R2" s="323"/>
      <c r="S2" s="323"/>
      <c r="T2" s="323"/>
      <c r="U2" s="323"/>
      <c r="V2" s="323"/>
      <c r="W2" s="323"/>
      <c r="X2"/>
    </row>
    <row r="3" spans="1:24" ht="45" customHeight="1" x14ac:dyDescent="0.45">
      <c r="A3" s="327" t="s">
        <v>268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N3" s="150"/>
      <c r="O3" s="151" t="s">
        <v>157</v>
      </c>
      <c r="P3" s="151" t="s">
        <v>196</v>
      </c>
      <c r="Q3" s="151" t="s">
        <v>284</v>
      </c>
      <c r="R3" s="151" t="s">
        <v>197</v>
      </c>
      <c r="S3" s="151" t="s">
        <v>198</v>
      </c>
      <c r="T3" s="151" t="s">
        <v>199</v>
      </c>
      <c r="U3" s="151" t="s">
        <v>200</v>
      </c>
      <c r="V3" s="151" t="s">
        <v>201</v>
      </c>
      <c r="W3" s="151" t="s">
        <v>202</v>
      </c>
    </row>
    <row r="4" spans="1:24" ht="15" customHeight="1" x14ac:dyDescent="0.2">
      <c r="N4" s="324" t="s">
        <v>203</v>
      </c>
      <c r="O4" s="325"/>
      <c r="P4" s="325"/>
      <c r="Q4" s="325"/>
      <c r="R4" s="325"/>
      <c r="S4" s="325"/>
      <c r="T4" s="325"/>
      <c r="U4" s="325"/>
      <c r="V4" s="325"/>
      <c r="W4" s="326"/>
    </row>
    <row r="5" spans="1:24" x14ac:dyDescent="0.2">
      <c r="N5" s="279" t="str">
        <f>'Rate Class Customer Model'!B2</f>
        <v xml:space="preserve">Residential </v>
      </c>
      <c r="O5" s="153">
        <v>5629382</v>
      </c>
      <c r="P5" s="154">
        <v>6218897</v>
      </c>
      <c r="Q5" s="154">
        <v>6007417</v>
      </c>
      <c r="R5" s="154">
        <v>6035509</v>
      </c>
      <c r="S5" s="154">
        <v>6008631</v>
      </c>
      <c r="T5" s="154">
        <v>6086712</v>
      </c>
      <c r="U5" s="154">
        <v>6269169</v>
      </c>
      <c r="V5" s="154">
        <v>6428017</v>
      </c>
      <c r="W5" s="154">
        <v>7178370</v>
      </c>
    </row>
    <row r="6" spans="1:24" x14ac:dyDescent="0.2">
      <c r="N6" s="279" t="s">
        <v>282</v>
      </c>
      <c r="O6" s="153">
        <v>943858</v>
      </c>
      <c r="P6" s="154">
        <v>1002427</v>
      </c>
      <c r="Q6" s="154">
        <v>1005811</v>
      </c>
      <c r="R6" s="154">
        <v>1001165</v>
      </c>
      <c r="S6" s="154">
        <v>1024771</v>
      </c>
      <c r="T6" s="154">
        <v>1054960</v>
      </c>
      <c r="U6" s="154">
        <v>1061766</v>
      </c>
      <c r="V6" s="154">
        <v>1085244</v>
      </c>
      <c r="W6" s="154">
        <v>1211926</v>
      </c>
    </row>
    <row r="7" spans="1:24" x14ac:dyDescent="0.2">
      <c r="N7" s="279" t="s">
        <v>283</v>
      </c>
      <c r="O7" s="153">
        <v>1105710</v>
      </c>
      <c r="P7" s="154">
        <v>1129645</v>
      </c>
      <c r="Q7" s="154">
        <v>1342766</v>
      </c>
      <c r="R7" s="154">
        <v>1278326</v>
      </c>
      <c r="S7" s="154">
        <v>1351549</v>
      </c>
      <c r="T7" s="154">
        <v>1379368</v>
      </c>
      <c r="U7" s="154">
        <v>1298138</v>
      </c>
      <c r="V7" s="154">
        <v>1269875</v>
      </c>
      <c r="W7" s="154">
        <v>1572415</v>
      </c>
    </row>
    <row r="8" spans="1:24" x14ac:dyDescent="0.2">
      <c r="N8" s="279" t="str">
        <f>'Rate Class Energy Model'!K2</f>
        <v>Large User</v>
      </c>
      <c r="O8" s="153">
        <v>180230</v>
      </c>
      <c r="P8" s="154">
        <v>182073</v>
      </c>
      <c r="Q8" s="154">
        <v>108118</v>
      </c>
      <c r="R8" s="154">
        <v>131373</v>
      </c>
      <c r="S8" s="154">
        <v>98517</v>
      </c>
      <c r="T8" s="154">
        <v>-264</v>
      </c>
      <c r="U8" s="154">
        <v>0</v>
      </c>
      <c r="V8" s="154">
        <v>0</v>
      </c>
      <c r="W8" s="154">
        <v>0</v>
      </c>
    </row>
    <row r="9" spans="1:24" x14ac:dyDescent="0.2">
      <c r="N9" s="279" t="str">
        <f>'Rate Class Energy Model'!L2</f>
        <v xml:space="preserve">Street Lights </v>
      </c>
      <c r="O9" s="153">
        <v>338294</v>
      </c>
      <c r="P9" s="154">
        <v>335022</v>
      </c>
      <c r="Q9" s="154">
        <v>181212</v>
      </c>
      <c r="R9" s="154">
        <v>237088</v>
      </c>
      <c r="S9" s="154">
        <v>211712</v>
      </c>
      <c r="T9" s="154">
        <v>208452</v>
      </c>
      <c r="U9" s="154">
        <v>196615</v>
      </c>
      <c r="V9" s="154">
        <v>193395</v>
      </c>
      <c r="W9" s="154">
        <v>61897</v>
      </c>
    </row>
    <row r="10" spans="1:24" x14ac:dyDescent="0.2">
      <c r="N10" s="279" t="str">
        <f>'Rate Class Energy Model'!M2</f>
        <v>Sentinel Lights</v>
      </c>
      <c r="O10" s="153">
        <v>33668</v>
      </c>
      <c r="P10" s="154">
        <v>32443</v>
      </c>
      <c r="Q10" s="154">
        <v>30776</v>
      </c>
      <c r="R10" s="154">
        <v>29471</v>
      </c>
      <c r="S10" s="154">
        <v>28483</v>
      </c>
      <c r="T10" s="154">
        <v>27921</v>
      </c>
      <c r="U10" s="154">
        <v>29098</v>
      </c>
      <c r="V10" s="154">
        <v>29141</v>
      </c>
      <c r="W10" s="154">
        <v>41723</v>
      </c>
    </row>
    <row r="11" spans="1:24" x14ac:dyDescent="0.2">
      <c r="N11" s="279" t="str">
        <f>'Rate Class Energy Model'!N2</f>
        <v xml:space="preserve">Unmetered Scattered Loads </v>
      </c>
      <c r="O11" s="153">
        <v>46052</v>
      </c>
      <c r="P11" s="154">
        <v>45575</v>
      </c>
      <c r="Q11" s="154">
        <v>38940</v>
      </c>
      <c r="R11" s="154">
        <v>41460</v>
      </c>
      <c r="S11" s="154">
        <v>42241</v>
      </c>
      <c r="T11" s="154">
        <v>43074</v>
      </c>
      <c r="U11" s="154">
        <v>44259</v>
      </c>
      <c r="V11" s="154">
        <v>44204</v>
      </c>
      <c r="W11" s="154">
        <v>39952</v>
      </c>
    </row>
    <row r="12" spans="1:24" x14ac:dyDescent="0.2">
      <c r="N12" s="155" t="s">
        <v>10</v>
      </c>
      <c r="O12" s="156">
        <f t="shared" ref="O12:U12" si="0">SUM(O5:O11)</f>
        <v>8277194</v>
      </c>
      <c r="P12" s="156">
        <f t="shared" si="0"/>
        <v>8946082</v>
      </c>
      <c r="Q12" s="156">
        <f t="shared" si="0"/>
        <v>8715040</v>
      </c>
      <c r="R12" s="156">
        <f t="shared" si="0"/>
        <v>8754392</v>
      </c>
      <c r="S12" s="156">
        <f t="shared" si="0"/>
        <v>8765904</v>
      </c>
      <c r="T12" s="156">
        <f t="shared" si="0"/>
        <v>8800223</v>
      </c>
      <c r="U12" s="156">
        <f t="shared" si="0"/>
        <v>8899045</v>
      </c>
      <c r="V12" s="156">
        <f>SUM(V5:V11)+1</f>
        <v>9049877</v>
      </c>
      <c r="W12" s="156">
        <f>SUM(W5:W11)+1</f>
        <v>10106284</v>
      </c>
    </row>
    <row r="13" spans="1:24" ht="15" customHeight="1" x14ac:dyDescent="0.2">
      <c r="N13" s="324" t="s">
        <v>205</v>
      </c>
      <c r="O13" s="325"/>
      <c r="P13" s="325"/>
      <c r="Q13" s="325"/>
      <c r="R13" s="325"/>
      <c r="S13" s="325"/>
      <c r="T13" s="325"/>
      <c r="U13" s="325"/>
      <c r="V13" s="325"/>
      <c r="W13" s="326"/>
    </row>
    <row r="14" spans="1:24" x14ac:dyDescent="0.2">
      <c r="N14" s="152" t="s">
        <v>206</v>
      </c>
      <c r="O14" s="153"/>
      <c r="P14" s="154"/>
      <c r="Q14" s="154"/>
      <c r="R14" s="154"/>
      <c r="S14" s="154"/>
      <c r="T14" s="154"/>
      <c r="U14" s="154"/>
      <c r="V14" s="154"/>
      <c r="W14" s="154"/>
    </row>
    <row r="15" spans="1:24" x14ac:dyDescent="0.2">
      <c r="N15" s="152" t="s">
        <v>207</v>
      </c>
      <c r="O15" s="153"/>
      <c r="P15" s="157"/>
      <c r="Q15" s="154"/>
      <c r="R15" s="154"/>
      <c r="S15" s="154"/>
      <c r="T15" s="154"/>
      <c r="U15" s="154"/>
      <c r="V15" s="154"/>
      <c r="W15" s="154"/>
    </row>
    <row r="16" spans="1:24" x14ac:dyDescent="0.2">
      <c r="N16" s="152" t="s">
        <v>208</v>
      </c>
      <c r="O16" s="153"/>
      <c r="P16" s="157"/>
      <c r="Q16" s="154"/>
      <c r="R16" s="154"/>
      <c r="S16" s="154"/>
      <c r="T16" s="154"/>
      <c r="U16" s="154"/>
      <c r="V16" s="154"/>
      <c r="W16" s="154"/>
    </row>
    <row r="17" spans="1:23" x14ac:dyDescent="0.2">
      <c r="N17" s="152" t="s">
        <v>209</v>
      </c>
      <c r="O17" s="153"/>
      <c r="P17" s="157"/>
      <c r="Q17" s="154"/>
      <c r="R17" s="154"/>
      <c r="S17" s="154"/>
      <c r="T17" s="154"/>
      <c r="U17" s="154"/>
      <c r="V17" s="154"/>
      <c r="W17" s="154"/>
    </row>
    <row r="18" spans="1:23" x14ac:dyDescent="0.2">
      <c r="N18" s="150" t="s">
        <v>210</v>
      </c>
      <c r="O18" s="150"/>
      <c r="P18" s="157"/>
      <c r="Q18" s="158"/>
      <c r="R18" s="158"/>
      <c r="S18" s="158"/>
      <c r="T18" s="158"/>
      <c r="U18" s="158"/>
      <c r="V18" s="158"/>
      <c r="W18" s="154"/>
    </row>
    <row r="19" spans="1:23" x14ac:dyDescent="0.2">
      <c r="N19" s="152" t="s">
        <v>211</v>
      </c>
      <c r="O19" s="153"/>
      <c r="P19" s="157"/>
      <c r="Q19" s="154"/>
      <c r="R19" s="154"/>
      <c r="S19" s="154"/>
      <c r="T19" s="154"/>
      <c r="U19" s="154"/>
      <c r="V19" s="154"/>
      <c r="W19" s="154"/>
    </row>
    <row r="20" spans="1:23" x14ac:dyDescent="0.2">
      <c r="N20" s="152" t="s">
        <v>212</v>
      </c>
      <c r="O20" s="153"/>
      <c r="P20" s="157"/>
      <c r="Q20" s="154"/>
      <c r="R20" s="154"/>
      <c r="S20" s="154"/>
      <c r="T20" s="154"/>
      <c r="U20" s="154"/>
      <c r="V20" s="154"/>
      <c r="W20" s="154"/>
    </row>
    <row r="21" spans="1:23" x14ac:dyDescent="0.2">
      <c r="N21" s="155" t="s">
        <v>10</v>
      </c>
      <c r="O21" s="159">
        <f t="shared" ref="O21:W21" si="1">SUM(O14:O20)</f>
        <v>0</v>
      </c>
      <c r="P21" s="159">
        <f t="shared" si="1"/>
        <v>0</v>
      </c>
      <c r="Q21" s="159">
        <f t="shared" si="1"/>
        <v>0</v>
      </c>
      <c r="R21" s="159">
        <f t="shared" si="1"/>
        <v>0</v>
      </c>
      <c r="S21" s="159">
        <f t="shared" si="1"/>
        <v>0</v>
      </c>
      <c r="T21" s="159">
        <f t="shared" si="1"/>
        <v>0</v>
      </c>
      <c r="U21" s="159">
        <f t="shared" si="1"/>
        <v>0</v>
      </c>
      <c r="V21" s="159">
        <f t="shared" si="1"/>
        <v>0</v>
      </c>
      <c r="W21" s="159">
        <f t="shared" si="1"/>
        <v>0</v>
      </c>
    </row>
    <row r="22" spans="1:23" x14ac:dyDescent="0.2">
      <c r="N22" s="155" t="s">
        <v>213</v>
      </c>
      <c r="O22" s="160">
        <f t="shared" ref="O22:W22" si="2">O12+O21</f>
        <v>8277194</v>
      </c>
      <c r="P22" s="160">
        <f t="shared" si="2"/>
        <v>8946082</v>
      </c>
      <c r="Q22" s="160">
        <f t="shared" si="2"/>
        <v>8715040</v>
      </c>
      <c r="R22" s="160">
        <f t="shared" si="2"/>
        <v>8754392</v>
      </c>
      <c r="S22" s="160">
        <f t="shared" si="2"/>
        <v>8765904</v>
      </c>
      <c r="T22" s="160">
        <f t="shared" si="2"/>
        <v>8800223</v>
      </c>
      <c r="U22" s="160">
        <f t="shared" si="2"/>
        <v>8899045</v>
      </c>
      <c r="V22" s="160">
        <f t="shared" si="2"/>
        <v>9049877</v>
      </c>
      <c r="W22" s="160">
        <f t="shared" si="2"/>
        <v>10106284</v>
      </c>
    </row>
    <row r="25" spans="1:23" x14ac:dyDescent="0.2">
      <c r="A25" s="298" t="s">
        <v>214</v>
      </c>
      <c r="B25" s="298"/>
      <c r="C25" s="298"/>
      <c r="D25" s="298"/>
      <c r="E25" s="298"/>
      <c r="F25" s="298"/>
      <c r="G25" s="298"/>
      <c r="H25" s="224"/>
      <c r="I25" s="224"/>
      <c r="J25" s="224"/>
    </row>
    <row r="26" spans="1:23" ht="51" x14ac:dyDescent="0.2">
      <c r="A26" s="161" t="s">
        <v>96</v>
      </c>
      <c r="B26" s="162" t="s">
        <v>215</v>
      </c>
      <c r="C26" s="162" t="s">
        <v>127</v>
      </c>
      <c r="D26" s="162" t="s">
        <v>216</v>
      </c>
      <c r="E26" s="162" t="s">
        <v>127</v>
      </c>
      <c r="F26" s="162" t="s">
        <v>128</v>
      </c>
      <c r="G26" s="162" t="s">
        <v>129</v>
      </c>
      <c r="H26" s="256"/>
      <c r="I26" s="256"/>
      <c r="J26" s="256"/>
    </row>
    <row r="27" spans="1:23" x14ac:dyDescent="0.2">
      <c r="A27" s="295" t="s">
        <v>130</v>
      </c>
      <c r="B27" s="295"/>
      <c r="C27" s="295"/>
      <c r="D27" s="295"/>
      <c r="E27" s="295"/>
      <c r="F27" s="295"/>
      <c r="G27" s="295"/>
      <c r="H27" s="224"/>
      <c r="I27" s="224"/>
      <c r="J27" s="224"/>
    </row>
    <row r="28" spans="1:23" x14ac:dyDescent="0.2">
      <c r="A28" s="163"/>
      <c r="B28" s="164"/>
      <c r="C28" s="164"/>
      <c r="D28" s="164"/>
      <c r="E28" s="164"/>
      <c r="F28" s="164"/>
      <c r="G28" s="164"/>
      <c r="H28" s="224"/>
      <c r="I28" s="224"/>
      <c r="J28" s="224"/>
      <c r="O28"/>
      <c r="P28"/>
    </row>
    <row r="29" spans="1:23" x14ac:dyDescent="0.2">
      <c r="A29" s="166" t="s">
        <v>269</v>
      </c>
      <c r="B29" s="150"/>
      <c r="C29" s="164"/>
      <c r="D29" s="167">
        <f>I77</f>
        <v>421.63573439728418</v>
      </c>
      <c r="E29" s="150"/>
      <c r="F29" s="168">
        <f>I98</f>
        <v>29846.904440709925</v>
      </c>
      <c r="G29" s="164"/>
      <c r="H29" s="224"/>
      <c r="I29" s="224"/>
      <c r="J29" s="224"/>
      <c r="O29"/>
      <c r="P29"/>
    </row>
    <row r="30" spans="1:23" x14ac:dyDescent="0.2">
      <c r="A30" s="163"/>
      <c r="B30" s="164"/>
      <c r="C30" s="164"/>
      <c r="D30" s="164"/>
      <c r="E30" s="164"/>
      <c r="F30" s="164"/>
      <c r="G30" s="164"/>
      <c r="H30" s="224"/>
      <c r="I30" s="224"/>
      <c r="J30" s="224"/>
      <c r="O30"/>
      <c r="P30"/>
    </row>
    <row r="31" spans="1:23" x14ac:dyDescent="0.2">
      <c r="A31" s="166">
        <v>2002</v>
      </c>
      <c r="B31" s="169">
        <f>Summary!B11/1000000</f>
        <v>502.67691561999993</v>
      </c>
      <c r="C31" s="170"/>
      <c r="D31" s="169">
        <f t="shared" ref="D31:D44" si="3">B31*F159</f>
        <v>490.60793064920426</v>
      </c>
      <c r="E31" s="170"/>
      <c r="F31" s="168">
        <f>Summary!B52</f>
        <v>27500.25</v>
      </c>
      <c r="G31" s="164"/>
      <c r="K31" s="51"/>
      <c r="O31"/>
      <c r="P31"/>
    </row>
    <row r="32" spans="1:23" x14ac:dyDescent="0.2">
      <c r="A32" s="166">
        <v>2003</v>
      </c>
      <c r="B32" s="169">
        <f>Summary!C11/1000000</f>
        <v>477.86279518000003</v>
      </c>
      <c r="C32" s="170">
        <f>B32-B31</f>
        <v>-24.814120439999897</v>
      </c>
      <c r="D32" s="169">
        <f t="shared" si="3"/>
        <v>477.7597215904143</v>
      </c>
      <c r="E32" s="170">
        <f>D32-D31</f>
        <v>-12.848209058789962</v>
      </c>
      <c r="F32" s="168">
        <f>Summary!C52</f>
        <v>27664.833333333328</v>
      </c>
      <c r="G32" s="168">
        <f>F32-F31</f>
        <v>164.58333333332848</v>
      </c>
      <c r="H32" s="257"/>
      <c r="I32" s="257"/>
      <c r="J32" s="257"/>
      <c r="O32"/>
      <c r="P32"/>
    </row>
    <row r="33" spans="1:16" x14ac:dyDescent="0.2">
      <c r="A33" s="166">
        <v>2004</v>
      </c>
      <c r="B33" s="169">
        <f>Summary!D11/1000000</f>
        <v>484.14178955</v>
      </c>
      <c r="C33" s="170">
        <f t="shared" ref="C33:C44" si="4">B33-B32</f>
        <v>6.278994369999964</v>
      </c>
      <c r="D33" s="169">
        <f t="shared" si="3"/>
        <v>488.66638526803843</v>
      </c>
      <c r="E33" s="170">
        <f t="shared" ref="E33:E46" si="5">D33-D32</f>
        <v>10.906663677624124</v>
      </c>
      <c r="F33" s="168">
        <f>Summary!D52</f>
        <v>27854.25</v>
      </c>
      <c r="G33" s="168">
        <f t="shared" ref="G33:G46" si="6">F33-F32</f>
        <v>189.41666666667152</v>
      </c>
      <c r="H33" s="257"/>
      <c r="I33" s="257"/>
      <c r="J33" s="257"/>
      <c r="K33" s="51"/>
      <c r="O33"/>
      <c r="P33"/>
    </row>
    <row r="34" spans="1:16" x14ac:dyDescent="0.2">
      <c r="A34" s="166">
        <v>2005</v>
      </c>
      <c r="B34" s="169">
        <f>Summary!E11/1000000</f>
        <v>501.86699831999999</v>
      </c>
      <c r="C34" s="170">
        <f t="shared" si="4"/>
        <v>17.725208769999995</v>
      </c>
      <c r="D34" s="169">
        <f t="shared" si="3"/>
        <v>484.41300415089876</v>
      </c>
      <c r="E34" s="170">
        <f t="shared" si="5"/>
        <v>-4.2533811171396678</v>
      </c>
      <c r="F34" s="168">
        <f>Summary!E52</f>
        <v>28151.25</v>
      </c>
      <c r="G34" s="168">
        <f t="shared" si="6"/>
        <v>297</v>
      </c>
      <c r="H34" s="257"/>
      <c r="I34" s="257"/>
      <c r="J34" s="257"/>
    </row>
    <row r="35" spans="1:16" x14ac:dyDescent="0.2">
      <c r="A35" s="166">
        <v>2006</v>
      </c>
      <c r="B35" s="169">
        <f>Summary!F11/1000000</f>
        <v>476.79067077000002</v>
      </c>
      <c r="C35" s="170">
        <f t="shared" si="4"/>
        <v>-25.076327549999974</v>
      </c>
      <c r="D35" s="169">
        <f t="shared" si="3"/>
        <v>476.49102200922675</v>
      </c>
      <c r="E35" s="170">
        <f t="shared" si="5"/>
        <v>-7.9219821416720038</v>
      </c>
      <c r="F35" s="168">
        <f>Summary!F52</f>
        <v>28317.083333333332</v>
      </c>
      <c r="G35" s="168">
        <f t="shared" si="6"/>
        <v>165.83333333333212</v>
      </c>
      <c r="J35" s="257"/>
      <c r="K35" s="51"/>
    </row>
    <row r="36" spans="1:16" x14ac:dyDescent="0.2">
      <c r="A36" s="166">
        <v>2007</v>
      </c>
      <c r="B36" s="169">
        <f>Summary!G11/1000000</f>
        <v>468.83441174000006</v>
      </c>
      <c r="C36" s="170">
        <f t="shared" si="4"/>
        <v>-7.9562590299999556</v>
      </c>
      <c r="D36" s="169">
        <f t="shared" si="3"/>
        <v>465.57968156997191</v>
      </c>
      <c r="E36" s="170">
        <f t="shared" si="5"/>
        <v>-10.911340439254843</v>
      </c>
      <c r="F36" s="168">
        <f>Summary!G52</f>
        <v>28395.666666666672</v>
      </c>
      <c r="G36" s="168">
        <f t="shared" si="6"/>
        <v>78.583333333339397</v>
      </c>
      <c r="H36" s="257"/>
      <c r="I36" s="257"/>
      <c r="J36" s="257"/>
      <c r="K36" s="51"/>
    </row>
    <row r="37" spans="1:16" x14ac:dyDescent="0.2">
      <c r="A37" s="166">
        <v>2008</v>
      </c>
      <c r="B37" s="169">
        <f>Summary!H11/1000000</f>
        <v>467.64534807000001</v>
      </c>
      <c r="C37" s="170">
        <f t="shared" si="4"/>
        <v>-1.1890636700000528</v>
      </c>
      <c r="D37" s="169">
        <f t="shared" si="3"/>
        <v>472.93758642499256</v>
      </c>
      <c r="E37" s="170">
        <f t="shared" si="5"/>
        <v>7.3579048550206494</v>
      </c>
      <c r="F37" s="168">
        <f>Summary!H52</f>
        <v>28583.083333333332</v>
      </c>
      <c r="G37" s="168">
        <f t="shared" si="6"/>
        <v>187.4166666666606</v>
      </c>
      <c r="H37" s="257"/>
      <c r="I37" s="257"/>
      <c r="J37" s="257"/>
    </row>
    <row r="38" spans="1:16" x14ac:dyDescent="0.2">
      <c r="A38" s="166">
        <v>2009</v>
      </c>
      <c r="B38" s="169">
        <f>Summary!I11/1000000</f>
        <v>397.50432668999997</v>
      </c>
      <c r="C38" s="170">
        <f t="shared" si="4"/>
        <v>-70.141021380000041</v>
      </c>
      <c r="D38" s="169">
        <f t="shared" si="3"/>
        <v>406.90579605420913</v>
      </c>
      <c r="E38" s="170">
        <f t="shared" si="5"/>
        <v>-66.031790370783426</v>
      </c>
      <c r="F38" s="168">
        <f>Summary!I52</f>
        <v>28760.083333333336</v>
      </c>
      <c r="G38" s="168">
        <f t="shared" si="6"/>
        <v>177.00000000000364</v>
      </c>
      <c r="K38" s="51"/>
    </row>
    <row r="39" spans="1:16" x14ac:dyDescent="0.2">
      <c r="A39" s="166">
        <v>2010</v>
      </c>
      <c r="B39" s="169">
        <f>Summary!J11/1000000</f>
        <v>425.97788694999997</v>
      </c>
      <c r="C39" s="170">
        <f t="shared" si="4"/>
        <v>28.473560259999999</v>
      </c>
      <c r="D39" s="169">
        <f t="shared" si="3"/>
        <v>427.18549204054011</v>
      </c>
      <c r="E39" s="170">
        <f t="shared" si="5"/>
        <v>20.279695986330978</v>
      </c>
      <c r="F39" s="168">
        <f>Summary!J52</f>
        <v>28942.75</v>
      </c>
      <c r="G39" s="168">
        <f t="shared" si="6"/>
        <v>182.66666666666424</v>
      </c>
      <c r="H39" s="257"/>
      <c r="I39" s="257"/>
      <c r="J39" s="257"/>
    </row>
    <row r="40" spans="1:16" x14ac:dyDescent="0.2">
      <c r="A40" s="166">
        <v>2011</v>
      </c>
      <c r="B40" s="169">
        <f>Summary!K11/1000000</f>
        <v>429.972781</v>
      </c>
      <c r="C40" s="170">
        <f t="shared" si="4"/>
        <v>3.9948940500000276</v>
      </c>
      <c r="D40" s="169">
        <f t="shared" si="3"/>
        <v>429.23073157054063</v>
      </c>
      <c r="E40" s="170">
        <f t="shared" si="5"/>
        <v>2.0452395300005151</v>
      </c>
      <c r="F40" s="168">
        <f>Summary!K52</f>
        <v>29207.052083333339</v>
      </c>
      <c r="G40" s="168">
        <f t="shared" si="6"/>
        <v>264.3020833333394</v>
      </c>
      <c r="H40" s="257"/>
      <c r="I40" s="257"/>
      <c r="J40" s="257"/>
      <c r="K40" s="51"/>
    </row>
    <row r="41" spans="1:16" x14ac:dyDescent="0.2">
      <c r="A41" s="166">
        <v>2012</v>
      </c>
      <c r="B41" s="169">
        <f>Summary!L11/1000000</f>
        <v>405.48120532258065</v>
      </c>
      <c r="C41" s="170">
        <f t="shared" si="4"/>
        <v>-24.491575677419348</v>
      </c>
      <c r="D41" s="169">
        <f t="shared" si="3"/>
        <v>409.29431914886283</v>
      </c>
      <c r="E41" s="170">
        <f t="shared" si="5"/>
        <v>-19.936412421677801</v>
      </c>
      <c r="F41" s="168">
        <f>Summary!L52</f>
        <v>29579.62919560185</v>
      </c>
      <c r="G41" s="168">
        <f t="shared" si="6"/>
        <v>372.57711226851097</v>
      </c>
      <c r="H41" s="257"/>
      <c r="I41" s="257"/>
      <c r="J41" s="257"/>
      <c r="K41" s="51"/>
    </row>
    <row r="42" spans="1:16" x14ac:dyDescent="0.2">
      <c r="A42" s="166">
        <v>2013</v>
      </c>
      <c r="B42" s="169">
        <f>Summary!M11/1000000</f>
        <v>399.00232299999999</v>
      </c>
      <c r="C42" s="170">
        <f t="shared" si="4"/>
        <v>-6.4788823225806595</v>
      </c>
      <c r="D42" s="169">
        <f t="shared" si="3"/>
        <v>401.32152982916972</v>
      </c>
      <c r="E42" s="170">
        <f t="shared" si="5"/>
        <v>-7.9727893196931063</v>
      </c>
      <c r="F42" s="168">
        <f>Summary!M52</f>
        <v>29732.583333333336</v>
      </c>
      <c r="G42" s="168">
        <f t="shared" si="6"/>
        <v>152.95413773148539</v>
      </c>
      <c r="J42" s="257"/>
      <c r="K42" s="51"/>
    </row>
    <row r="43" spans="1:16" x14ac:dyDescent="0.2">
      <c r="A43" s="166">
        <v>2014</v>
      </c>
      <c r="B43" s="169">
        <f>Summary!N11/1000000</f>
        <v>380.88562899999999</v>
      </c>
      <c r="C43" s="170">
        <f t="shared" si="4"/>
        <v>-18.116693999999995</v>
      </c>
      <c r="D43" s="169">
        <f t="shared" si="3"/>
        <v>384.41695547876282</v>
      </c>
      <c r="E43" s="170">
        <f t="shared" si="5"/>
        <v>-16.904574350406904</v>
      </c>
      <c r="F43" s="168">
        <f>Summary!N52</f>
        <v>29944.25</v>
      </c>
      <c r="G43" s="168">
        <f t="shared" si="6"/>
        <v>211.66666666666424</v>
      </c>
      <c r="H43" s="257"/>
      <c r="I43" s="257"/>
      <c r="J43" s="257"/>
    </row>
    <row r="44" spans="1:16" ht="12.75" customHeight="1" x14ac:dyDescent="0.2">
      <c r="A44" s="166">
        <v>2015</v>
      </c>
      <c r="B44" s="169">
        <f>Summary!O11/1000000</f>
        <v>356.369056</v>
      </c>
      <c r="C44" s="170">
        <f t="shared" si="4"/>
        <v>-24.516572999999994</v>
      </c>
      <c r="D44" s="169">
        <f t="shared" si="3"/>
        <v>359.19370128104623</v>
      </c>
      <c r="E44" s="170">
        <f t="shared" si="5"/>
        <v>-25.223254197716585</v>
      </c>
      <c r="F44" s="168">
        <f>Summary!O52</f>
        <v>30128.749999999996</v>
      </c>
      <c r="G44" s="168">
        <f t="shared" si="6"/>
        <v>184.49999999999636</v>
      </c>
      <c r="H44" s="257"/>
      <c r="I44" s="257"/>
      <c r="J44" s="257"/>
      <c r="K44" s="51"/>
    </row>
    <row r="45" spans="1:16" x14ac:dyDescent="0.2">
      <c r="A45" s="152" t="s">
        <v>217</v>
      </c>
      <c r="B45" s="150"/>
      <c r="C45" s="170"/>
      <c r="D45" s="169">
        <f ca="1">Summary!P11/1000000</f>
        <v>363.99948730648958</v>
      </c>
      <c r="E45" s="170">
        <f t="shared" ca="1" si="5"/>
        <v>4.8057860254433535</v>
      </c>
      <c r="F45" s="168">
        <f>Summary!P52</f>
        <v>30362.377204198536</v>
      </c>
      <c r="G45" s="168">
        <f t="shared" si="6"/>
        <v>233.6272041985394</v>
      </c>
      <c r="H45"/>
      <c r="I45" s="257"/>
      <c r="J45" s="257"/>
      <c r="K45" s="51"/>
    </row>
    <row r="46" spans="1:16" x14ac:dyDescent="0.2">
      <c r="A46" s="166" t="s">
        <v>218</v>
      </c>
      <c r="B46" s="150"/>
      <c r="C46" s="170"/>
      <c r="D46" s="169">
        <f ca="1">Summary!Q11/1000000</f>
        <v>367.80749015589907</v>
      </c>
      <c r="E46" s="170">
        <f t="shared" ca="1" si="5"/>
        <v>3.8080028494094904</v>
      </c>
      <c r="F46" s="168">
        <f>Summary!Q52</f>
        <v>30599.303040889954</v>
      </c>
      <c r="G46" s="168">
        <f t="shared" si="6"/>
        <v>236.92583669141823</v>
      </c>
      <c r="H46" s="257"/>
      <c r="I46" s="257"/>
      <c r="J46" s="257"/>
      <c r="K46" s="51"/>
    </row>
    <row r="47" spans="1:16" x14ac:dyDescent="0.2">
      <c r="K47" s="51"/>
    </row>
    <row r="48" spans="1:16" x14ac:dyDescent="0.2">
      <c r="A48" s="19" t="s">
        <v>219</v>
      </c>
      <c r="B48" s="19"/>
      <c r="C48" s="19"/>
      <c r="D48" s="19"/>
    </row>
    <row r="49" spans="1:10" ht="51" x14ac:dyDescent="0.2">
      <c r="A49" s="171" t="s">
        <v>96</v>
      </c>
      <c r="B49" s="172" t="str">
        <f>Summary!A14</f>
        <v xml:space="preserve">Residential </v>
      </c>
      <c r="C49" s="172" t="str">
        <f>Summary!A18</f>
        <v>General Service 
&lt; 50 kW</v>
      </c>
      <c r="D49" s="172" t="str">
        <f>Summary!A22</f>
        <v>General Service 
50 to 
4,999 kW</v>
      </c>
      <c r="E49" s="172" t="str">
        <f>Summary!A27</f>
        <v>Large User</v>
      </c>
      <c r="F49" s="172" t="str">
        <f>Summary!A32</f>
        <v xml:space="preserve">Street Lights </v>
      </c>
      <c r="G49" s="172" t="str">
        <f>Summary!A37</f>
        <v>Sentinel Lights</v>
      </c>
      <c r="H49" s="172" t="str">
        <f>Summary!A42</f>
        <v xml:space="preserve">Unmetered Scattered Loads </v>
      </c>
      <c r="I49" s="172" t="s">
        <v>10</v>
      </c>
      <c r="J49" s="205"/>
    </row>
    <row r="50" spans="1:10" ht="14.25" customHeight="1" x14ac:dyDescent="0.2">
      <c r="A50" s="328" t="s">
        <v>220</v>
      </c>
      <c r="B50" s="329"/>
      <c r="C50" s="329"/>
      <c r="D50" s="329"/>
      <c r="E50" s="329"/>
      <c r="F50" s="329"/>
      <c r="G50" s="329"/>
      <c r="H50" s="329"/>
      <c r="I50" s="330"/>
      <c r="J50" s="258"/>
    </row>
    <row r="51" spans="1:10" x14ac:dyDescent="0.2">
      <c r="A51" s="173">
        <f t="shared" ref="A51:A64" si="7">A31</f>
        <v>2002</v>
      </c>
      <c r="B51" s="169">
        <f>Summary!B16/1000000</f>
        <v>163.75800756999999</v>
      </c>
      <c r="C51" s="169">
        <f>Summary!B20/1000000</f>
        <v>47.941435169999998</v>
      </c>
      <c r="D51" s="169">
        <f>Summary!B24/1000000</f>
        <v>220.59023765999999</v>
      </c>
      <c r="E51" s="169">
        <f>Summary!B29/1000000</f>
        <v>64.185900630000006</v>
      </c>
      <c r="F51" s="169">
        <f>Summary!B34/1000000</f>
        <v>4.5788739999999999</v>
      </c>
      <c r="G51" s="169">
        <f>Summary!B39/1000000</f>
        <v>0.60862450000000001</v>
      </c>
      <c r="H51" s="169">
        <f>Summary!B44/1000000</f>
        <v>1.0138360899999999</v>
      </c>
      <c r="I51" s="169">
        <f>SUM(B51:H51)</f>
        <v>502.67691561999993</v>
      </c>
      <c r="J51"/>
    </row>
    <row r="52" spans="1:10" x14ac:dyDescent="0.2">
      <c r="A52" s="173">
        <f t="shared" si="7"/>
        <v>2003</v>
      </c>
      <c r="B52" s="169">
        <f>Summary!C16/1000000</f>
        <v>157.61143394999999</v>
      </c>
      <c r="C52" s="169">
        <f>Summary!C20/1000000</f>
        <v>46.463108060000003</v>
      </c>
      <c r="D52" s="169">
        <f>Summary!C24/1000000</f>
        <v>148.75454144</v>
      </c>
      <c r="E52" s="169">
        <f>Summary!C29/1000000</f>
        <v>118.13669400000001</v>
      </c>
      <c r="F52" s="169">
        <f>Summary!C34/1000000</f>
        <v>4.6488250000000004</v>
      </c>
      <c r="G52" s="169">
        <f>Summary!C39/1000000</f>
        <v>1.02557067</v>
      </c>
      <c r="H52" s="169">
        <f>Summary!C44/1000000</f>
        <v>1.22262206</v>
      </c>
      <c r="I52" s="169">
        <f t="shared" ref="I52:I64" si="8">SUM(B52:H52)</f>
        <v>477.86279517999998</v>
      </c>
      <c r="J52"/>
    </row>
    <row r="53" spans="1:10" x14ac:dyDescent="0.2">
      <c r="A53" s="173">
        <f t="shared" si="7"/>
        <v>2004</v>
      </c>
      <c r="B53" s="169">
        <f>Summary!D16/1000000</f>
        <v>158.19854248000001</v>
      </c>
      <c r="C53" s="169">
        <f>Summary!D20/1000000</f>
        <v>49.935622290000005</v>
      </c>
      <c r="D53" s="169">
        <f>Summary!D24/1000000</f>
        <v>145.85831061000002</v>
      </c>
      <c r="E53" s="169">
        <f>Summary!D29/1000000</f>
        <v>123.252607</v>
      </c>
      <c r="F53" s="169">
        <f>Summary!D34/1000000</f>
        <v>4.6710529999999997</v>
      </c>
      <c r="G53" s="169">
        <f>Summary!D39/1000000</f>
        <v>1.0294316400000001</v>
      </c>
      <c r="H53" s="169">
        <f>Summary!D44/1000000</f>
        <v>1.1962225299999998</v>
      </c>
      <c r="I53" s="169">
        <f t="shared" si="8"/>
        <v>484.14178955</v>
      </c>
      <c r="J53"/>
    </row>
    <row r="54" spans="1:10" x14ac:dyDescent="0.2">
      <c r="A54" s="173">
        <f t="shared" si="7"/>
        <v>2005</v>
      </c>
      <c r="B54" s="169">
        <f>Summary!E16/1000000</f>
        <v>170.92587890000001</v>
      </c>
      <c r="C54" s="169">
        <f>Summary!E20/1000000</f>
        <v>52.581299459999997</v>
      </c>
      <c r="D54" s="169">
        <f>Summary!E24/1000000</f>
        <v>147.12529604999997</v>
      </c>
      <c r="E54" s="169">
        <f>Summary!E29/1000000</f>
        <v>124.361165</v>
      </c>
      <c r="F54" s="169">
        <f>Summary!E34/1000000</f>
        <v>4.6737710000000003</v>
      </c>
      <c r="G54" s="169">
        <f>Summary!E39/1000000</f>
        <v>0.99999971999999993</v>
      </c>
      <c r="H54" s="169">
        <f>Summary!E44/1000000</f>
        <v>1.1995881900000003</v>
      </c>
      <c r="I54" s="169">
        <f t="shared" si="8"/>
        <v>501.86699831999999</v>
      </c>
      <c r="J54"/>
    </row>
    <row r="55" spans="1:10" ht="12.75" customHeight="1" x14ac:dyDescent="0.2">
      <c r="A55" s="173">
        <f t="shared" si="7"/>
        <v>2006</v>
      </c>
      <c r="B55" s="169">
        <f>Summary!F16/1000000</f>
        <v>160.69439838</v>
      </c>
      <c r="C55" s="169">
        <f>Summary!F20/1000000</f>
        <v>50.343291239999999</v>
      </c>
      <c r="D55" s="169">
        <f>Summary!F24/1000000</f>
        <v>146.96868279000003</v>
      </c>
      <c r="E55" s="169">
        <f>Summary!F29/1000000</f>
        <v>111.878086</v>
      </c>
      <c r="F55" s="169">
        <f>Summary!F34/1000000</f>
        <v>4.6886520000000003</v>
      </c>
      <c r="G55" s="169">
        <f>Summary!F39/1000000</f>
        <v>1.0109627199999998</v>
      </c>
      <c r="H55" s="169">
        <f>Summary!F44/1000000</f>
        <v>1.2065976399999998</v>
      </c>
      <c r="I55" s="169">
        <f t="shared" si="8"/>
        <v>476.79067077000002</v>
      </c>
      <c r="J55"/>
    </row>
    <row r="56" spans="1:10" x14ac:dyDescent="0.2">
      <c r="A56" s="173">
        <f t="shared" si="7"/>
        <v>2007</v>
      </c>
      <c r="B56" s="169">
        <f>Summary!G16/1000000</f>
        <v>162.85607999000001</v>
      </c>
      <c r="C56" s="169">
        <f>Summary!G20/1000000</f>
        <v>53.416948359999999</v>
      </c>
      <c r="D56" s="169">
        <f>Summary!G24/1000000</f>
        <v>163.22457341000003</v>
      </c>
      <c r="E56" s="169">
        <f>Summary!G29/1000000</f>
        <v>82.520776999999995</v>
      </c>
      <c r="F56" s="169">
        <f>Summary!G34/1000000</f>
        <v>4.6912390000000004</v>
      </c>
      <c r="G56" s="169">
        <f>Summary!G39/1000000</f>
        <v>0.98063110999999981</v>
      </c>
      <c r="H56" s="169">
        <f>Summary!G44/1000000</f>
        <v>1.1441628699999999</v>
      </c>
      <c r="I56" s="169">
        <f t="shared" si="8"/>
        <v>468.83441174000006</v>
      </c>
      <c r="J56"/>
    </row>
    <row r="57" spans="1:10" x14ac:dyDescent="0.2">
      <c r="A57" s="173">
        <f t="shared" si="7"/>
        <v>2008</v>
      </c>
      <c r="B57" s="169">
        <f>Summary!H16/1000000</f>
        <v>157.94494805999997</v>
      </c>
      <c r="C57" s="169">
        <f>Summary!H20/1000000</f>
        <v>55.072082170000002</v>
      </c>
      <c r="D57" s="169">
        <f>Summary!H24/1000000</f>
        <v>145.11372681</v>
      </c>
      <c r="E57" s="169">
        <f>Summary!H29/1000000</f>
        <v>102.682486</v>
      </c>
      <c r="F57" s="169">
        <f>Summary!H34/1000000</f>
        <v>4.7246540000000001</v>
      </c>
      <c r="G57" s="169">
        <f>Summary!H39/1000000</f>
        <v>0.94965542000000003</v>
      </c>
      <c r="H57" s="169">
        <f>Summary!H44/1000000</f>
        <v>1.15779561</v>
      </c>
      <c r="I57" s="169">
        <f t="shared" si="8"/>
        <v>467.64534806999995</v>
      </c>
      <c r="J57"/>
    </row>
    <row r="58" spans="1:10" x14ac:dyDescent="0.2">
      <c r="A58" s="173">
        <f t="shared" si="7"/>
        <v>2009</v>
      </c>
      <c r="B58" s="169">
        <f>Summary!I16/1000000</f>
        <v>152.42851784000001</v>
      </c>
      <c r="C58" s="169">
        <f>Summary!I20/1000000</f>
        <v>54.644526329999998</v>
      </c>
      <c r="D58" s="169">
        <f>Summary!I24/1000000</f>
        <v>135.38116095000001</v>
      </c>
      <c r="E58" s="169">
        <f>Summary!I29/1000000</f>
        <v>48.153613</v>
      </c>
      <c r="F58" s="169">
        <f>Summary!I34/1000000</f>
        <v>4.6919570000000004</v>
      </c>
      <c r="G58" s="169">
        <f>Summary!I39/1000000</f>
        <v>1.05272524</v>
      </c>
      <c r="H58" s="169">
        <f>Summary!I44/1000000</f>
        <v>1.15182633</v>
      </c>
      <c r="I58" s="169">
        <f t="shared" si="8"/>
        <v>397.50432668999997</v>
      </c>
      <c r="J58"/>
    </row>
    <row r="59" spans="1:10" x14ac:dyDescent="0.2">
      <c r="A59" s="173">
        <f t="shared" si="7"/>
        <v>2010</v>
      </c>
      <c r="B59" s="169">
        <f>Summary!J16/1000000</f>
        <v>159.73333750999998</v>
      </c>
      <c r="C59" s="169">
        <f>Summary!J20/1000000</f>
        <v>54.184999660000003</v>
      </c>
      <c r="D59" s="169">
        <f>Summary!J24/1000000</f>
        <v>144.93247647000001</v>
      </c>
      <c r="E59" s="169">
        <f>Summary!J29/1000000</f>
        <v>60.389409000000001</v>
      </c>
      <c r="F59" s="169">
        <f>Summary!J34/1000000</f>
        <v>4.7005759999999999</v>
      </c>
      <c r="G59" s="169">
        <f>Summary!J39/1000000</f>
        <v>0.90896179999999993</v>
      </c>
      <c r="H59" s="169">
        <f>Summary!J44/1000000</f>
        <v>1.12812651</v>
      </c>
      <c r="I59" s="169">
        <f t="shared" si="8"/>
        <v>425.97788694999997</v>
      </c>
      <c r="J59"/>
    </row>
    <row r="60" spans="1:10" x14ac:dyDescent="0.2">
      <c r="A60" s="173">
        <f t="shared" si="7"/>
        <v>2011</v>
      </c>
      <c r="B60" s="169">
        <f>Summary!K16/1000000</f>
        <v>158.62192099999999</v>
      </c>
      <c r="C60" s="169">
        <f>Summary!K20/1000000</f>
        <v>54.435718999999999</v>
      </c>
      <c r="D60" s="169">
        <f>Summary!K24/1000000</f>
        <v>150.17415800000001</v>
      </c>
      <c r="E60" s="169">
        <f>Summary!K29/1000000</f>
        <v>59.993492000000003</v>
      </c>
      <c r="F60" s="169">
        <f>Summary!K34/1000000</f>
        <v>4.7303470000000001</v>
      </c>
      <c r="G60" s="169">
        <f>Summary!K39/1000000</f>
        <v>0.89424000000000003</v>
      </c>
      <c r="H60" s="169">
        <f>Summary!K44/1000000</f>
        <v>1.1229039999999999</v>
      </c>
      <c r="I60" s="169">
        <f t="shared" si="8"/>
        <v>429.97278100000005</v>
      </c>
      <c r="J60"/>
    </row>
    <row r="61" spans="1:10" x14ac:dyDescent="0.2">
      <c r="A61" s="173">
        <f t="shared" si="7"/>
        <v>2012</v>
      </c>
      <c r="B61" s="169">
        <f>Summary!L16/1000000</f>
        <v>159.179968</v>
      </c>
      <c r="C61" s="169">
        <f>Summary!L20/1000000</f>
        <v>50.022064999999998</v>
      </c>
      <c r="D61" s="169">
        <f>Summary!L24/1000000</f>
        <v>141.44086632258063</v>
      </c>
      <c r="E61" s="169">
        <f>Summary!L29/1000000</f>
        <v>48.424320000000002</v>
      </c>
      <c r="F61" s="169">
        <f>Summary!L34/1000000</f>
        <v>4.4793190000000003</v>
      </c>
      <c r="G61" s="169">
        <f>Summary!L39/1000000</f>
        <v>0.84927799999999998</v>
      </c>
      <c r="H61" s="169">
        <f>Summary!L44/1000000</f>
        <v>1.0853889999999999</v>
      </c>
      <c r="I61" s="169">
        <f t="shared" si="8"/>
        <v>405.48120532258071</v>
      </c>
      <c r="J61"/>
    </row>
    <row r="62" spans="1:10" x14ac:dyDescent="0.2">
      <c r="A62" s="173">
        <f t="shared" si="7"/>
        <v>2013</v>
      </c>
      <c r="B62" s="169">
        <f>Summary!M16/1000000</f>
        <v>158.72460699999999</v>
      </c>
      <c r="C62" s="169">
        <f>Summary!M20/1000000</f>
        <v>52.726526999999997</v>
      </c>
      <c r="D62" s="169">
        <f>Summary!M24/1000000</f>
        <v>138.149957</v>
      </c>
      <c r="E62" s="169">
        <f>Summary!M29/1000000</f>
        <v>44.784691000000002</v>
      </c>
      <c r="F62" s="169">
        <f>Summary!M34/1000000</f>
        <v>2.8443010000000002</v>
      </c>
      <c r="G62" s="169">
        <f>Summary!M39/1000000</f>
        <v>0.78298999999999996</v>
      </c>
      <c r="H62" s="169">
        <f>Summary!M44/1000000</f>
        <v>0.98924999999999996</v>
      </c>
      <c r="I62" s="169">
        <f t="shared" si="8"/>
        <v>399.00232299999999</v>
      </c>
      <c r="J62"/>
    </row>
    <row r="63" spans="1:10" x14ac:dyDescent="0.2">
      <c r="A63" s="173">
        <f t="shared" si="7"/>
        <v>2014</v>
      </c>
      <c r="B63" s="169">
        <f>Summary!N16/1000000</f>
        <v>158.18505300000001</v>
      </c>
      <c r="C63" s="169">
        <f>Summary!N20/1000000</f>
        <v>53.903008999999997</v>
      </c>
      <c r="D63" s="169">
        <f>Summary!N24/1000000</f>
        <v>144.19253399999999</v>
      </c>
      <c r="E63" s="169">
        <f>Summary!N29/1000000</f>
        <v>20.367511</v>
      </c>
      <c r="F63" s="169">
        <f>Summary!N34/1000000</f>
        <v>2.5033780000000001</v>
      </c>
      <c r="G63" s="169">
        <f>Summary!N39/1000000</f>
        <v>0.76719899999999996</v>
      </c>
      <c r="H63" s="169">
        <f>Summary!N44/1000000</f>
        <v>0.96694500000000005</v>
      </c>
      <c r="I63" s="169">
        <f t="shared" si="8"/>
        <v>380.88562899999999</v>
      </c>
      <c r="J63"/>
    </row>
    <row r="64" spans="1:10" x14ac:dyDescent="0.2">
      <c r="A64" s="173">
        <f t="shared" si="7"/>
        <v>2015</v>
      </c>
      <c r="B64" s="169">
        <f>Summary!O16/1000000</f>
        <v>157.97371899999999</v>
      </c>
      <c r="C64" s="169">
        <f>Summary!O20/1000000</f>
        <v>54.312604</v>
      </c>
      <c r="D64" s="169">
        <f>Summary!O24/1000000</f>
        <v>139.79696200000001</v>
      </c>
      <c r="E64" s="169">
        <f>Summary!O29/1000000</f>
        <v>0.27707900000000002</v>
      </c>
      <c r="F64" s="169">
        <f>Summary!O34/1000000</f>
        <v>2.2846869999999999</v>
      </c>
      <c r="G64" s="169">
        <f>Summary!O39/1000000</f>
        <v>0.75396399999999997</v>
      </c>
      <c r="H64" s="169">
        <f>Summary!O44/1000000</f>
        <v>0.97004100000000004</v>
      </c>
      <c r="I64" s="169">
        <f t="shared" si="8"/>
        <v>356.369056</v>
      </c>
      <c r="J64"/>
    </row>
    <row r="65" spans="1:12" x14ac:dyDescent="0.2">
      <c r="A65" s="323" t="s">
        <v>221</v>
      </c>
      <c r="B65" s="323"/>
      <c r="C65" s="323"/>
      <c r="D65" s="323"/>
      <c r="E65" s="323"/>
      <c r="F65" s="323"/>
      <c r="G65" s="323"/>
      <c r="H65" s="323"/>
      <c r="I65" s="323"/>
      <c r="J65" s="258"/>
      <c r="K65"/>
      <c r="L65" s="175"/>
    </row>
    <row r="66" spans="1:12" x14ac:dyDescent="0.2">
      <c r="A66" s="173">
        <f t="shared" ref="A66:A76" si="9">A51</f>
        <v>2002</v>
      </c>
      <c r="B66" s="167">
        <f t="shared" ref="B66:B76" si="10">B51*F159</f>
        <v>159.82627155667601</v>
      </c>
      <c r="C66" s="167">
        <f t="shared" ref="C66:C76" si="11">C51*F159</f>
        <v>46.790388757153579</v>
      </c>
      <c r="D66" s="167">
        <f t="shared" ref="D66:D76" si="12">D51*F159</f>
        <v>215.29399233761609</v>
      </c>
      <c r="E66" s="167">
        <f t="shared" ref="E66:E76" si="13">E51*F159</f>
        <v>62.644833901115128</v>
      </c>
      <c r="F66" s="167">
        <f t="shared" ref="F66:F76" si="14">F51*F159</f>
        <v>4.468937856580709</v>
      </c>
      <c r="G66" s="167">
        <f t="shared" ref="G66:G76" si="15">G51*F159</f>
        <v>0.59401177418127382</v>
      </c>
      <c r="H66" s="167">
        <f t="shared" ref="H66:H76" si="16">H51*F159</f>
        <v>0.98949446588151724</v>
      </c>
      <c r="I66" s="169">
        <f>SUM(B66:H66)</f>
        <v>490.60793064920432</v>
      </c>
      <c r="J66" s="178"/>
      <c r="K66" s="174"/>
    </row>
    <row r="67" spans="1:12" x14ac:dyDescent="0.2">
      <c r="A67" s="173">
        <f t="shared" si="9"/>
        <v>2003</v>
      </c>
      <c r="B67" s="167">
        <f t="shared" si="10"/>
        <v>157.5774376305107</v>
      </c>
      <c r="C67" s="167">
        <f t="shared" si="11"/>
        <v>46.453086105205948</v>
      </c>
      <c r="D67" s="167">
        <f t="shared" si="12"/>
        <v>148.72245552599276</v>
      </c>
      <c r="E67" s="167">
        <f t="shared" si="13"/>
        <v>118.11121226500161</v>
      </c>
      <c r="F67" s="167">
        <f t="shared" si="14"/>
        <v>4.6478222622163958</v>
      </c>
      <c r="G67" s="167">
        <f t="shared" si="15"/>
        <v>1.0253494574440174</v>
      </c>
      <c r="H67" s="167">
        <f t="shared" si="16"/>
        <v>1.2223583440428214</v>
      </c>
      <c r="I67" s="169">
        <f t="shared" ref="I67:I82" si="17">SUM(B67:H67)</f>
        <v>477.75972159041424</v>
      </c>
      <c r="J67" s="178"/>
      <c r="K67" s="174"/>
    </row>
    <row r="68" spans="1:12" x14ac:dyDescent="0.2">
      <c r="A68" s="173">
        <f t="shared" si="9"/>
        <v>2004</v>
      </c>
      <c r="B68" s="167">
        <f t="shared" si="10"/>
        <v>159.67700284709667</v>
      </c>
      <c r="C68" s="167">
        <f t="shared" si="11"/>
        <v>50.402300663294163</v>
      </c>
      <c r="D68" s="167">
        <f t="shared" si="12"/>
        <v>147.22144410078943</v>
      </c>
      <c r="E68" s="167">
        <f t="shared" si="13"/>
        <v>124.40447661734414</v>
      </c>
      <c r="F68" s="167">
        <f t="shared" si="14"/>
        <v>4.7147067949392358</v>
      </c>
      <c r="G68" s="167">
        <f t="shared" si="15"/>
        <v>1.0390522967804994</v>
      </c>
      <c r="H68" s="167">
        <f t="shared" si="16"/>
        <v>1.2074019477942988</v>
      </c>
      <c r="I68" s="169">
        <f t="shared" si="17"/>
        <v>488.66638526803843</v>
      </c>
      <c r="J68" s="178"/>
      <c r="K68" s="174"/>
    </row>
    <row r="69" spans="1:12" x14ac:dyDescent="0.2">
      <c r="A69" s="173">
        <f t="shared" si="9"/>
        <v>2005</v>
      </c>
      <c r="B69" s="167">
        <f t="shared" si="10"/>
        <v>164.9813969881472</v>
      </c>
      <c r="C69" s="167">
        <f t="shared" si="11"/>
        <v>50.7526203532829</v>
      </c>
      <c r="D69" s="167">
        <f t="shared" si="12"/>
        <v>142.00855382949112</v>
      </c>
      <c r="E69" s="167">
        <f t="shared" si="13"/>
        <v>120.03611661857879</v>
      </c>
      <c r="F69" s="167">
        <f t="shared" si="14"/>
        <v>4.5112259989244361</v>
      </c>
      <c r="G69" s="167">
        <f t="shared" si="15"/>
        <v>0.96522160280877167</v>
      </c>
      <c r="H69" s="167">
        <f t="shared" si="16"/>
        <v>1.1578687596655264</v>
      </c>
      <c r="I69" s="169">
        <f t="shared" si="17"/>
        <v>484.4130041508987</v>
      </c>
      <c r="J69" s="178"/>
      <c r="K69" s="174"/>
    </row>
    <row r="70" spans="1:12" x14ac:dyDescent="0.2">
      <c r="A70" s="173">
        <f t="shared" si="9"/>
        <v>2006</v>
      </c>
      <c r="B70" s="167">
        <f t="shared" si="10"/>
        <v>160.59340672833866</v>
      </c>
      <c r="C70" s="167">
        <f t="shared" si="11"/>
        <v>50.311651978248186</v>
      </c>
      <c r="D70" s="167">
        <f t="shared" si="12"/>
        <v>146.87631734249791</v>
      </c>
      <c r="E70" s="167">
        <f t="shared" si="13"/>
        <v>111.80777394927668</v>
      </c>
      <c r="F70" s="167">
        <f t="shared" si="14"/>
        <v>4.6857053216196789</v>
      </c>
      <c r="G70" s="167">
        <f t="shared" si="15"/>
        <v>1.0103273599881382</v>
      </c>
      <c r="H70" s="167">
        <f t="shared" si="16"/>
        <v>1.2058393292574803</v>
      </c>
      <c r="I70" s="169">
        <f t="shared" si="17"/>
        <v>476.49102200922675</v>
      </c>
      <c r="J70" s="178"/>
      <c r="K70" s="174"/>
    </row>
    <row r="71" spans="1:12" x14ac:dyDescent="0.2">
      <c r="A71" s="173">
        <f t="shared" si="9"/>
        <v>2007</v>
      </c>
      <c r="B71" s="167">
        <f t="shared" si="10"/>
        <v>161.72550470874287</v>
      </c>
      <c r="C71" s="167">
        <f t="shared" si="11"/>
        <v>53.046118597796998</v>
      </c>
      <c r="D71" s="167">
        <f t="shared" si="12"/>
        <v>162.09143998321966</v>
      </c>
      <c r="E71" s="167">
        <f t="shared" si="13"/>
        <v>81.947903388698151</v>
      </c>
      <c r="F71" s="167">
        <f t="shared" si="14"/>
        <v>4.658671601520342</v>
      </c>
      <c r="G71" s="167">
        <f t="shared" si="15"/>
        <v>0.97382339798172068</v>
      </c>
      <c r="H71" s="167">
        <f t="shared" si="16"/>
        <v>1.1362198920121125</v>
      </c>
      <c r="I71" s="169">
        <f t="shared" si="17"/>
        <v>465.57968156997185</v>
      </c>
      <c r="J71" s="178"/>
      <c r="K71" s="174"/>
    </row>
    <row r="72" spans="1:12" x14ac:dyDescent="0.2">
      <c r="A72" s="173">
        <f t="shared" si="9"/>
        <v>2008</v>
      </c>
      <c r="B72" s="167">
        <f t="shared" si="10"/>
        <v>159.73237589511086</v>
      </c>
      <c r="C72" s="167">
        <f t="shared" si="11"/>
        <v>55.695320670612112</v>
      </c>
      <c r="D72" s="167">
        <f t="shared" si="12"/>
        <v>146.75594656911719</v>
      </c>
      <c r="E72" s="167">
        <f t="shared" si="13"/>
        <v>103.84452084764237</v>
      </c>
      <c r="F72" s="167">
        <f t="shared" si="14"/>
        <v>4.7781218581024314</v>
      </c>
      <c r="G72" s="167">
        <f t="shared" si="15"/>
        <v>0.96040245909381827</v>
      </c>
      <c r="H72" s="167">
        <f t="shared" si="16"/>
        <v>1.1708981253137347</v>
      </c>
      <c r="I72" s="169">
        <f t="shared" si="17"/>
        <v>472.9375864249925</v>
      </c>
      <c r="J72" s="178"/>
      <c r="K72" s="174"/>
    </row>
    <row r="73" spans="1:12" x14ac:dyDescent="0.2">
      <c r="A73" s="173">
        <f t="shared" si="9"/>
        <v>2009</v>
      </c>
      <c r="B73" s="167">
        <f t="shared" si="10"/>
        <v>156.03364096567142</v>
      </c>
      <c r="C73" s="167">
        <f t="shared" si="11"/>
        <v>55.936937017680037</v>
      </c>
      <c r="D73" s="167">
        <f t="shared" si="12"/>
        <v>138.58309298369858</v>
      </c>
      <c r="E73" s="167">
        <f t="shared" si="13"/>
        <v>49.292505552856511</v>
      </c>
      <c r="F73" s="167">
        <f t="shared" si="14"/>
        <v>4.8029275908385936</v>
      </c>
      <c r="G73" s="167">
        <f t="shared" si="15"/>
        <v>1.0776234950081982</v>
      </c>
      <c r="H73" s="167">
        <f t="shared" si="16"/>
        <v>1.1790684484558061</v>
      </c>
      <c r="I73" s="169">
        <f t="shared" si="17"/>
        <v>406.90579605420908</v>
      </c>
      <c r="J73" s="178"/>
      <c r="K73" s="174"/>
    </row>
    <row r="74" spans="1:12" x14ac:dyDescent="0.2">
      <c r="A74" s="173">
        <f t="shared" si="9"/>
        <v>2010</v>
      </c>
      <c r="B74" s="167">
        <f t="shared" si="10"/>
        <v>160.18616569055922</v>
      </c>
      <c r="C74" s="167">
        <f t="shared" si="11"/>
        <v>54.338608763723293</v>
      </c>
      <c r="D74" s="167">
        <f t="shared" si="12"/>
        <v>145.34334567643444</v>
      </c>
      <c r="E74" s="167">
        <f t="shared" si="13"/>
        <v>60.560606989278888</v>
      </c>
      <c r="F74" s="167">
        <f t="shared" si="14"/>
        <v>4.7139016670826601</v>
      </c>
      <c r="G74" s="167">
        <f t="shared" si="15"/>
        <v>0.911538616615167</v>
      </c>
      <c r="H74" s="167">
        <f t="shared" si="16"/>
        <v>1.1313246368464509</v>
      </c>
      <c r="I74" s="169">
        <f t="shared" si="17"/>
        <v>427.18549204054017</v>
      </c>
      <c r="J74" s="178"/>
      <c r="K74" s="174"/>
    </row>
    <row r="75" spans="1:12" x14ac:dyDescent="0.2">
      <c r="A75" s="173">
        <f t="shared" si="9"/>
        <v>2011</v>
      </c>
      <c r="B75" s="167">
        <f t="shared" si="10"/>
        <v>158.34817040187133</v>
      </c>
      <c r="C75" s="167">
        <f t="shared" si="11"/>
        <v>54.341773531795674</v>
      </c>
      <c r="D75" s="167">
        <f t="shared" si="12"/>
        <v>149.91498659848881</v>
      </c>
      <c r="E75" s="167">
        <f t="shared" si="13"/>
        <v>59.889954896078358</v>
      </c>
      <c r="F75" s="167">
        <f t="shared" si="14"/>
        <v>4.7221833406996812</v>
      </c>
      <c r="G75" s="167">
        <f t="shared" si="15"/>
        <v>0.89269671560823816</v>
      </c>
      <c r="H75" s="167">
        <f t="shared" si="16"/>
        <v>1.1209660859985608</v>
      </c>
      <c r="I75" s="169">
        <f t="shared" si="17"/>
        <v>429.23073157054063</v>
      </c>
      <c r="J75" s="178"/>
      <c r="K75" s="174"/>
    </row>
    <row r="76" spans="1:12" x14ac:dyDescent="0.2">
      <c r="A76" s="173">
        <f t="shared" si="9"/>
        <v>2012</v>
      </c>
      <c r="B76" s="167">
        <f t="shared" si="10"/>
        <v>160.67688408114137</v>
      </c>
      <c r="C76" s="167">
        <f t="shared" si="11"/>
        <v>50.492468622083891</v>
      </c>
      <c r="D76" s="167">
        <f t="shared" si="12"/>
        <v>142.77096526649319</v>
      </c>
      <c r="E76" s="167">
        <f t="shared" si="13"/>
        <v>48.879698551944024</v>
      </c>
      <c r="F76" s="167">
        <f t="shared" si="14"/>
        <v>4.5214421686870434</v>
      </c>
      <c r="G76" s="167">
        <f t="shared" si="15"/>
        <v>0.85726454448504208</v>
      </c>
      <c r="H76" s="167">
        <f t="shared" si="16"/>
        <v>1.0955959140282396</v>
      </c>
      <c r="I76" s="169">
        <f t="shared" si="17"/>
        <v>409.29431914886277</v>
      </c>
      <c r="J76" s="178"/>
      <c r="K76" s="174"/>
    </row>
    <row r="77" spans="1:12" x14ac:dyDescent="0.2">
      <c r="A77" s="173" t="str">
        <f>A29</f>
        <v>2013 Board Approved</v>
      </c>
      <c r="B77" s="262">
        <f>[13]Summary!$M$13/1000000</f>
        <v>162.56561849710243</v>
      </c>
      <c r="C77" s="262">
        <f>[13]Summary!$M$17/1000000</f>
        <v>54.784534147389493</v>
      </c>
      <c r="D77" s="262">
        <f>[13]Summary!$M$21/1000000</f>
        <v>141.53039374885864</v>
      </c>
      <c r="E77" s="262">
        <f>[13]Summary!$M$26/1000000</f>
        <v>59.538700549472246</v>
      </c>
      <c r="F77" s="262">
        <f>[13]Summary!$M$31/1000000</f>
        <v>1.2732809617749565</v>
      </c>
      <c r="G77" s="262">
        <f>[13]Summary!$M$36/1000000</f>
        <v>0.83197687357555672</v>
      </c>
      <c r="H77" s="262">
        <f>[13]Summary!$M$41/1000000</f>
        <v>1.1112296191108764</v>
      </c>
      <c r="I77" s="169">
        <f t="shared" si="17"/>
        <v>421.63573439728418</v>
      </c>
      <c r="K77" s="174"/>
    </row>
    <row r="78" spans="1:12" x14ac:dyDescent="0.2">
      <c r="A78" s="173">
        <f>A62</f>
        <v>2013</v>
      </c>
      <c r="B78" s="167">
        <f>B62*F170</f>
        <v>159.64719609608323</v>
      </c>
      <c r="C78" s="167">
        <f>C62*F170</f>
        <v>53.033000708166362</v>
      </c>
      <c r="D78" s="167">
        <f>D62*F170</f>
        <v>138.95295564250139</v>
      </c>
      <c r="E78" s="167">
        <f>E62*F170</f>
        <v>45.045002670439715</v>
      </c>
      <c r="F78" s="167">
        <f>F62*F170</f>
        <v>2.8608335410985499</v>
      </c>
      <c r="G78" s="167">
        <f>G62*F170</f>
        <v>0.78754114080920179</v>
      </c>
      <c r="H78" s="167">
        <f>H62*F170</f>
        <v>0.99500003007126891</v>
      </c>
      <c r="I78" s="169">
        <f t="shared" si="17"/>
        <v>401.32152982916966</v>
      </c>
      <c r="J78" s="178"/>
      <c r="K78" s="174"/>
    </row>
    <row r="79" spans="1:12" x14ac:dyDescent="0.2">
      <c r="A79" s="173">
        <f>A63</f>
        <v>2014</v>
      </c>
      <c r="B79" s="167">
        <f>B63*F171</f>
        <v>159.6516430303721</v>
      </c>
      <c r="C79" s="167">
        <f>C63*F171</f>
        <v>54.402763016622899</v>
      </c>
      <c r="D79" s="167">
        <f>D63*F171</f>
        <v>145.52939439741371</v>
      </c>
      <c r="E79" s="167">
        <f>E63*F171</f>
        <v>20.556345456919857</v>
      </c>
      <c r="F79" s="167">
        <f>F63*F171</f>
        <v>2.5265877100669356</v>
      </c>
      <c r="G79" s="167">
        <f>G63*F171</f>
        <v>0.77431197548897635</v>
      </c>
      <c r="H79" s="167">
        <f>H63*F171</f>
        <v>0.97590989187836319</v>
      </c>
      <c r="I79" s="169">
        <f t="shared" si="17"/>
        <v>384.41695547876282</v>
      </c>
      <c r="J79" s="178"/>
      <c r="K79" s="174"/>
    </row>
    <row r="80" spans="1:12" ht="15" customHeight="1" x14ac:dyDescent="0.2">
      <c r="A80" s="173">
        <f>A64</f>
        <v>2015</v>
      </c>
      <c r="B80" s="167">
        <f>B64*F172</f>
        <v>159.22584713062722</v>
      </c>
      <c r="C80" s="167">
        <f>C64*F172</f>
        <v>54.743095475078952</v>
      </c>
      <c r="D80" s="167">
        <f>D64*F172</f>
        <v>140.90501788299423</v>
      </c>
      <c r="E80" s="167">
        <f>E64*F172</f>
        <v>0.27927517802570101</v>
      </c>
      <c r="F80" s="167">
        <f>F64*F172</f>
        <v>2.3027958403848894</v>
      </c>
      <c r="G80" s="167">
        <f>G64*F172</f>
        <v>0.75994005437066547</v>
      </c>
      <c r="H80" s="167">
        <f>H64*F172</f>
        <v>0.97772971956456112</v>
      </c>
      <c r="I80" s="169">
        <f t="shared" si="17"/>
        <v>359.19370128104617</v>
      </c>
      <c r="J80" s="178"/>
      <c r="K80" s="174"/>
    </row>
    <row r="81" spans="1:11" x14ac:dyDescent="0.2">
      <c r="A81" s="176" t="str">
        <f>A45</f>
        <v>2016 Bridge</v>
      </c>
      <c r="B81" s="169">
        <f ca="1">Summary!P16/1000000</f>
        <v>165.46723558405839</v>
      </c>
      <c r="C81" s="169">
        <f ca="1">Summary!P20/1000000</f>
        <v>56.544967769856164</v>
      </c>
      <c r="D81" s="169">
        <f ca="1">Summary!P24/1000000</f>
        <v>138.81031148983922</v>
      </c>
      <c r="E81" s="167">
        <f ca="1">Summary!P29/1000000</f>
        <v>0</v>
      </c>
      <c r="F81" s="169">
        <f ca="1">Summary!P34/1000000</f>
        <v>1.4659180000000001</v>
      </c>
      <c r="G81" s="167">
        <f ca="1">Summary!P39/1000000</f>
        <v>0.75396399999999997</v>
      </c>
      <c r="H81" s="167">
        <f ca="1">Summary!P44/1000000</f>
        <v>0.95709046273582943</v>
      </c>
      <c r="I81" s="169">
        <f t="shared" ca="1" si="17"/>
        <v>363.99948730648958</v>
      </c>
      <c r="J81" s="178"/>
      <c r="K81" s="174"/>
    </row>
    <row r="82" spans="1:11" x14ac:dyDescent="0.2">
      <c r="A82" s="176" t="str">
        <f>A46</f>
        <v>2017 Test</v>
      </c>
      <c r="B82" s="167">
        <f ca="1">Summary!Q16/1000000</f>
        <v>171.40455463397123</v>
      </c>
      <c r="C82" s="169">
        <f ca="1">Summary!Q20/1000000</f>
        <v>58.177392791512816</v>
      </c>
      <c r="D82" s="169">
        <f ca="1">Summary!Q24/1000000</f>
        <v>135.24519890873026</v>
      </c>
      <c r="E82" s="167">
        <f ca="1">Summary!Q29/1000000</f>
        <v>0</v>
      </c>
      <c r="F82" s="169">
        <f ca="1">Summary!Q34/1000000</f>
        <v>1.2820669999999998</v>
      </c>
      <c r="G82" s="167">
        <f ca="1">Summary!Q39/1000000</f>
        <v>0.75396399999999997</v>
      </c>
      <c r="H82" s="167">
        <f ca="1">Summary!Q44/1000000</f>
        <v>0.94431282168473718</v>
      </c>
      <c r="I82" s="169">
        <f t="shared" ca="1" si="17"/>
        <v>367.80749015589896</v>
      </c>
      <c r="J82" s="178"/>
      <c r="K82" s="174"/>
    </row>
    <row r="83" spans="1:11" x14ac:dyDescent="0.2">
      <c r="A83" s="177"/>
      <c r="B83" s="178"/>
      <c r="C83" s="178"/>
      <c r="D83" s="178"/>
      <c r="E83" s="179"/>
      <c r="F83" s="178"/>
      <c r="G83" s="178"/>
      <c r="H83" s="178"/>
      <c r="I83" s="178"/>
      <c r="J83" s="178"/>
      <c r="K83" s="174"/>
    </row>
    <row r="84" spans="1:11" x14ac:dyDescent="0.2">
      <c r="A84" s="317" t="s">
        <v>222</v>
      </c>
      <c r="B84" s="298"/>
      <c r="C84" s="298"/>
      <c r="D84" s="298"/>
      <c r="E84" s="298"/>
      <c r="F84" s="298"/>
      <c r="G84" s="298"/>
      <c r="H84" s="298"/>
      <c r="I84" s="298"/>
      <c r="J84" s="224"/>
    </row>
    <row r="85" spans="1:11" x14ac:dyDescent="0.2">
      <c r="A85" s="295" t="s">
        <v>131</v>
      </c>
      <c r="B85" s="295"/>
      <c r="C85" s="295"/>
      <c r="D85" s="295"/>
      <c r="E85" s="295"/>
      <c r="F85" s="295"/>
      <c r="G85" s="295"/>
      <c r="H85" s="295"/>
      <c r="I85" s="295"/>
      <c r="J85" s="224"/>
    </row>
    <row r="86" spans="1:11" ht="51" x14ac:dyDescent="0.2">
      <c r="A86" s="171" t="str">
        <f>A49</f>
        <v>Year</v>
      </c>
      <c r="B86" s="172" t="str">
        <f>B49</f>
        <v xml:space="preserve">Residential </v>
      </c>
      <c r="C86" s="172" t="str">
        <f t="shared" ref="C86:H86" si="18">C49</f>
        <v>General Service 
&lt; 50 kW</v>
      </c>
      <c r="D86" s="172" t="str">
        <f t="shared" si="18"/>
        <v>General Service 
50 to 
4,999 kW</v>
      </c>
      <c r="E86" s="172" t="str">
        <f t="shared" si="18"/>
        <v>Large User</v>
      </c>
      <c r="F86" s="172" t="str">
        <f t="shared" si="18"/>
        <v xml:space="preserve">Street Lights </v>
      </c>
      <c r="G86" s="172" t="str">
        <f t="shared" si="18"/>
        <v>Sentinel Lights</v>
      </c>
      <c r="H86" s="172" t="str">
        <f t="shared" si="18"/>
        <v xml:space="preserve">Unmetered Scattered Loads </v>
      </c>
      <c r="I86" s="172" t="str">
        <f>I49</f>
        <v>Total</v>
      </c>
      <c r="J86" s="205"/>
    </row>
    <row r="87" spans="1:11" x14ac:dyDescent="0.2">
      <c r="A87" s="173">
        <f t="shared" ref="A87:A97" si="19">A51</f>
        <v>2002</v>
      </c>
      <c r="B87" s="180">
        <f>Summary!B15</f>
        <v>18178</v>
      </c>
      <c r="C87" s="180">
        <f>Summary!B19</f>
        <v>1679.5</v>
      </c>
      <c r="D87" s="180">
        <f>Summary!B23</f>
        <v>239.41666666666666</v>
      </c>
      <c r="E87" s="180">
        <f>Summary!B28</f>
        <v>1.3333333333333333</v>
      </c>
      <c r="F87" s="180">
        <f>Summary!B33</f>
        <v>6411.75</v>
      </c>
      <c r="G87" s="180">
        <f>Summary!B38</f>
        <v>765</v>
      </c>
      <c r="H87" s="180">
        <f>Summary!B43</f>
        <v>225.25</v>
      </c>
      <c r="I87" s="181">
        <f>SUM(B87:H87)</f>
        <v>27500.25</v>
      </c>
      <c r="J87" s="165"/>
    </row>
    <row r="88" spans="1:11" ht="12.75" customHeight="1" x14ac:dyDescent="0.2">
      <c r="A88" s="173">
        <f t="shared" si="19"/>
        <v>2003</v>
      </c>
      <c r="B88" s="180">
        <f>Summary!C15</f>
        <v>18297.833333333332</v>
      </c>
      <c r="C88" s="180">
        <f>Summary!C19</f>
        <v>1684.3333333333333</v>
      </c>
      <c r="D88" s="180">
        <f>Summary!C23</f>
        <v>235.75</v>
      </c>
      <c r="E88" s="180">
        <f>Summary!C28</f>
        <v>2.75</v>
      </c>
      <c r="F88" s="180">
        <f>Summary!C33</f>
        <v>6457.5</v>
      </c>
      <c r="G88" s="180">
        <f>Summary!C38</f>
        <v>758.08333333333337</v>
      </c>
      <c r="H88" s="180">
        <f>Summary!C43</f>
        <v>228.58333333333334</v>
      </c>
      <c r="I88" s="181">
        <f t="shared" ref="I88:I103" si="20">SUM(B88:H88)</f>
        <v>27664.833333333328</v>
      </c>
      <c r="J88" s="165"/>
    </row>
    <row r="89" spans="1:11" x14ac:dyDescent="0.2">
      <c r="A89" s="173">
        <f t="shared" si="19"/>
        <v>2004</v>
      </c>
      <c r="B89" s="180">
        <f>Summary!D15</f>
        <v>18497.833333333332</v>
      </c>
      <c r="C89" s="180">
        <f>Summary!D19</f>
        <v>1682.9166666666667</v>
      </c>
      <c r="D89" s="180">
        <f>Summary!D23</f>
        <v>216.5</v>
      </c>
      <c r="E89" s="180">
        <f>Summary!D28</f>
        <v>2.8333333333333335</v>
      </c>
      <c r="F89" s="180">
        <f>Summary!D33</f>
        <v>6471.333333333333</v>
      </c>
      <c r="G89" s="180">
        <f>Summary!D38</f>
        <v>750.41666666666663</v>
      </c>
      <c r="H89" s="180">
        <f>Summary!D43</f>
        <v>232.41666666666666</v>
      </c>
      <c r="I89" s="181">
        <f t="shared" si="20"/>
        <v>27854.25</v>
      </c>
      <c r="J89" s="165"/>
    </row>
    <row r="90" spans="1:11" x14ac:dyDescent="0.2">
      <c r="A90" s="173">
        <f t="shared" si="19"/>
        <v>2005</v>
      </c>
      <c r="B90" s="180">
        <f>Summary!E15</f>
        <v>18756.166666666668</v>
      </c>
      <c r="C90" s="180">
        <f>Summary!E19</f>
        <v>1690.8333333333333</v>
      </c>
      <c r="D90" s="180">
        <f>Summary!E23</f>
        <v>208</v>
      </c>
      <c r="E90" s="180">
        <f>Summary!E28</f>
        <v>2.8333333333333335</v>
      </c>
      <c r="F90" s="180">
        <f>Summary!E33</f>
        <v>6520.166666666667</v>
      </c>
      <c r="G90" s="180">
        <f>Summary!E38</f>
        <v>739.25</v>
      </c>
      <c r="H90" s="180">
        <f>Summary!E43</f>
        <v>234</v>
      </c>
      <c r="I90" s="181">
        <f t="shared" si="20"/>
        <v>28151.25</v>
      </c>
      <c r="J90" s="165"/>
    </row>
    <row r="91" spans="1:11" x14ac:dyDescent="0.2">
      <c r="A91" s="173">
        <f t="shared" si="19"/>
        <v>2006</v>
      </c>
      <c r="B91" s="180">
        <f>Summary!F15</f>
        <v>18914.833333333332</v>
      </c>
      <c r="C91" s="180">
        <f>Summary!F19</f>
        <v>1668</v>
      </c>
      <c r="D91" s="180">
        <f>Summary!F23</f>
        <v>208.5</v>
      </c>
      <c r="E91" s="180">
        <f>Summary!F28</f>
        <v>3</v>
      </c>
      <c r="F91" s="180">
        <f>Summary!F33</f>
        <v>6557.75</v>
      </c>
      <c r="G91" s="180">
        <f>Summary!F38</f>
        <v>732.41666666666663</v>
      </c>
      <c r="H91" s="180">
        <f>Summary!F43</f>
        <v>232.58333333333334</v>
      </c>
      <c r="I91" s="181">
        <f t="shared" si="20"/>
        <v>28317.083333333332</v>
      </c>
      <c r="J91" s="165"/>
    </row>
    <row r="92" spans="1:11" ht="12.75" customHeight="1" x14ac:dyDescent="0.2">
      <c r="A92" s="173">
        <f t="shared" si="19"/>
        <v>2007</v>
      </c>
      <c r="B92" s="180">
        <f>Summary!G15</f>
        <v>18996.166666666668</v>
      </c>
      <c r="C92" s="180">
        <f>Summary!G19</f>
        <v>1656.5</v>
      </c>
      <c r="D92" s="180">
        <f>Summary!G23</f>
        <v>194.16666666666666</v>
      </c>
      <c r="E92" s="180">
        <f>Summary!G28</f>
        <v>2.4166666666666665</v>
      </c>
      <c r="F92" s="180">
        <f>Summary!G33</f>
        <v>6610.333333333333</v>
      </c>
      <c r="G92" s="180">
        <f>Summary!G38</f>
        <v>704.41666666666663</v>
      </c>
      <c r="H92" s="180">
        <f>Summary!G43</f>
        <v>231.66666666666666</v>
      </c>
      <c r="I92" s="181">
        <f t="shared" si="20"/>
        <v>28395.666666666672</v>
      </c>
      <c r="J92" s="165"/>
    </row>
    <row r="93" spans="1:11" x14ac:dyDescent="0.2">
      <c r="A93" s="173">
        <f t="shared" si="19"/>
        <v>2008</v>
      </c>
      <c r="B93" s="180">
        <f>Summary!H15</f>
        <v>19136.5</v>
      </c>
      <c r="C93" s="180">
        <f>Summary!H19</f>
        <v>1676.25</v>
      </c>
      <c r="D93" s="180">
        <f>Summary!H23</f>
        <v>176.25</v>
      </c>
      <c r="E93" s="180">
        <f>Summary!H28</f>
        <v>2.5</v>
      </c>
      <c r="F93" s="180">
        <f>Summary!H33</f>
        <v>6670.583333333333</v>
      </c>
      <c r="G93" s="180">
        <f>Summary!H38</f>
        <v>689</v>
      </c>
      <c r="H93" s="180">
        <f>Summary!H43</f>
        <v>232</v>
      </c>
      <c r="I93" s="181">
        <f t="shared" si="20"/>
        <v>28583.083333333332</v>
      </c>
      <c r="J93" s="165"/>
    </row>
    <row r="94" spans="1:11" x14ac:dyDescent="0.2">
      <c r="A94" s="173">
        <f t="shared" si="19"/>
        <v>2009</v>
      </c>
      <c r="B94" s="180">
        <f>Summary!I15</f>
        <v>19277.083333333332</v>
      </c>
      <c r="C94" s="180">
        <f>Summary!I19</f>
        <v>1690.1666666666667</v>
      </c>
      <c r="D94" s="180">
        <f>Summary!I23</f>
        <v>170.75</v>
      </c>
      <c r="E94" s="180">
        <f>Summary!I28</f>
        <v>2.5</v>
      </c>
      <c r="F94" s="180">
        <f>Summary!I33</f>
        <v>6709.416666666667</v>
      </c>
      <c r="G94" s="180">
        <f>Summary!I38</f>
        <v>679.66666666666663</v>
      </c>
      <c r="H94" s="180">
        <f>Summary!I43</f>
        <v>230.5</v>
      </c>
      <c r="I94" s="181">
        <f t="shared" si="20"/>
        <v>28760.083333333336</v>
      </c>
      <c r="J94" s="165"/>
    </row>
    <row r="95" spans="1:11" x14ac:dyDescent="0.2">
      <c r="A95" s="173">
        <f t="shared" si="19"/>
        <v>2010</v>
      </c>
      <c r="B95" s="180">
        <f>Summary!J15</f>
        <v>19434.333333333332</v>
      </c>
      <c r="C95" s="180">
        <f>Summary!J19</f>
        <v>1690.6666666666667</v>
      </c>
      <c r="D95" s="180">
        <f>Summary!J23</f>
        <v>172.33333333333334</v>
      </c>
      <c r="E95" s="180">
        <f>Summary!J28</f>
        <v>1.3333333333333333</v>
      </c>
      <c r="F95" s="180">
        <f>Summary!J33</f>
        <v>6737.666666666667</v>
      </c>
      <c r="G95" s="180">
        <f>Summary!J38</f>
        <v>679.16666666666663</v>
      </c>
      <c r="H95" s="180">
        <f>Summary!J43</f>
        <v>227.25</v>
      </c>
      <c r="I95" s="181">
        <f t="shared" si="20"/>
        <v>28942.75</v>
      </c>
      <c r="J95" s="165"/>
    </row>
    <row r="96" spans="1:11" x14ac:dyDescent="0.2">
      <c r="A96" s="173">
        <f t="shared" si="19"/>
        <v>2011</v>
      </c>
      <c r="B96" s="180">
        <f>Summary!K15</f>
        <v>19716.902777777785</v>
      </c>
      <c r="C96" s="180">
        <f>Summary!K19</f>
        <v>1690.8055555555559</v>
      </c>
      <c r="D96" s="180">
        <f>Summary!K23</f>
        <v>169.73611111111106</v>
      </c>
      <c r="E96" s="180">
        <f>Summary!K28</f>
        <v>1</v>
      </c>
      <c r="F96" s="180">
        <f>Summary!K33</f>
        <v>6739</v>
      </c>
      <c r="G96" s="180">
        <f>Summary!K38</f>
        <v>663.28472222222206</v>
      </c>
      <c r="H96" s="180">
        <f>Summary!K43</f>
        <v>226.32291666666671</v>
      </c>
      <c r="I96" s="181">
        <f t="shared" si="20"/>
        <v>29207.052083333339</v>
      </c>
      <c r="J96" s="165"/>
    </row>
    <row r="97" spans="1:20" x14ac:dyDescent="0.2">
      <c r="A97" s="173">
        <f t="shared" si="19"/>
        <v>2012</v>
      </c>
      <c r="B97" s="180">
        <f>Summary!L15</f>
        <v>20109.833333333332</v>
      </c>
      <c r="C97" s="180">
        <f>Summary!L19</f>
        <v>1698.8333333333333</v>
      </c>
      <c r="D97" s="180">
        <f>Summary!L23</f>
        <v>173.25</v>
      </c>
      <c r="E97" s="180">
        <f>Summary!L28</f>
        <v>1</v>
      </c>
      <c r="F97" s="180">
        <f>Summary!L33</f>
        <v>6749.166666666667</v>
      </c>
      <c r="G97" s="180">
        <f>Summary!L38</f>
        <v>626.84577546296293</v>
      </c>
      <c r="H97" s="180">
        <f>Summary!L43</f>
        <v>220.70008680555566</v>
      </c>
      <c r="I97" s="181">
        <f t="shared" si="20"/>
        <v>29579.62919560185</v>
      </c>
      <c r="J97" s="165"/>
    </row>
    <row r="98" spans="1:20" x14ac:dyDescent="0.2">
      <c r="A98" s="173" t="str">
        <f>A77</f>
        <v>2013 Board Approved</v>
      </c>
      <c r="B98" s="180">
        <f>[13]Summary!$M$12</f>
        <v>20432.24624822551</v>
      </c>
      <c r="C98" s="180">
        <f>[13]Summary!$M$16</f>
        <v>1695.799451063576</v>
      </c>
      <c r="D98" s="180">
        <f>[13]Summary!$M$20</f>
        <v>169</v>
      </c>
      <c r="E98" s="180">
        <f>[13]Summary!$M$25</f>
        <v>1</v>
      </c>
      <c r="F98" s="180">
        <f>[13]Summary!$M$30</f>
        <v>6749.5</v>
      </c>
      <c r="G98" s="180">
        <f>[13]Summary!$M$35</f>
        <v>574</v>
      </c>
      <c r="H98" s="180">
        <f>[13]Summary!$M$40</f>
        <v>225.35874142083784</v>
      </c>
      <c r="I98" s="181">
        <f t="shared" si="20"/>
        <v>29846.904440709925</v>
      </c>
    </row>
    <row r="99" spans="1:20" x14ac:dyDescent="0.2">
      <c r="A99" s="173">
        <f>A62</f>
        <v>2013</v>
      </c>
      <c r="B99" s="180">
        <f>Summary!M15</f>
        <v>20265.75</v>
      </c>
      <c r="C99" s="180">
        <f>Summary!M19</f>
        <v>1698.5</v>
      </c>
      <c r="D99" s="180">
        <f>Summary!M23</f>
        <v>172.66666666666666</v>
      </c>
      <c r="E99" s="180">
        <f>Summary!M28</f>
        <v>1</v>
      </c>
      <c r="F99" s="180">
        <f>Summary!M33</f>
        <v>6778.916666666667</v>
      </c>
      <c r="G99" s="180">
        <f>Summary!M38</f>
        <v>580.25</v>
      </c>
      <c r="H99" s="180">
        <f>Summary!M43</f>
        <v>235.5</v>
      </c>
      <c r="I99" s="181">
        <f t="shared" si="20"/>
        <v>29732.583333333336</v>
      </c>
      <c r="J99" s="165"/>
    </row>
    <row r="100" spans="1:20" x14ac:dyDescent="0.2">
      <c r="A100" s="173">
        <f>A63</f>
        <v>2014</v>
      </c>
      <c r="B100" s="180">
        <f>Summary!N15</f>
        <v>20472.166666666668</v>
      </c>
      <c r="C100" s="180">
        <f>Summary!N19</f>
        <v>1742.8333333333333</v>
      </c>
      <c r="D100" s="180">
        <f>Summary!N23</f>
        <v>165.41666666666666</v>
      </c>
      <c r="E100" s="180">
        <f>Summary!N28</f>
        <v>1</v>
      </c>
      <c r="F100" s="180">
        <f>Summary!N33</f>
        <v>6784.333333333333</v>
      </c>
      <c r="G100" s="180">
        <f>Summary!N38</f>
        <v>519.16666666666663</v>
      </c>
      <c r="H100" s="180">
        <f>Summary!N43</f>
        <v>259.33333333333331</v>
      </c>
      <c r="I100" s="181">
        <f t="shared" si="20"/>
        <v>29944.25</v>
      </c>
      <c r="J100" s="165"/>
    </row>
    <row r="101" spans="1:20" ht="12.75" customHeight="1" x14ac:dyDescent="0.2">
      <c r="A101" s="173">
        <f>A64</f>
        <v>2015</v>
      </c>
      <c r="B101" s="180">
        <f>Summary!O15</f>
        <v>20635.5</v>
      </c>
      <c r="C101" s="180">
        <f>Summary!O19</f>
        <v>1769.0833333333333</v>
      </c>
      <c r="D101" s="180">
        <f>Summary!O23</f>
        <v>158.83333333333334</v>
      </c>
      <c r="E101" s="180">
        <f>Summary!O28</f>
        <v>1</v>
      </c>
      <c r="F101" s="180">
        <f>Summary!O33</f>
        <v>6792.583333333333</v>
      </c>
      <c r="G101" s="180">
        <f>Summary!O38</f>
        <v>515.08333333333337</v>
      </c>
      <c r="H101" s="180">
        <f>Summary!O43</f>
        <v>256.66666666666669</v>
      </c>
      <c r="I101" s="181">
        <f t="shared" si="20"/>
        <v>30128.749999999996</v>
      </c>
      <c r="J101" s="165"/>
    </row>
    <row r="102" spans="1:20" ht="12.75" customHeight="1" x14ac:dyDescent="0.2">
      <c r="A102" s="176" t="str">
        <f>A81</f>
        <v>2016 Bridge</v>
      </c>
      <c r="B102" s="180">
        <f>Summary!P15</f>
        <v>20837.76161408551</v>
      </c>
      <c r="C102" s="180">
        <f>Summary!P19</f>
        <v>1776.1691097249281</v>
      </c>
      <c r="D102" s="180">
        <f>Summary!P23</f>
        <v>153.89800099158106</v>
      </c>
      <c r="E102" s="180">
        <f>Summary!P28</f>
        <v>0</v>
      </c>
      <c r="F102" s="180">
        <f>Summary!P33</f>
        <v>6822.798479396517</v>
      </c>
      <c r="G102" s="180">
        <f>Summary!P38</f>
        <v>515.08333333333337</v>
      </c>
      <c r="H102" s="180">
        <f>Summary!P43</f>
        <v>256.66666666666669</v>
      </c>
      <c r="I102" s="181">
        <f t="shared" si="20"/>
        <v>30362.377204198536</v>
      </c>
      <c r="J102" s="165"/>
    </row>
    <row r="103" spans="1:20" ht="12.75" customHeight="1" x14ac:dyDescent="0.2">
      <c r="A103" s="173" t="str">
        <f>A82</f>
        <v>2017 Test</v>
      </c>
      <c r="B103" s="180">
        <f>Summary!Q15</f>
        <v>21042.005722442176</v>
      </c>
      <c r="C103" s="180">
        <f>Summary!Q19</f>
        <v>1783.2832670447278</v>
      </c>
      <c r="D103" s="180">
        <f>Summary!Q23</f>
        <v>149.11602125417429</v>
      </c>
      <c r="E103" s="180">
        <f>Summary!Q28</f>
        <v>0</v>
      </c>
      <c r="F103" s="180">
        <f>Summary!Q33</f>
        <v>6853.1480301488764</v>
      </c>
      <c r="G103" s="180">
        <f>Summary!Q38</f>
        <v>515.08333333333337</v>
      </c>
      <c r="H103" s="180">
        <f>Summary!Q43</f>
        <v>256.66666666666669</v>
      </c>
      <c r="I103" s="181">
        <f t="shared" si="20"/>
        <v>30599.303040889954</v>
      </c>
      <c r="J103" s="165"/>
      <c r="K103" s="165"/>
    </row>
    <row r="104" spans="1:20" x14ac:dyDescent="0.2">
      <c r="A104" s="295" t="s">
        <v>223</v>
      </c>
      <c r="B104" s="295"/>
      <c r="C104" s="295"/>
      <c r="D104" s="295"/>
      <c r="E104" s="295"/>
      <c r="F104" s="295"/>
      <c r="G104" s="295"/>
      <c r="H104" s="295"/>
    </row>
    <row r="105" spans="1:20" x14ac:dyDescent="0.2">
      <c r="A105" s="176">
        <f t="shared" ref="A105:A118" si="21">A31</f>
        <v>2002</v>
      </c>
      <c r="B105" s="182">
        <f t="shared" ref="B105:H115" si="22">B51*1000000/B87</f>
        <v>9008.5822186159094</v>
      </c>
      <c r="C105" s="182">
        <f t="shared" si="22"/>
        <v>28545.064108365586</v>
      </c>
      <c r="D105" s="182">
        <f t="shared" si="22"/>
        <v>921365.4200904977</v>
      </c>
      <c r="E105" s="182">
        <f t="shared" si="22"/>
        <v>48139425.472500004</v>
      </c>
      <c r="F105" s="182">
        <f t="shared" si="22"/>
        <v>714.13794985768311</v>
      </c>
      <c r="G105" s="182">
        <f t="shared" si="22"/>
        <v>795.5875816993464</v>
      </c>
      <c r="H105" s="182">
        <f t="shared" si="22"/>
        <v>4500.9371365149827</v>
      </c>
      <c r="K105" s="165"/>
      <c r="L105" s="165"/>
      <c r="M105" s="165"/>
      <c r="N105" s="165"/>
      <c r="O105" s="165"/>
      <c r="Q105" s="165"/>
      <c r="R105" s="165"/>
      <c r="S105" s="165"/>
      <c r="T105" s="165"/>
    </row>
    <row r="106" spans="1:20" x14ac:dyDescent="0.2">
      <c r="A106" s="176">
        <f t="shared" si="21"/>
        <v>2003</v>
      </c>
      <c r="B106" s="182">
        <f t="shared" si="22"/>
        <v>8613.6664969440826</v>
      </c>
      <c r="C106" s="182">
        <f t="shared" si="22"/>
        <v>27585.458970908374</v>
      </c>
      <c r="D106" s="182">
        <f t="shared" si="22"/>
        <v>630984.26909862144</v>
      </c>
      <c r="E106" s="182">
        <f t="shared" si="22"/>
        <v>42958797.81818182</v>
      </c>
      <c r="F106" s="182">
        <f t="shared" si="22"/>
        <v>719.91095625241962</v>
      </c>
      <c r="G106" s="182">
        <f t="shared" si="22"/>
        <v>1352.846876992415</v>
      </c>
      <c r="H106" s="182">
        <f t="shared" si="22"/>
        <v>5348.6929347429823</v>
      </c>
      <c r="K106" s="165"/>
      <c r="L106" s="165"/>
      <c r="M106" s="165"/>
      <c r="N106" s="165"/>
      <c r="O106" s="165"/>
      <c r="Q106" s="165"/>
      <c r="R106" s="165"/>
      <c r="S106" s="165"/>
      <c r="T106" s="165"/>
    </row>
    <row r="107" spans="1:20" x14ac:dyDescent="0.2">
      <c r="A107" s="176">
        <f t="shared" si="21"/>
        <v>2004</v>
      </c>
      <c r="B107" s="182">
        <f t="shared" si="22"/>
        <v>8552.2741841837342</v>
      </c>
      <c r="C107" s="182">
        <f t="shared" si="22"/>
        <v>29672.070684822978</v>
      </c>
      <c r="D107" s="182">
        <f t="shared" si="22"/>
        <v>673710.4416166282</v>
      </c>
      <c r="E107" s="182">
        <f t="shared" si="22"/>
        <v>43500920.117647059</v>
      </c>
      <c r="F107" s="182">
        <f t="shared" si="22"/>
        <v>721.80689193365617</v>
      </c>
      <c r="G107" s="182">
        <f t="shared" si="22"/>
        <v>1371.8134014436428</v>
      </c>
      <c r="H107" s="182">
        <f t="shared" si="22"/>
        <v>5146.8879024740045</v>
      </c>
      <c r="K107" s="165"/>
      <c r="L107" s="165"/>
      <c r="M107" s="165"/>
      <c r="N107" s="165"/>
      <c r="O107" s="165"/>
      <c r="Q107" s="165"/>
      <c r="R107" s="165"/>
      <c r="S107" s="165"/>
      <c r="T107" s="165"/>
    </row>
    <row r="108" spans="1:20" x14ac:dyDescent="0.2">
      <c r="A108" s="176">
        <f t="shared" si="21"/>
        <v>2005</v>
      </c>
      <c r="B108" s="182">
        <f t="shared" si="22"/>
        <v>9113.0496938784581</v>
      </c>
      <c r="C108" s="182">
        <f t="shared" si="22"/>
        <v>31097.860695909312</v>
      </c>
      <c r="D108" s="182">
        <f t="shared" si="22"/>
        <v>707333.15408653836</v>
      </c>
      <c r="E108" s="182">
        <f t="shared" si="22"/>
        <v>43892175.882352941</v>
      </c>
      <c r="F108" s="182">
        <f t="shared" si="22"/>
        <v>716.81771938345128</v>
      </c>
      <c r="G108" s="182">
        <f t="shared" si="22"/>
        <v>1352.7219749746364</v>
      </c>
      <c r="H108" s="182">
        <f t="shared" si="22"/>
        <v>5126.4452564102576</v>
      </c>
      <c r="K108" s="165"/>
      <c r="L108" s="165"/>
      <c r="M108" s="165"/>
      <c r="N108" s="165"/>
      <c r="O108" s="165"/>
      <c r="Q108" s="165"/>
      <c r="R108" s="165"/>
      <c r="S108" s="165"/>
      <c r="T108" s="165"/>
    </row>
    <row r="109" spans="1:20" x14ac:dyDescent="0.2">
      <c r="A109" s="176">
        <f t="shared" si="21"/>
        <v>2006</v>
      </c>
      <c r="B109" s="182">
        <f t="shared" si="22"/>
        <v>8495.6814341478039</v>
      </c>
      <c r="C109" s="182">
        <f t="shared" si="22"/>
        <v>30181.829280575541</v>
      </c>
      <c r="D109" s="182">
        <f t="shared" si="22"/>
        <v>704885.76877697848</v>
      </c>
      <c r="E109" s="182">
        <f t="shared" si="22"/>
        <v>37292695.333333336</v>
      </c>
      <c r="F109" s="182">
        <f t="shared" si="22"/>
        <v>714.97876558270752</v>
      </c>
      <c r="G109" s="182">
        <f t="shared" si="22"/>
        <v>1380.310915917624</v>
      </c>
      <c r="H109" s="182">
        <f t="shared" si="22"/>
        <v>5187.807839484055</v>
      </c>
      <c r="K109" s="165"/>
      <c r="L109" s="165"/>
      <c r="M109" s="165"/>
      <c r="N109" s="165"/>
      <c r="O109" s="165"/>
      <c r="Q109" s="165"/>
      <c r="R109" s="165"/>
      <c r="S109" s="165"/>
      <c r="T109" s="165"/>
    </row>
    <row r="110" spans="1:20" x14ac:dyDescent="0.2">
      <c r="A110" s="176">
        <f t="shared" si="21"/>
        <v>2007</v>
      </c>
      <c r="B110" s="182">
        <f t="shared" si="22"/>
        <v>8573.1022920413761</v>
      </c>
      <c r="C110" s="182">
        <f t="shared" si="22"/>
        <v>32246.87495321461</v>
      </c>
      <c r="D110" s="182">
        <f t="shared" si="22"/>
        <v>840641.57979399164</v>
      </c>
      <c r="E110" s="182">
        <f t="shared" si="22"/>
        <v>34146528.413793102</v>
      </c>
      <c r="F110" s="182">
        <f t="shared" si="22"/>
        <v>709.68266854924116</v>
      </c>
      <c r="G110" s="182">
        <f t="shared" si="22"/>
        <v>1392.1179841476396</v>
      </c>
      <c r="H110" s="182">
        <f t="shared" si="22"/>
        <v>4938.8325323741001</v>
      </c>
      <c r="K110" s="165"/>
      <c r="L110" s="165"/>
      <c r="M110" s="165"/>
      <c r="N110" s="165"/>
      <c r="O110" s="165"/>
      <c r="Q110" s="165"/>
      <c r="R110" s="165"/>
      <c r="S110" s="165"/>
      <c r="T110" s="165"/>
    </row>
    <row r="111" spans="1:20" x14ac:dyDescent="0.2">
      <c r="A111" s="176">
        <f t="shared" si="21"/>
        <v>2008</v>
      </c>
      <c r="B111" s="182">
        <f t="shared" si="22"/>
        <v>8253.5964288140458</v>
      </c>
      <c r="C111" s="182">
        <f t="shared" si="22"/>
        <v>32854.336865026104</v>
      </c>
      <c r="D111" s="182">
        <f t="shared" si="22"/>
        <v>823340.29395744682</v>
      </c>
      <c r="E111" s="182">
        <f t="shared" si="22"/>
        <v>41072994.399999999</v>
      </c>
      <c r="F111" s="182">
        <f t="shared" si="22"/>
        <v>708.28198433420368</v>
      </c>
      <c r="G111" s="182">
        <f t="shared" si="22"/>
        <v>1378.3097532656025</v>
      </c>
      <c r="H111" s="182">
        <f t="shared" si="22"/>
        <v>4990.4983189655168</v>
      </c>
      <c r="K111" s="165"/>
      <c r="L111" s="165"/>
      <c r="M111" s="165"/>
      <c r="N111" s="165"/>
      <c r="O111" s="165"/>
      <c r="Q111" s="165"/>
      <c r="R111" s="165"/>
      <c r="S111" s="165"/>
      <c r="T111" s="165"/>
    </row>
    <row r="112" spans="1:20" x14ac:dyDescent="0.2">
      <c r="A112" s="176">
        <f t="shared" si="21"/>
        <v>2009</v>
      </c>
      <c r="B112" s="182">
        <f t="shared" si="22"/>
        <v>7907.2396588349729</v>
      </c>
      <c r="C112" s="182">
        <f t="shared" si="22"/>
        <v>32330.850801696084</v>
      </c>
      <c r="D112" s="182">
        <f t="shared" si="22"/>
        <v>792861.85036603233</v>
      </c>
      <c r="E112" s="182">
        <f t="shared" si="22"/>
        <v>19261445.199999999</v>
      </c>
      <c r="F112" s="182">
        <f t="shared" si="22"/>
        <v>699.30922956541178</v>
      </c>
      <c r="G112" s="182">
        <f t="shared" si="22"/>
        <v>1548.8846101029917</v>
      </c>
      <c r="H112" s="182">
        <f t="shared" si="22"/>
        <v>4997.0773535791759</v>
      </c>
      <c r="K112" s="165"/>
      <c r="L112" s="165"/>
      <c r="M112" s="165"/>
      <c r="N112" s="165"/>
      <c r="O112" s="165"/>
      <c r="Q112" s="165"/>
      <c r="R112" s="165"/>
      <c r="S112" s="165"/>
      <c r="T112" s="165"/>
    </row>
    <row r="113" spans="1:22" x14ac:dyDescent="0.2">
      <c r="A113" s="176">
        <f t="shared" si="21"/>
        <v>2010</v>
      </c>
      <c r="B113" s="182">
        <f t="shared" si="22"/>
        <v>8219.1313059362292</v>
      </c>
      <c r="C113" s="182">
        <f t="shared" si="22"/>
        <v>32049.487180599372</v>
      </c>
      <c r="D113" s="182">
        <f t="shared" si="22"/>
        <v>841000.83058027073</v>
      </c>
      <c r="E113" s="182">
        <f t="shared" si="22"/>
        <v>45292056.75</v>
      </c>
      <c r="F113" s="182">
        <f t="shared" si="22"/>
        <v>697.65635976846579</v>
      </c>
      <c r="G113" s="182">
        <f t="shared" si="22"/>
        <v>1338.348662576687</v>
      </c>
      <c r="H113" s="182">
        <f t="shared" si="22"/>
        <v>4964.2530693069311</v>
      </c>
      <c r="K113" s="165"/>
      <c r="L113" s="165"/>
      <c r="M113" s="165"/>
      <c r="N113" s="165"/>
      <c r="O113" s="165"/>
      <c r="Q113" s="165"/>
      <c r="R113" s="165"/>
      <c r="S113" s="165"/>
      <c r="T113" s="165"/>
    </row>
    <row r="114" spans="1:22" x14ac:dyDescent="0.2">
      <c r="A114" s="176">
        <f t="shared" si="21"/>
        <v>2011</v>
      </c>
      <c r="B114" s="182">
        <f t="shared" si="22"/>
        <v>8044.9715042860125</v>
      </c>
      <c r="C114" s="182">
        <f t="shared" si="22"/>
        <v>32195.13847771443</v>
      </c>
      <c r="D114" s="182">
        <f t="shared" si="22"/>
        <v>884750.78766058455</v>
      </c>
      <c r="E114" s="182">
        <f t="shared" si="22"/>
        <v>59993492</v>
      </c>
      <c r="F114" s="182">
        <f t="shared" si="22"/>
        <v>701.93604392343082</v>
      </c>
      <c r="G114" s="182">
        <f t="shared" si="22"/>
        <v>1348.1993027127201</v>
      </c>
      <c r="H114" s="182">
        <f t="shared" si="22"/>
        <v>4961.5125880241167</v>
      </c>
      <c r="K114" s="165"/>
      <c r="L114" s="165"/>
      <c r="M114" s="165"/>
      <c r="N114" s="165"/>
      <c r="O114" s="165"/>
      <c r="Q114" s="165"/>
      <c r="R114" s="165"/>
      <c r="S114" s="165"/>
      <c r="T114" s="165"/>
    </row>
    <row r="115" spans="1:22" x14ac:dyDescent="0.2">
      <c r="A115" s="176">
        <f t="shared" si="21"/>
        <v>2012</v>
      </c>
      <c r="B115" s="182">
        <f t="shared" si="22"/>
        <v>7915.5289534970461</v>
      </c>
      <c r="C115" s="182">
        <f t="shared" si="22"/>
        <v>29444.951437260868</v>
      </c>
      <c r="D115" s="182">
        <f t="shared" si="22"/>
        <v>816397.49681143218</v>
      </c>
      <c r="E115" s="182">
        <f t="shared" si="22"/>
        <v>48424320</v>
      </c>
      <c r="F115" s="182">
        <f t="shared" si="22"/>
        <v>663.68475120385233</v>
      </c>
      <c r="G115" s="182">
        <f t="shared" si="22"/>
        <v>1354.8436206222457</v>
      </c>
      <c r="H115" s="182">
        <f t="shared" si="22"/>
        <v>4917.9364435695261</v>
      </c>
      <c r="K115" s="165"/>
      <c r="L115" s="165"/>
      <c r="M115" s="165"/>
      <c r="N115" s="165"/>
      <c r="O115" s="165"/>
      <c r="Q115" s="165"/>
      <c r="R115" s="165"/>
      <c r="S115" s="165"/>
      <c r="T115" s="165"/>
    </row>
    <row r="116" spans="1:22" x14ac:dyDescent="0.2">
      <c r="A116" s="176">
        <f t="shared" si="21"/>
        <v>2013</v>
      </c>
      <c r="B116" s="182">
        <f t="shared" ref="B116:H118" si="23">B62*1000000/B99</f>
        <v>7832.1605171286528</v>
      </c>
      <c r="C116" s="182">
        <f t="shared" si="23"/>
        <v>31042.99499558434</v>
      </c>
      <c r="D116" s="182">
        <f t="shared" si="23"/>
        <v>800096.27606177609</v>
      </c>
      <c r="E116" s="182">
        <f t="shared" si="23"/>
        <v>44784691</v>
      </c>
      <c r="F116" s="182">
        <f t="shared" si="23"/>
        <v>419.58046393843654</v>
      </c>
      <c r="G116" s="182">
        <f t="shared" si="23"/>
        <v>1349.4011202068075</v>
      </c>
      <c r="H116" s="182">
        <f t="shared" si="23"/>
        <v>4200.6369426751589</v>
      </c>
      <c r="K116" s="165"/>
      <c r="L116" s="165"/>
      <c r="M116" s="165"/>
      <c r="N116" s="165"/>
      <c r="O116" s="165"/>
      <c r="Q116" s="165"/>
      <c r="R116" s="165"/>
      <c r="S116" s="165"/>
      <c r="T116" s="165"/>
    </row>
    <row r="117" spans="1:22" x14ac:dyDescent="0.2">
      <c r="A117" s="176">
        <f t="shared" si="21"/>
        <v>2014</v>
      </c>
      <c r="B117" s="182">
        <f t="shared" si="23"/>
        <v>7726.8349547759963</v>
      </c>
      <c r="C117" s="182">
        <f t="shared" si="23"/>
        <v>30928.378502438558</v>
      </c>
      <c r="D117" s="182">
        <f t="shared" si="23"/>
        <v>871692.90075566759</v>
      </c>
      <c r="E117" s="182">
        <f t="shared" si="23"/>
        <v>20367511</v>
      </c>
      <c r="F117" s="182">
        <f t="shared" si="23"/>
        <v>368.99395666486515</v>
      </c>
      <c r="G117" s="182">
        <f t="shared" si="23"/>
        <v>1477.7508828250402</v>
      </c>
      <c r="H117" s="182">
        <f t="shared" si="23"/>
        <v>3728.5796915167098</v>
      </c>
      <c r="K117" s="165"/>
      <c r="L117" s="165"/>
      <c r="M117" s="165"/>
      <c r="N117" s="165"/>
      <c r="O117" s="165"/>
      <c r="Q117" s="165"/>
      <c r="R117" s="165"/>
      <c r="S117" s="165"/>
      <c r="T117" s="165"/>
    </row>
    <row r="118" spans="1:22" x14ac:dyDescent="0.2">
      <c r="A118" s="176">
        <f t="shared" si="21"/>
        <v>2015</v>
      </c>
      <c r="B118" s="182">
        <f t="shared" si="23"/>
        <v>7655.434518184682</v>
      </c>
      <c r="C118" s="182">
        <f t="shared" si="23"/>
        <v>30700.986763389705</v>
      </c>
      <c r="D118" s="182">
        <f t="shared" si="23"/>
        <v>880148.76390346268</v>
      </c>
      <c r="E118" s="182">
        <f t="shared" si="23"/>
        <v>277079</v>
      </c>
      <c r="F118" s="182">
        <f t="shared" si="23"/>
        <v>336.35023493761582</v>
      </c>
      <c r="G118" s="182">
        <f t="shared" si="23"/>
        <v>1463.7709108558486</v>
      </c>
      <c r="H118" s="182">
        <f t="shared" si="23"/>
        <v>3779.3805194805191</v>
      </c>
      <c r="K118" s="165"/>
      <c r="L118" s="165"/>
      <c r="M118" s="165"/>
      <c r="N118" s="165"/>
      <c r="O118" s="165"/>
      <c r="Q118" s="165"/>
      <c r="R118" s="165"/>
      <c r="S118" s="165"/>
      <c r="T118" s="165"/>
    </row>
    <row r="119" spans="1:22" x14ac:dyDescent="0.2">
      <c r="A119" s="295" t="s">
        <v>224</v>
      </c>
      <c r="B119" s="295"/>
      <c r="C119" s="295"/>
      <c r="D119" s="295"/>
      <c r="E119" s="295"/>
      <c r="F119" s="295"/>
      <c r="G119" s="295"/>
      <c r="H119" s="295"/>
    </row>
    <row r="120" spans="1:22" x14ac:dyDescent="0.2">
      <c r="A120" s="176">
        <f t="shared" ref="A120:A136" si="24">A66</f>
        <v>2002</v>
      </c>
      <c r="B120" s="182">
        <f>B66*1000000/B87</f>
        <v>8792.2913167937058</v>
      </c>
      <c r="C120" s="182">
        <f t="shared" ref="C120:H120" si="25">C66*1000000/C87</f>
        <v>27859.71346064518</v>
      </c>
      <c r="D120" s="182">
        <f t="shared" si="25"/>
        <v>899243.9638187933</v>
      </c>
      <c r="E120" s="182">
        <f t="shared" si="25"/>
        <v>46983625.425836347</v>
      </c>
      <c r="F120" s="182">
        <f t="shared" si="25"/>
        <v>696.99190651237325</v>
      </c>
      <c r="G120" s="182">
        <f t="shared" si="25"/>
        <v>776.48597932192649</v>
      </c>
      <c r="H120" s="182">
        <f t="shared" si="25"/>
        <v>4392.8722125705535</v>
      </c>
      <c r="U120" s="165"/>
      <c r="V120" s="165"/>
    </row>
    <row r="121" spans="1:22" x14ac:dyDescent="0.2">
      <c r="A121" s="176">
        <f t="shared" si="24"/>
        <v>2003</v>
      </c>
      <c r="B121" s="182">
        <f t="shared" ref="B121:B130" si="26">B67*1000000/B88</f>
        <v>8611.8085545926588</v>
      </c>
      <c r="C121" s="182">
        <f t="shared" ref="C121:H121" si="27">C67*1000000/C88</f>
        <v>27579.508869110992</v>
      </c>
      <c r="D121" s="182">
        <f t="shared" si="27"/>
        <v>630848.1676606267</v>
      </c>
      <c r="E121" s="182">
        <f t="shared" si="27"/>
        <v>42949531.732727855</v>
      </c>
      <c r="F121" s="182">
        <f t="shared" si="27"/>
        <v>719.75567359138915</v>
      </c>
      <c r="G121" s="182">
        <f t="shared" si="27"/>
        <v>1352.5550719279113</v>
      </c>
      <c r="H121" s="182">
        <f t="shared" si="27"/>
        <v>5347.5392375187221</v>
      </c>
      <c r="U121" s="165"/>
      <c r="V121" s="165"/>
    </row>
    <row r="122" spans="1:22" x14ac:dyDescent="0.2">
      <c r="A122" s="176">
        <f t="shared" si="24"/>
        <v>2004</v>
      </c>
      <c r="B122" s="182">
        <f t="shared" si="26"/>
        <v>8632.2003215023396</v>
      </c>
      <c r="C122" s="182">
        <f t="shared" ref="C122:H122" si="28">C68*1000000/C89</f>
        <v>29949.374001462242</v>
      </c>
      <c r="D122" s="182">
        <f t="shared" si="28"/>
        <v>680006.67021149851</v>
      </c>
      <c r="E122" s="182">
        <f t="shared" si="28"/>
        <v>43907462.335533224</v>
      </c>
      <c r="F122" s="182">
        <f t="shared" si="28"/>
        <v>728.55261073543363</v>
      </c>
      <c r="G122" s="182">
        <f t="shared" si="28"/>
        <v>1384.6338213621314</v>
      </c>
      <c r="H122" s="182">
        <f t="shared" si="28"/>
        <v>5194.9886602838251</v>
      </c>
      <c r="U122" s="165"/>
      <c r="V122" s="165"/>
    </row>
    <row r="123" spans="1:22" x14ac:dyDescent="0.2">
      <c r="A123" s="176">
        <f t="shared" si="24"/>
        <v>2005</v>
      </c>
      <c r="B123" s="182">
        <f t="shared" si="26"/>
        <v>8796.1148949135222</v>
      </c>
      <c r="C123" s="182">
        <f t="shared" ref="C123:H123" si="29">C69*1000000/C90</f>
        <v>30016.335349403391</v>
      </c>
      <c r="D123" s="182">
        <f t="shared" si="29"/>
        <v>682733.43187255342</v>
      </c>
      <c r="E123" s="182">
        <f t="shared" si="29"/>
        <v>42365688.218321927</v>
      </c>
      <c r="F123" s="182">
        <f t="shared" si="29"/>
        <v>691.88814175370305</v>
      </c>
      <c r="G123" s="182">
        <f t="shared" si="29"/>
        <v>1305.6768384291804</v>
      </c>
      <c r="H123" s="182">
        <f t="shared" si="29"/>
        <v>4948.1570925877195</v>
      </c>
      <c r="U123" s="165"/>
      <c r="V123" s="165"/>
    </row>
    <row r="124" spans="1:22" s="19" customFormat="1" x14ac:dyDescent="0.2">
      <c r="A124" s="176">
        <f t="shared" si="24"/>
        <v>2006</v>
      </c>
      <c r="B124" s="182">
        <f t="shared" si="26"/>
        <v>8490.3421509576438</v>
      </c>
      <c r="C124" s="182">
        <f t="shared" ref="C124:H124" si="30">C70*1000000/C91</f>
        <v>30162.860898230327</v>
      </c>
      <c r="D124" s="182">
        <f t="shared" si="30"/>
        <v>704442.76902876701</v>
      </c>
      <c r="E124" s="182">
        <f t="shared" si="30"/>
        <v>37269257.983092226</v>
      </c>
      <c r="F124" s="182">
        <f t="shared" si="30"/>
        <v>714.52942268608581</v>
      </c>
      <c r="G124" s="182">
        <f t="shared" si="30"/>
        <v>1379.4434315459846</v>
      </c>
      <c r="H124" s="182">
        <f t="shared" si="30"/>
        <v>5184.5474564993774</v>
      </c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65"/>
      <c r="V124" s="165"/>
    </row>
    <row r="125" spans="1:22" s="19" customFormat="1" x14ac:dyDescent="0.2">
      <c r="A125" s="176">
        <f t="shared" si="24"/>
        <v>2007</v>
      </c>
      <c r="B125" s="182">
        <f t="shared" si="26"/>
        <v>8513.5863222620119</v>
      </c>
      <c r="C125" s="182">
        <f t="shared" ref="C125:H125" si="31">C71*1000000/C92</f>
        <v>32023.011529005129</v>
      </c>
      <c r="D125" s="182">
        <f t="shared" si="31"/>
        <v>834805.69948439312</v>
      </c>
      <c r="E125" s="182">
        <f t="shared" si="31"/>
        <v>33909477.264288887</v>
      </c>
      <c r="F125" s="182">
        <f t="shared" si="31"/>
        <v>704.7559278181144</v>
      </c>
      <c r="G125" s="182">
        <f t="shared" si="31"/>
        <v>1382.4536585568021</v>
      </c>
      <c r="H125" s="182">
        <f t="shared" si="31"/>
        <v>4904.5462964551625</v>
      </c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65"/>
      <c r="V125" s="165"/>
    </row>
    <row r="126" spans="1:22" x14ac:dyDescent="0.2">
      <c r="A126" s="176">
        <f t="shared" si="24"/>
        <v>2008</v>
      </c>
      <c r="B126" s="182">
        <f t="shared" si="26"/>
        <v>8347.0005432085745</v>
      </c>
      <c r="C126" s="182">
        <f t="shared" ref="C126:H126" si="32">C72*1000000/C93</f>
        <v>33226.142085376356</v>
      </c>
      <c r="D126" s="182">
        <f t="shared" si="32"/>
        <v>832657.85287442373</v>
      </c>
      <c r="E126" s="182">
        <f t="shared" si="32"/>
        <v>41537808.339056954</v>
      </c>
      <c r="F126" s="182">
        <f t="shared" si="32"/>
        <v>716.29745396116255</v>
      </c>
      <c r="G126" s="182">
        <f t="shared" si="32"/>
        <v>1393.9077780752079</v>
      </c>
      <c r="H126" s="182">
        <f t="shared" si="32"/>
        <v>5046.9746780764426</v>
      </c>
      <c r="U126" s="165"/>
      <c r="V126" s="165"/>
    </row>
    <row r="127" spans="1:22" x14ac:dyDescent="0.2">
      <c r="A127" s="176">
        <f t="shared" si="24"/>
        <v>2009</v>
      </c>
      <c r="B127" s="182">
        <f t="shared" si="26"/>
        <v>8094.2556644896022</v>
      </c>
      <c r="C127" s="182">
        <f t="shared" ref="C127:H127" si="33">C73*1000000/C94</f>
        <v>33095.515442863645</v>
      </c>
      <c r="D127" s="182">
        <f t="shared" si="33"/>
        <v>811614.01454581891</v>
      </c>
      <c r="E127" s="182">
        <f t="shared" si="33"/>
        <v>19717002.221142605</v>
      </c>
      <c r="F127" s="182">
        <f t="shared" si="33"/>
        <v>715.84875846215039</v>
      </c>
      <c r="G127" s="182">
        <f t="shared" si="33"/>
        <v>1585.5176483691</v>
      </c>
      <c r="H127" s="182">
        <f t="shared" si="33"/>
        <v>5115.2644184633673</v>
      </c>
      <c r="U127" s="165"/>
      <c r="V127" s="165"/>
    </row>
    <row r="128" spans="1:22" x14ac:dyDescent="0.2">
      <c r="A128" s="176">
        <f t="shared" si="24"/>
        <v>2010</v>
      </c>
      <c r="B128" s="182">
        <f t="shared" si="26"/>
        <v>8242.4317285847665</v>
      </c>
      <c r="C128" s="182">
        <f t="shared" ref="C128:H128" si="34">C74*1000000/C95</f>
        <v>32140.344300309516</v>
      </c>
      <c r="D128" s="182">
        <f t="shared" si="34"/>
        <v>843384.98458279157</v>
      </c>
      <c r="E128" s="182">
        <f t="shared" si="34"/>
        <v>45420455.24195917</v>
      </c>
      <c r="F128" s="182">
        <f t="shared" si="34"/>
        <v>699.6341464032048</v>
      </c>
      <c r="G128" s="182">
        <f t="shared" si="34"/>
        <v>1342.1427483904299</v>
      </c>
      <c r="H128" s="182">
        <f t="shared" si="34"/>
        <v>4978.3262347478585</v>
      </c>
      <c r="U128" s="165"/>
      <c r="V128" s="165"/>
    </row>
    <row r="129" spans="1:22" x14ac:dyDescent="0.2">
      <c r="A129" s="176">
        <f t="shared" si="24"/>
        <v>2011</v>
      </c>
      <c r="B129" s="182">
        <f t="shared" si="26"/>
        <v>8031.0874474838856</v>
      </c>
      <c r="C129" s="182">
        <f t="shared" ref="C129:H129" si="35">C75*1000000/C96</f>
        <v>32139.575927724192</v>
      </c>
      <c r="D129" s="182">
        <f t="shared" si="35"/>
        <v>883223.87980453297</v>
      </c>
      <c r="E129" s="182">
        <f t="shared" si="35"/>
        <v>59889954.896078356</v>
      </c>
      <c r="F129" s="182">
        <f t="shared" si="35"/>
        <v>700.7246387742515</v>
      </c>
      <c r="G129" s="182">
        <f t="shared" si="35"/>
        <v>1345.8725728182167</v>
      </c>
      <c r="H129" s="182">
        <f t="shared" si="35"/>
        <v>4952.9499818595214</v>
      </c>
      <c r="U129" s="165"/>
      <c r="V129" s="165"/>
    </row>
    <row r="130" spans="1:22" ht="12.75" customHeight="1" x14ac:dyDescent="0.2">
      <c r="A130" s="176">
        <f t="shared" si="24"/>
        <v>2012</v>
      </c>
      <c r="B130" s="182">
        <f t="shared" si="26"/>
        <v>7989.9659742484864</v>
      </c>
      <c r="C130" s="182">
        <f t="shared" ref="C130:H130" si="36">C76*1000000/C97</f>
        <v>29721.849478318782</v>
      </c>
      <c r="D130" s="182">
        <f t="shared" si="36"/>
        <v>824074.8355930344</v>
      </c>
      <c r="E130" s="182">
        <f t="shared" si="36"/>
        <v>48879698.551944025</v>
      </c>
      <c r="F130" s="182">
        <f t="shared" si="36"/>
        <v>669.92599116242161</v>
      </c>
      <c r="G130" s="182">
        <f t="shared" si="36"/>
        <v>1367.5844650175734</v>
      </c>
      <c r="H130" s="182">
        <f t="shared" si="36"/>
        <v>4964.1843366989578</v>
      </c>
      <c r="U130" s="165"/>
      <c r="V130" s="165"/>
    </row>
    <row r="131" spans="1:22" x14ac:dyDescent="0.2">
      <c r="A131" s="176" t="str">
        <f t="shared" si="24"/>
        <v>2013 Board Approved</v>
      </c>
      <c r="B131" s="182">
        <f>B77*1000000/B98</f>
        <v>7956.3263148916312</v>
      </c>
      <c r="C131" s="182">
        <f t="shared" ref="C131:H131" si="37">C77*1000000/C98</f>
        <v>32306.021866577197</v>
      </c>
      <c r="D131" s="182">
        <f t="shared" si="37"/>
        <v>837457.9511766783</v>
      </c>
      <c r="E131" s="182">
        <f t="shared" si="37"/>
        <v>59538700.549472243</v>
      </c>
      <c r="F131" s="182">
        <f t="shared" si="37"/>
        <v>188.6481904992898</v>
      </c>
      <c r="G131" s="182">
        <f t="shared" si="37"/>
        <v>1449.4370619783217</v>
      </c>
      <c r="H131" s="182">
        <f t="shared" si="37"/>
        <v>4930.9363910395286</v>
      </c>
      <c r="U131" s="165"/>
      <c r="V131" s="165"/>
    </row>
    <row r="132" spans="1:22" x14ac:dyDescent="0.2">
      <c r="A132" s="176">
        <f t="shared" si="24"/>
        <v>2013</v>
      </c>
      <c r="B132" s="182">
        <f t="shared" ref="B132:H135" si="38">B78*1000000/B99</f>
        <v>7877.685064509491</v>
      </c>
      <c r="C132" s="182">
        <f t="shared" si="38"/>
        <v>31223.432857324911</v>
      </c>
      <c r="D132" s="182">
        <f t="shared" si="38"/>
        <v>804746.84735039412</v>
      </c>
      <c r="E132" s="182">
        <f t="shared" si="38"/>
        <v>45045002.670439713</v>
      </c>
      <c r="F132" s="182">
        <f t="shared" si="38"/>
        <v>422.0192815123188</v>
      </c>
      <c r="G132" s="182">
        <f t="shared" si="38"/>
        <v>1357.2445339236567</v>
      </c>
      <c r="H132" s="182">
        <f t="shared" si="38"/>
        <v>4225.0532062474267</v>
      </c>
      <c r="U132" s="165"/>
      <c r="V132" s="165"/>
    </row>
    <row r="133" spans="1:22" x14ac:dyDescent="0.2">
      <c r="A133" s="176">
        <f t="shared" si="24"/>
        <v>2014</v>
      </c>
      <c r="B133" s="182">
        <f t="shared" si="38"/>
        <v>7798.4731967975431</v>
      </c>
      <c r="C133" s="182">
        <f t="shared" si="38"/>
        <v>31215.126527659693</v>
      </c>
      <c r="D133" s="182">
        <f t="shared" si="38"/>
        <v>879774.67645791662</v>
      </c>
      <c r="E133" s="182">
        <f t="shared" si="38"/>
        <v>20556345.456919856</v>
      </c>
      <c r="F133" s="182">
        <f t="shared" si="38"/>
        <v>372.41503120919799</v>
      </c>
      <c r="G133" s="182">
        <f t="shared" si="38"/>
        <v>1491.451638181014</v>
      </c>
      <c r="H133" s="182">
        <f t="shared" si="38"/>
        <v>3763.1486833355912</v>
      </c>
      <c r="U133" s="165"/>
      <c r="V133" s="165"/>
    </row>
    <row r="134" spans="1:22" x14ac:dyDescent="0.2">
      <c r="A134" s="176">
        <f t="shared" si="24"/>
        <v>2015</v>
      </c>
      <c r="B134" s="182">
        <f t="shared" si="38"/>
        <v>7716.1128700844283</v>
      </c>
      <c r="C134" s="182">
        <f t="shared" si="38"/>
        <v>30944.32831037484</v>
      </c>
      <c r="D134" s="182">
        <f t="shared" si="38"/>
        <v>887124.98142493737</v>
      </c>
      <c r="E134" s="182">
        <f t="shared" si="38"/>
        <v>279275.17802570103</v>
      </c>
      <c r="F134" s="182">
        <f t="shared" si="38"/>
        <v>339.0162074397158</v>
      </c>
      <c r="G134" s="182">
        <f t="shared" si="38"/>
        <v>1475.3730225607483</v>
      </c>
      <c r="H134" s="182">
        <f t="shared" si="38"/>
        <v>3809.336569732056</v>
      </c>
      <c r="U134" s="165"/>
      <c r="V134" s="165"/>
    </row>
    <row r="135" spans="1:22" ht="12.75" customHeight="1" x14ac:dyDescent="0.2">
      <c r="A135" s="176" t="str">
        <f t="shared" si="24"/>
        <v>2016 Bridge</v>
      </c>
      <c r="B135" s="182">
        <f t="shared" ca="1" si="38"/>
        <v>7940.7394445000755</v>
      </c>
      <c r="C135" s="182">
        <f t="shared" ca="1" si="38"/>
        <v>31835.351408973198</v>
      </c>
      <c r="D135" s="182">
        <f t="shared" ca="1" si="38"/>
        <v>901963.05732023646</v>
      </c>
      <c r="E135" s="182"/>
      <c r="F135" s="182">
        <f t="shared" ca="1" si="38"/>
        <v>214.85582557168857</v>
      </c>
      <c r="G135" s="182">
        <f t="shared" ca="1" si="38"/>
        <v>1463.7709108558486</v>
      </c>
      <c r="H135" s="182">
        <f t="shared" ca="1" si="38"/>
        <v>3728.9238807889456</v>
      </c>
      <c r="U135" s="165"/>
      <c r="V135" s="165"/>
    </row>
    <row r="136" spans="1:22" x14ac:dyDescent="0.2">
      <c r="A136" s="176" t="str">
        <f t="shared" si="24"/>
        <v>2017 Test</v>
      </c>
      <c r="B136" s="182">
        <f ca="1">B82*1000000/B103</f>
        <v>8145.8277739731411</v>
      </c>
      <c r="C136" s="182">
        <f t="shared" ref="C136:H136" ca="1" si="39">C82*1000000/C103</f>
        <v>32623.752976679294</v>
      </c>
      <c r="D136" s="182">
        <f t="shared" ca="1" si="39"/>
        <v>906979.66436617402</v>
      </c>
      <c r="E136" s="182"/>
      <c r="F136" s="182">
        <f t="shared" ca="1" si="39"/>
        <v>187.07709133960563</v>
      </c>
      <c r="G136" s="182">
        <f t="shared" ca="1" si="39"/>
        <v>1463.7709108558486</v>
      </c>
      <c r="H136" s="182">
        <f t="shared" ca="1" si="39"/>
        <v>3679.140863706768</v>
      </c>
      <c r="U136" s="165"/>
      <c r="V136" s="165"/>
    </row>
    <row r="138" spans="1:22" x14ac:dyDescent="0.2">
      <c r="K138" s="51"/>
    </row>
    <row r="139" spans="1:22" x14ac:dyDescent="0.2">
      <c r="K139" s="298" t="s">
        <v>159</v>
      </c>
      <c r="L139" s="298"/>
    </row>
    <row r="140" spans="1:22" x14ac:dyDescent="0.2">
      <c r="K140" s="173" t="s">
        <v>22</v>
      </c>
      <c r="L140" s="186">
        <f>'Purchased Power Model '!O6</f>
        <v>0.89453785803441854</v>
      </c>
    </row>
    <row r="141" spans="1:22" x14ac:dyDescent="0.2">
      <c r="F141" s="187"/>
      <c r="K141" s="173" t="s">
        <v>23</v>
      </c>
      <c r="L141" s="186">
        <f>'Purchased Power Model '!O7</f>
        <v>0.89060759187421057</v>
      </c>
    </row>
    <row r="142" spans="1:22" x14ac:dyDescent="0.2">
      <c r="K142" s="173" t="s">
        <v>132</v>
      </c>
      <c r="L142" s="188">
        <f>'Purchased Power Model '!R13</f>
        <v>227.60236115588572</v>
      </c>
    </row>
    <row r="143" spans="1:22" x14ac:dyDescent="0.2">
      <c r="K143" s="173" t="s">
        <v>225</v>
      </c>
      <c r="L143" s="186">
        <f>'Purchased Power Model '!M171</f>
        <v>3.4182107202231415E-2</v>
      </c>
    </row>
    <row r="144" spans="1:22" x14ac:dyDescent="0.2">
      <c r="K144" s="173" t="s">
        <v>133</v>
      </c>
      <c r="L144" s="188"/>
    </row>
    <row r="145" spans="1:12" x14ac:dyDescent="0.2">
      <c r="K145" s="189" t="str">
        <f>'Purchased Power Model '!N19</f>
        <v>Heating Degree Days</v>
      </c>
      <c r="L145" s="190">
        <f>'Purchased Power Model '!Q19</f>
        <v>12.909053159446424</v>
      </c>
    </row>
    <row r="146" spans="1:12" x14ac:dyDescent="0.2">
      <c r="K146" s="189" t="str">
        <f>'Purchased Power Model '!N20</f>
        <v>Cooling Degree Days</v>
      </c>
      <c r="L146" s="190">
        <f>'Purchased Power Model '!Q20</f>
        <v>14.619270620780812</v>
      </c>
    </row>
    <row r="147" spans="1:12" x14ac:dyDescent="0.2">
      <c r="K147" s="189" t="str">
        <f>'Purchased Power Model '!N21</f>
        <v>Number of Days in Month</v>
      </c>
      <c r="L147" s="190">
        <f>'Purchased Power Model '!Q21</f>
        <v>4.1477173191158618</v>
      </c>
    </row>
    <row r="148" spans="1:12" x14ac:dyDescent="0.2">
      <c r="K148" s="189" t="str">
        <f>'Purchased Power Model '!N22</f>
        <v>CDM Activity</v>
      </c>
      <c r="L148" s="190">
        <f>'Purchased Power Model '!Q22</f>
        <v>-26.314950112592889</v>
      </c>
    </row>
    <row r="149" spans="1:12" x14ac:dyDescent="0.2">
      <c r="K149" s="191" t="str">
        <f>'Purchased Power Model '!N23</f>
        <v>Number of Peak Hours</v>
      </c>
      <c r="L149" s="190">
        <f>'Purchased Power Model '!Q23</f>
        <v>2.7921667744328222</v>
      </c>
    </row>
    <row r="150" spans="1:12" x14ac:dyDescent="0.2">
      <c r="K150" s="191" t="str">
        <f>'Purchased Power Model '!N24</f>
        <v>Spring Fall Flag</v>
      </c>
      <c r="L150" s="190">
        <f>'Purchased Power Model '!Q24</f>
        <v>-2.511722578882043</v>
      </c>
    </row>
    <row r="151" spans="1:12" x14ac:dyDescent="0.2">
      <c r="K151" s="189" t="s">
        <v>226</v>
      </c>
      <c r="L151" s="190">
        <f>'Purchased Power Model '!Q18</f>
        <v>1.2877148824439328</v>
      </c>
    </row>
    <row r="153" spans="1:12" x14ac:dyDescent="0.2">
      <c r="A153" s="192"/>
      <c r="B153" s="193"/>
    </row>
    <row r="154" spans="1:12" x14ac:dyDescent="0.2">
      <c r="A154" s="192"/>
      <c r="B154" s="193"/>
    </row>
    <row r="155" spans="1:12" x14ac:dyDescent="0.2">
      <c r="K155" s="187"/>
    </row>
    <row r="156" spans="1:12" x14ac:dyDescent="0.2">
      <c r="A156" s="298" t="s">
        <v>227</v>
      </c>
      <c r="B156" s="298"/>
      <c r="C156" s="298"/>
      <c r="D156" s="298"/>
      <c r="E156" s="298"/>
      <c r="F156" s="298"/>
      <c r="G156" s="298"/>
      <c r="H156" s="224"/>
      <c r="I156" s="224"/>
      <c r="J156" s="224"/>
      <c r="K156" s="51"/>
    </row>
    <row r="157" spans="1:12" ht="51" x14ac:dyDescent="0.2">
      <c r="A157" s="161" t="s">
        <v>96</v>
      </c>
      <c r="B157" s="162" t="s">
        <v>134</v>
      </c>
      <c r="C157" s="162" t="s">
        <v>135</v>
      </c>
      <c r="D157" s="162" t="s">
        <v>9</v>
      </c>
      <c r="E157" s="162" t="s">
        <v>228</v>
      </c>
      <c r="F157" s="162" t="s">
        <v>229</v>
      </c>
      <c r="G157" s="162" t="s">
        <v>230</v>
      </c>
      <c r="H157" s="256"/>
      <c r="I157" s="256"/>
      <c r="J157" s="256"/>
      <c r="K157" s="51"/>
    </row>
    <row r="158" spans="1:12" x14ac:dyDescent="0.2">
      <c r="A158" s="320" t="s">
        <v>136</v>
      </c>
      <c r="B158" s="321"/>
      <c r="C158" s="321"/>
      <c r="D158" s="321"/>
      <c r="E158" s="321"/>
      <c r="F158" s="321"/>
      <c r="G158" s="322"/>
      <c r="H158" s="224"/>
      <c r="I158" s="224"/>
      <c r="J158" s="224"/>
      <c r="K158" s="51"/>
    </row>
    <row r="159" spans="1:12" x14ac:dyDescent="0.2">
      <c r="A159" s="173">
        <v>2002</v>
      </c>
      <c r="B159" s="169">
        <f>'Purchased Power Model '!B198/1000000</f>
        <v>522.66153999999995</v>
      </c>
      <c r="C159" s="169">
        <f>'Purchased Power Model '!K198/1000000</f>
        <v>512.06600109010435</v>
      </c>
      <c r="D159" s="255"/>
      <c r="E159" s="169">
        <f>'Purchased Power Model '!N198/1000000</f>
        <v>499.77158955224934</v>
      </c>
      <c r="F159" s="195">
        <f t="shared" ref="F159:F174" si="40">E159/C159</f>
        <v>0.97599057248151166</v>
      </c>
      <c r="G159" s="169">
        <f>B159*F159</f>
        <v>510.11273563866848</v>
      </c>
      <c r="H159" s="178"/>
      <c r="I159" s="178"/>
      <c r="J159" s="178"/>
      <c r="K159" s="51"/>
    </row>
    <row r="160" spans="1:12" x14ac:dyDescent="0.2">
      <c r="A160" s="173">
        <v>2003</v>
      </c>
      <c r="B160" s="169">
        <f>'Purchased Power Model '!B199/1000000</f>
        <v>497.11327</v>
      </c>
      <c r="C160" s="169">
        <f>'Purchased Power Model '!K199/1000000</f>
        <v>499.91463007050908</v>
      </c>
      <c r="D160" s="194">
        <f t="shared" ref="D160:D172" si="41">C160/B160-1</f>
        <v>5.6352550607008389E-3</v>
      </c>
      <c r="E160" s="169">
        <f>'Purchased Power Model '!N199/1000000</f>
        <v>499.80679996545064</v>
      </c>
      <c r="F160" s="195">
        <f t="shared" si="40"/>
        <v>0.99978430296180121</v>
      </c>
      <c r="G160" s="169">
        <f t="shared" ref="G160:G172" si="42">B160*F160</f>
        <v>497.00604414001168</v>
      </c>
      <c r="H160" s="178"/>
      <c r="I160" s="178"/>
      <c r="J160" s="178"/>
      <c r="K160" s="51"/>
    </row>
    <row r="161" spans="1:11" x14ac:dyDescent="0.2">
      <c r="A161" s="173">
        <v>2004</v>
      </c>
      <c r="B161" s="169">
        <f>'Purchased Power Model '!B200/1000000</f>
        <v>501.18543</v>
      </c>
      <c r="C161" s="169">
        <f>'Purchased Power Model '!K200/1000000</f>
        <v>496.31590755645681</v>
      </c>
      <c r="D161" s="194">
        <f t="shared" si="41"/>
        <v>-9.7160095885931996E-3</v>
      </c>
      <c r="E161" s="169">
        <f>'Purchased Power Model '!N200/1000000</f>
        <v>500.95427771700741</v>
      </c>
      <c r="F161" s="195">
        <f t="shared" si="40"/>
        <v>1.0093456004329722</v>
      </c>
      <c r="G161" s="169">
        <f t="shared" si="42"/>
        <v>505.86930877160734</v>
      </c>
      <c r="H161" s="178"/>
      <c r="I161" s="178"/>
      <c r="J161" s="178"/>
      <c r="K161" s="51"/>
    </row>
    <row r="162" spans="1:11" x14ac:dyDescent="0.2">
      <c r="A162" s="173">
        <v>2005</v>
      </c>
      <c r="B162" s="169">
        <f>'Purchased Power Model '!B201/1000000</f>
        <v>520.77485999999999</v>
      </c>
      <c r="C162" s="169">
        <f>'Purchased Power Model '!K201/1000000</f>
        <v>517.40461321408191</v>
      </c>
      <c r="D162" s="194">
        <f t="shared" si="41"/>
        <v>-6.4716003877723915E-3</v>
      </c>
      <c r="E162" s="169">
        <f>'Purchased Power Model '!N201/1000000</f>
        <v>499.41024990201873</v>
      </c>
      <c r="F162" s="195">
        <f t="shared" si="40"/>
        <v>0.96522187307089624</v>
      </c>
      <c r="G162" s="169">
        <f t="shared" si="42"/>
        <v>502.66328581743375</v>
      </c>
      <c r="H162" s="178"/>
      <c r="I162" s="178"/>
      <c r="J162" s="178"/>
      <c r="K162" s="51"/>
    </row>
    <row r="163" spans="1:11" x14ac:dyDescent="0.2">
      <c r="A163" s="173">
        <v>2006</v>
      </c>
      <c r="B163" s="169">
        <f>'Purchased Power Model '!B202/1000000</f>
        <v>488.38198999999997</v>
      </c>
      <c r="C163" s="169">
        <f>'Purchased Power Model '!K202/1000000</f>
        <v>493.42879672708477</v>
      </c>
      <c r="D163" s="194">
        <f t="shared" si="41"/>
        <v>1.0333728168568923E-2</v>
      </c>
      <c r="E163" s="169">
        <f>'Purchased Power Model '!N202/1000000</f>
        <v>493.11869139882754</v>
      </c>
      <c r="F163" s="195">
        <f t="shared" si="40"/>
        <v>0.99937152973171783</v>
      </c>
      <c r="G163" s="169">
        <f t="shared" si="42"/>
        <v>488.07505643972047</v>
      </c>
      <c r="H163" s="178"/>
      <c r="I163" s="178"/>
      <c r="J163" s="178"/>
      <c r="K163" s="51"/>
    </row>
    <row r="164" spans="1:11" x14ac:dyDescent="0.2">
      <c r="A164" s="173">
        <v>2007</v>
      </c>
      <c r="B164" s="169">
        <f>'Purchased Power Model '!B203/1000000</f>
        <v>493.92703</v>
      </c>
      <c r="C164" s="169">
        <f>'Purchased Power Model '!K203/1000000</f>
        <v>487.59535862470915</v>
      </c>
      <c r="D164" s="194">
        <f t="shared" si="41"/>
        <v>-1.2819042066377406E-2</v>
      </c>
      <c r="E164" s="169">
        <f>'Purchased Power Model '!N203/1000000</f>
        <v>484.21038669273918</v>
      </c>
      <c r="F164" s="195">
        <f t="shared" si="40"/>
        <v>0.99305782577275248</v>
      </c>
      <c r="G164" s="169">
        <f t="shared" si="42"/>
        <v>490.49810250219309</v>
      </c>
      <c r="H164" s="178"/>
      <c r="I164" s="178"/>
      <c r="J164" s="178"/>
      <c r="K164" s="51"/>
    </row>
    <row r="165" spans="1:11" x14ac:dyDescent="0.2">
      <c r="A165" s="173">
        <v>2008</v>
      </c>
      <c r="B165" s="169">
        <f>'Purchased Power Model '!B204/1000000</f>
        <v>487.06290999999999</v>
      </c>
      <c r="C165" s="169">
        <f>'Purchased Power Model '!K204/1000000</f>
        <v>469.2169989099927</v>
      </c>
      <c r="D165" s="194">
        <f t="shared" si="41"/>
        <v>-3.6639848207713599E-2</v>
      </c>
      <c r="E165" s="169">
        <f>'Purchased Power Model '!N204/1000000</f>
        <v>474.5270232878558</v>
      </c>
      <c r="F165" s="195">
        <f t="shared" si="40"/>
        <v>1.0113167775042218</v>
      </c>
      <c r="G165" s="169">
        <f t="shared" si="42"/>
        <v>492.57489258302877</v>
      </c>
      <c r="H165" s="178"/>
      <c r="I165" s="178"/>
      <c r="J165" s="178"/>
      <c r="K165" s="51"/>
    </row>
    <row r="166" spans="1:11" x14ac:dyDescent="0.2">
      <c r="A166" s="173">
        <v>2009</v>
      </c>
      <c r="B166" s="169">
        <f>'Purchased Power Model '!B205/1000000</f>
        <v>419.61721307692301</v>
      </c>
      <c r="C166" s="169">
        <f>'Purchased Power Model '!K205/1000000</f>
        <v>451.59701400582424</v>
      </c>
      <c r="D166" s="194">
        <f t="shared" si="41"/>
        <v>7.6211842441836986E-2</v>
      </c>
      <c r="E166" s="169">
        <f>'Purchased Power Model '!N205/1000000</f>
        <v>462.27784238195193</v>
      </c>
      <c r="F166" s="195">
        <f t="shared" si="40"/>
        <v>1.0236512378179496</v>
      </c>
      <c r="G166" s="169">
        <f t="shared" si="42"/>
        <v>429.54167957591056</v>
      </c>
      <c r="H166" s="178"/>
      <c r="I166" s="178"/>
      <c r="J166" s="178"/>
      <c r="K166" s="51"/>
    </row>
    <row r="167" spans="1:11" x14ac:dyDescent="0.2">
      <c r="A167" s="173">
        <v>2010</v>
      </c>
      <c r="B167" s="169">
        <f>'Purchased Power Model '!B206/1000000</f>
        <v>443.59462307692291</v>
      </c>
      <c r="C167" s="169">
        <f>'Purchased Power Model '!K206/1000000</f>
        <v>457.70589551661624</v>
      </c>
      <c r="D167" s="194">
        <f t="shared" si="41"/>
        <v>3.1811189102818105E-2</v>
      </c>
      <c r="E167" s="169">
        <f>'Purchased Power Model '!N206/1000000</f>
        <v>459.00344636685782</v>
      </c>
      <c r="F167" s="195">
        <f t="shared" si="40"/>
        <v>1.002834900889308</v>
      </c>
      <c r="G167" s="169">
        <f t="shared" si="42"/>
        <v>444.85216986837594</v>
      </c>
      <c r="H167" s="178"/>
      <c r="I167" s="178"/>
      <c r="J167" s="178"/>
      <c r="K167" s="51"/>
    </row>
    <row r="168" spans="1:11" x14ac:dyDescent="0.2">
      <c r="A168" s="173">
        <v>2011</v>
      </c>
      <c r="B168" s="169">
        <f>'Purchased Power Model '!B207/1000000</f>
        <v>451.22084800000005</v>
      </c>
      <c r="C168" s="169">
        <f>'Purchased Power Model '!K207/1000000</f>
        <v>445.77200481993032</v>
      </c>
      <c r="D168" s="194">
        <f t="shared" si="41"/>
        <v>-1.2075778865762277E-2</v>
      </c>
      <c r="E168" s="169">
        <f>'Purchased Power Model '!N207/1000000</f>
        <v>445.00268900166787</v>
      </c>
      <c r="F168" s="195">
        <f t="shared" si="40"/>
        <v>0.99827419440892617</v>
      </c>
      <c r="G168" s="169">
        <f t="shared" si="42"/>
        <v>450.44212853771256</v>
      </c>
      <c r="H168" s="178"/>
      <c r="I168" s="178"/>
      <c r="J168" s="178"/>
      <c r="K168" s="51"/>
    </row>
    <row r="169" spans="1:11" x14ac:dyDescent="0.2">
      <c r="A169" s="173">
        <v>2012</v>
      </c>
      <c r="B169" s="169">
        <f>'Purchased Power Model '!B208/1000000</f>
        <v>421.67116432258064</v>
      </c>
      <c r="C169" s="169">
        <f>'Purchased Power Model '!K208/1000000</f>
        <v>428.20400391304759</v>
      </c>
      <c r="D169" s="194">
        <f t="shared" si="41"/>
        <v>1.549273496318393E-2</v>
      </c>
      <c r="E169" s="169">
        <f>'Purchased Power Model '!N208/1000000</f>
        <v>432.23080117604593</v>
      </c>
      <c r="F169" s="195">
        <f t="shared" si="40"/>
        <v>1.0094039224906828</v>
      </c>
      <c r="G169" s="169">
        <f t="shared" si="42"/>
        <v>425.63652726842616</v>
      </c>
      <c r="H169" s="178"/>
      <c r="I169" s="178"/>
      <c r="J169" s="178"/>
      <c r="K169" s="51"/>
    </row>
    <row r="170" spans="1:11" x14ac:dyDescent="0.2">
      <c r="A170" s="173">
        <v>2013</v>
      </c>
      <c r="B170" s="169">
        <f>'Purchased Power Model '!B209/1000000</f>
        <v>415.36961600000001</v>
      </c>
      <c r="C170" s="169">
        <f>'Purchased Power Model '!K209/1000000</f>
        <v>407.49364381737865</v>
      </c>
      <c r="D170" s="194">
        <f t="shared" si="41"/>
        <v>-1.8961358460608646E-2</v>
      </c>
      <c r="E170" s="169">
        <f>'Purchased Power Model '!N209/1000000</f>
        <v>409.86220657280035</v>
      </c>
      <c r="F170" s="195">
        <f t="shared" si="40"/>
        <v>1.0058125146032539</v>
      </c>
      <c r="G170" s="169">
        <f t="shared" si="42"/>
        <v>417.78395795874798</v>
      </c>
      <c r="H170" s="178"/>
      <c r="I170" s="178"/>
      <c r="J170" s="178"/>
      <c r="K170" s="51"/>
    </row>
    <row r="171" spans="1:11" x14ac:dyDescent="0.2">
      <c r="A171" s="173">
        <v>2014</v>
      </c>
      <c r="B171" s="169">
        <f>'Purchased Power Model '!B210/1000000</f>
        <v>391.55499700000007</v>
      </c>
      <c r="C171" s="169">
        <f>'Purchased Power Model '!K210/1000000</f>
        <v>383.40525121115166</v>
      </c>
      <c r="D171" s="194">
        <f t="shared" si="41"/>
        <v>-2.0813795894037312E-2</v>
      </c>
      <c r="E171" s="169">
        <f>'Purchased Power Model '!N210/1000000</f>
        <v>386.95993800585518</v>
      </c>
      <c r="F171" s="195">
        <f t="shared" si="40"/>
        <v>1.0092713565697771</v>
      </c>
      <c r="G171" s="169">
        <f t="shared" si="42"/>
        <v>395.18524299386507</v>
      </c>
      <c r="H171" s="178"/>
      <c r="I171" s="178"/>
      <c r="J171" s="178"/>
      <c r="K171" s="51"/>
    </row>
    <row r="172" spans="1:11" x14ac:dyDescent="0.2">
      <c r="A172" s="173">
        <v>2015</v>
      </c>
      <c r="B172" s="169">
        <f>'Purchased Power Model '!B211/1000000</f>
        <v>372.48092999999994</v>
      </c>
      <c r="C172" s="169">
        <f>'Purchased Power Model '!K211/1000000</f>
        <v>376.49630199954197</v>
      </c>
      <c r="D172" s="194">
        <f t="shared" si="41"/>
        <v>1.0780074028332143E-2</v>
      </c>
      <c r="E172" s="169">
        <f>'Purchased Power Model '!N211/1000000</f>
        <v>379.48047945510189</v>
      </c>
      <c r="F172" s="195">
        <f t="shared" si="40"/>
        <v>1.0079261799909087</v>
      </c>
      <c r="G172" s="169">
        <f t="shared" si="42"/>
        <v>375.43328089436102</v>
      </c>
      <c r="H172" s="178"/>
      <c r="I172" s="178"/>
      <c r="J172" s="178"/>
      <c r="K172" s="51"/>
    </row>
    <row r="173" spans="1:11" ht="12.75" customHeight="1" x14ac:dyDescent="0.2">
      <c r="A173" s="173" t="str">
        <f>A135</f>
        <v>2016 Bridge</v>
      </c>
      <c r="B173" s="196"/>
      <c r="C173" s="169">
        <f ca="1">'Purchased Power Model '!K212/1000000</f>
        <v>381.00346021543163</v>
      </c>
      <c r="D173" s="197"/>
      <c r="E173" s="169">
        <f ca="1">'Purchased Power Model '!N212/1000000</f>
        <v>381.00346021543163</v>
      </c>
      <c r="F173" s="195">
        <f t="shared" ca="1" si="40"/>
        <v>1</v>
      </c>
      <c r="G173" s="150"/>
      <c r="H173" s="203"/>
      <c r="I173" s="203"/>
      <c r="J173" s="203"/>
    </row>
    <row r="174" spans="1:11" x14ac:dyDescent="0.2">
      <c r="A174" s="173" t="str">
        <f>A136</f>
        <v>2017 Test</v>
      </c>
      <c r="B174" s="196"/>
      <c r="C174" s="169">
        <f ca="1">'Purchased Power Model '!K213/1000000</f>
        <v>389.34121419716752</v>
      </c>
      <c r="D174" s="197"/>
      <c r="E174" s="169">
        <f ca="1">'Purchased Power Model '!N213/1000000</f>
        <v>389.34121419716752</v>
      </c>
      <c r="F174" s="195">
        <f t="shared" ca="1" si="40"/>
        <v>1</v>
      </c>
      <c r="G174" s="150"/>
      <c r="H174" s="203"/>
      <c r="I174" s="203"/>
      <c r="J174" s="203"/>
      <c r="K174" s="187"/>
    </row>
    <row r="175" spans="1:11" s="51" customFormat="1" x14ac:dyDescent="0.2">
      <c r="A175" s="173" t="s">
        <v>231</v>
      </c>
      <c r="B175" s="196"/>
      <c r="C175" s="169">
        <f ca="1">'Purchased Power Model '!L233/1000000</f>
        <v>386.76539071772493</v>
      </c>
      <c r="D175" s="197"/>
      <c r="E175" s="157"/>
      <c r="F175" s="157"/>
      <c r="G175" s="157"/>
      <c r="H175" s="259"/>
      <c r="I175" s="259"/>
      <c r="J175" s="259"/>
    </row>
    <row r="176" spans="1:11" s="51" customFormat="1" x14ac:dyDescent="0.2">
      <c r="A176" s="173" t="s">
        <v>232</v>
      </c>
      <c r="B176" s="188"/>
      <c r="C176" s="169">
        <f ca="1">'Purchased Power Model '!L247/1000000</f>
        <v>386.6286578463621</v>
      </c>
      <c r="D176" s="194"/>
      <c r="E176" s="157"/>
      <c r="F176" s="157"/>
      <c r="G176" s="157"/>
      <c r="H176"/>
      <c r="I176"/>
      <c r="J176"/>
      <c r="K176"/>
    </row>
    <row r="179" spans="1:12" x14ac:dyDescent="0.2">
      <c r="A179" s="298" t="s">
        <v>161</v>
      </c>
      <c r="B179" s="298"/>
      <c r="C179" s="298"/>
      <c r="D179" s="298"/>
      <c r="E179" s="298"/>
      <c r="F179" s="298"/>
      <c r="G179" s="298"/>
      <c r="H179" s="224"/>
      <c r="I179" s="224"/>
      <c r="J179" s="224"/>
      <c r="L179" s="187"/>
    </row>
    <row r="180" spans="1:12" ht="51" x14ac:dyDescent="0.2">
      <c r="A180" s="161" t="s">
        <v>96</v>
      </c>
      <c r="B180" s="172" t="str">
        <f>B86</f>
        <v xml:space="preserve">Residential </v>
      </c>
      <c r="C180" s="172" t="str">
        <f>C86</f>
        <v>General Service 
&lt; 50 kW</v>
      </c>
      <c r="D180" s="172" t="str">
        <f>D86</f>
        <v>General Service 
50 to 
4,999 kW</v>
      </c>
      <c r="E180" s="172" t="str">
        <f>E86</f>
        <v>Large User</v>
      </c>
      <c r="F180" s="172" t="str">
        <f t="shared" ref="F180:H180" si="43">F86</f>
        <v xml:space="preserve">Street Lights </v>
      </c>
      <c r="G180" s="172" t="str">
        <f t="shared" si="43"/>
        <v>Sentinel Lights</v>
      </c>
      <c r="H180" s="172" t="str">
        <f t="shared" si="43"/>
        <v xml:space="preserve">Unmetered Scattered Loads </v>
      </c>
      <c r="I180" s="172" t="str">
        <f>I86</f>
        <v>Total</v>
      </c>
      <c r="J180" s="205"/>
    </row>
    <row r="181" spans="1:12" x14ac:dyDescent="0.2">
      <c r="A181" s="295" t="s">
        <v>131</v>
      </c>
      <c r="B181" s="295"/>
      <c r="C181" s="295"/>
      <c r="D181" s="295"/>
      <c r="E181" s="295"/>
      <c r="F181" s="295"/>
      <c r="G181" s="295"/>
      <c r="H181" s="295"/>
      <c r="I181" s="295"/>
      <c r="J181" s="224"/>
    </row>
    <row r="182" spans="1:12" x14ac:dyDescent="0.2">
      <c r="A182" s="212">
        <f>A31</f>
        <v>2002</v>
      </c>
      <c r="B182" s="198">
        <f>'Rate Class Customer Model'!B3</f>
        <v>18178</v>
      </c>
      <c r="C182" s="198">
        <f>'Rate Class Customer Model'!C3</f>
        <v>1679.5</v>
      </c>
      <c r="D182" s="198">
        <f>'Rate Class Customer Model'!D3</f>
        <v>239.41666666666666</v>
      </c>
      <c r="E182" s="198">
        <f>'Rate Class Customer Model'!E3</f>
        <v>1.3333333333333333</v>
      </c>
      <c r="F182" s="198">
        <f>'Rate Class Customer Model'!F3</f>
        <v>6411.75</v>
      </c>
      <c r="G182" s="198">
        <f>'Rate Class Customer Model'!G3</f>
        <v>765</v>
      </c>
      <c r="H182" s="198">
        <f>'Rate Class Customer Model'!H3</f>
        <v>225.25</v>
      </c>
      <c r="I182" s="198">
        <f>SUM(B182:H182)</f>
        <v>27500.25</v>
      </c>
      <c r="J182" s="200"/>
      <c r="L182" s="165"/>
    </row>
    <row r="183" spans="1:12" x14ac:dyDescent="0.2">
      <c r="A183" s="173">
        <f t="shared" ref="A183:A195" si="44">A32</f>
        <v>2003</v>
      </c>
      <c r="B183" s="198">
        <f>'Rate Class Customer Model'!B4</f>
        <v>18297.833333333332</v>
      </c>
      <c r="C183" s="198">
        <f>'Rate Class Customer Model'!C4</f>
        <v>1684.3333333333333</v>
      </c>
      <c r="D183" s="198">
        <f>'Rate Class Customer Model'!D4</f>
        <v>235.75</v>
      </c>
      <c r="E183" s="198">
        <f>'Rate Class Customer Model'!E4</f>
        <v>2.75</v>
      </c>
      <c r="F183" s="198">
        <f>'Rate Class Customer Model'!F4</f>
        <v>6457.5</v>
      </c>
      <c r="G183" s="198">
        <f>'Rate Class Customer Model'!G4</f>
        <v>758.08333333333337</v>
      </c>
      <c r="H183" s="198">
        <f>'Rate Class Customer Model'!H4</f>
        <v>228.58333333333334</v>
      </c>
      <c r="I183" s="198">
        <f t="shared" ref="I183:I195" si="45">SUM(B183:H183)</f>
        <v>27664.833333333328</v>
      </c>
      <c r="J183" s="200"/>
    </row>
    <row r="184" spans="1:12" x14ac:dyDescent="0.2">
      <c r="A184" s="173">
        <f t="shared" si="44"/>
        <v>2004</v>
      </c>
      <c r="B184" s="198">
        <f>'Rate Class Customer Model'!B5</f>
        <v>18497.833333333332</v>
      </c>
      <c r="C184" s="198">
        <f>'Rate Class Customer Model'!C5</f>
        <v>1682.9166666666667</v>
      </c>
      <c r="D184" s="198">
        <f>'Rate Class Customer Model'!D5</f>
        <v>216.5</v>
      </c>
      <c r="E184" s="198">
        <f>'Rate Class Customer Model'!E5</f>
        <v>2.8333333333333335</v>
      </c>
      <c r="F184" s="198">
        <f>'Rate Class Customer Model'!F5</f>
        <v>6471.333333333333</v>
      </c>
      <c r="G184" s="198">
        <f>'Rate Class Customer Model'!G5</f>
        <v>750.41666666666663</v>
      </c>
      <c r="H184" s="198">
        <f>'Rate Class Customer Model'!H5</f>
        <v>232.41666666666666</v>
      </c>
      <c r="I184" s="198">
        <f t="shared" si="45"/>
        <v>27854.25</v>
      </c>
      <c r="J184" s="200"/>
    </row>
    <row r="185" spans="1:12" x14ac:dyDescent="0.2">
      <c r="A185" s="173">
        <f t="shared" si="44"/>
        <v>2005</v>
      </c>
      <c r="B185" s="198">
        <f>'Rate Class Customer Model'!B6</f>
        <v>18756.166666666668</v>
      </c>
      <c r="C185" s="198">
        <f>'Rate Class Customer Model'!C6</f>
        <v>1690.8333333333333</v>
      </c>
      <c r="D185" s="198">
        <f>'Rate Class Customer Model'!D6</f>
        <v>208</v>
      </c>
      <c r="E185" s="198">
        <f>'Rate Class Customer Model'!E6</f>
        <v>2.8333333333333335</v>
      </c>
      <c r="F185" s="198">
        <f>'Rate Class Customer Model'!F6</f>
        <v>6520.166666666667</v>
      </c>
      <c r="G185" s="198">
        <f>'Rate Class Customer Model'!G6</f>
        <v>739.25</v>
      </c>
      <c r="H185" s="198">
        <f>'Rate Class Customer Model'!H6</f>
        <v>234</v>
      </c>
      <c r="I185" s="198">
        <f t="shared" si="45"/>
        <v>28151.25</v>
      </c>
      <c r="J185" s="200"/>
    </row>
    <row r="186" spans="1:12" x14ac:dyDescent="0.2">
      <c r="A186" s="173">
        <f t="shared" si="44"/>
        <v>2006</v>
      </c>
      <c r="B186" s="198">
        <f>'Rate Class Customer Model'!B7</f>
        <v>18914.833333333332</v>
      </c>
      <c r="C186" s="198">
        <f>'Rate Class Customer Model'!C7</f>
        <v>1668</v>
      </c>
      <c r="D186" s="198">
        <f>'Rate Class Customer Model'!D7</f>
        <v>208.5</v>
      </c>
      <c r="E186" s="198">
        <f>'Rate Class Customer Model'!E7</f>
        <v>3</v>
      </c>
      <c r="F186" s="198">
        <f>'Rate Class Customer Model'!F7</f>
        <v>6557.75</v>
      </c>
      <c r="G186" s="198">
        <f>'Rate Class Customer Model'!G7</f>
        <v>732.41666666666663</v>
      </c>
      <c r="H186" s="198">
        <f>'Rate Class Customer Model'!H7</f>
        <v>232.58333333333334</v>
      </c>
      <c r="I186" s="198">
        <f t="shared" si="45"/>
        <v>28317.083333333332</v>
      </c>
      <c r="J186" s="200"/>
    </row>
    <row r="187" spans="1:12" x14ac:dyDescent="0.2">
      <c r="A187" s="173">
        <f t="shared" si="44"/>
        <v>2007</v>
      </c>
      <c r="B187" s="198">
        <f>'Rate Class Customer Model'!B8</f>
        <v>18996.166666666668</v>
      </c>
      <c r="C187" s="198">
        <f>'Rate Class Customer Model'!C8</f>
        <v>1656.5</v>
      </c>
      <c r="D187" s="198">
        <f>'Rate Class Customer Model'!D8</f>
        <v>194.16666666666666</v>
      </c>
      <c r="E187" s="198">
        <f>'Rate Class Customer Model'!E8</f>
        <v>2.4166666666666665</v>
      </c>
      <c r="F187" s="198">
        <f>'Rate Class Customer Model'!F8</f>
        <v>6610.333333333333</v>
      </c>
      <c r="G187" s="198">
        <f>'Rate Class Customer Model'!G8</f>
        <v>704.41666666666663</v>
      </c>
      <c r="H187" s="198">
        <f>'Rate Class Customer Model'!H8</f>
        <v>231.66666666666666</v>
      </c>
      <c r="I187" s="198">
        <f t="shared" si="45"/>
        <v>28395.666666666672</v>
      </c>
      <c r="J187" s="200"/>
    </row>
    <row r="188" spans="1:12" x14ac:dyDescent="0.2">
      <c r="A188" s="173">
        <f t="shared" si="44"/>
        <v>2008</v>
      </c>
      <c r="B188" s="198">
        <f>'Rate Class Customer Model'!B9</f>
        <v>19136.5</v>
      </c>
      <c r="C188" s="198">
        <f>'Rate Class Customer Model'!C9</f>
        <v>1676.25</v>
      </c>
      <c r="D188" s="198">
        <f>'Rate Class Customer Model'!D9</f>
        <v>176.25</v>
      </c>
      <c r="E188" s="198">
        <f>'Rate Class Customer Model'!E9</f>
        <v>2.5</v>
      </c>
      <c r="F188" s="198">
        <f>'Rate Class Customer Model'!F9</f>
        <v>6670.583333333333</v>
      </c>
      <c r="G188" s="198">
        <f>'Rate Class Customer Model'!G9</f>
        <v>689</v>
      </c>
      <c r="H188" s="198">
        <f>'Rate Class Customer Model'!H9</f>
        <v>232</v>
      </c>
      <c r="I188" s="198">
        <f t="shared" si="45"/>
        <v>28583.083333333332</v>
      </c>
      <c r="J188" s="200"/>
    </row>
    <row r="189" spans="1:12" x14ac:dyDescent="0.2">
      <c r="A189" s="173">
        <f t="shared" si="44"/>
        <v>2009</v>
      </c>
      <c r="B189" s="198">
        <f>'Rate Class Customer Model'!B10</f>
        <v>19277.083333333332</v>
      </c>
      <c r="C189" s="198">
        <f>'Rate Class Customer Model'!C10</f>
        <v>1690.1666666666667</v>
      </c>
      <c r="D189" s="198">
        <f>'Rate Class Customer Model'!D10</f>
        <v>170.75</v>
      </c>
      <c r="E189" s="198">
        <f>'Rate Class Customer Model'!E10</f>
        <v>2.5</v>
      </c>
      <c r="F189" s="198">
        <f>'Rate Class Customer Model'!F10</f>
        <v>6709.416666666667</v>
      </c>
      <c r="G189" s="198">
        <f>'Rate Class Customer Model'!G10</f>
        <v>679.66666666666663</v>
      </c>
      <c r="H189" s="198">
        <f>'Rate Class Customer Model'!H10</f>
        <v>230.5</v>
      </c>
      <c r="I189" s="198">
        <f t="shared" si="45"/>
        <v>28760.083333333336</v>
      </c>
      <c r="J189" s="200"/>
    </row>
    <row r="190" spans="1:12" x14ac:dyDescent="0.2">
      <c r="A190" s="173">
        <f t="shared" si="44"/>
        <v>2010</v>
      </c>
      <c r="B190" s="198">
        <f>'Rate Class Customer Model'!B11</f>
        <v>19434.333333333332</v>
      </c>
      <c r="C190" s="198">
        <f>'Rate Class Customer Model'!C11</f>
        <v>1690.6666666666667</v>
      </c>
      <c r="D190" s="198">
        <f>'Rate Class Customer Model'!D11</f>
        <v>172.33333333333334</v>
      </c>
      <c r="E190" s="198">
        <f>'Rate Class Customer Model'!E11</f>
        <v>1.3333333333333333</v>
      </c>
      <c r="F190" s="198">
        <f>'Rate Class Customer Model'!F11</f>
        <v>6737.666666666667</v>
      </c>
      <c r="G190" s="198">
        <f>'Rate Class Customer Model'!G11</f>
        <v>679.16666666666663</v>
      </c>
      <c r="H190" s="198">
        <f>'Rate Class Customer Model'!H11</f>
        <v>227.25</v>
      </c>
      <c r="I190" s="198">
        <f t="shared" si="45"/>
        <v>28942.75</v>
      </c>
      <c r="J190" s="200"/>
    </row>
    <row r="191" spans="1:12" x14ac:dyDescent="0.2">
      <c r="A191" s="173">
        <f t="shared" si="44"/>
        <v>2011</v>
      </c>
      <c r="B191" s="198">
        <f>'Rate Class Customer Model'!B12</f>
        <v>19716.902777777785</v>
      </c>
      <c r="C191" s="198">
        <f>'Rate Class Customer Model'!C12</f>
        <v>1690.8055555555559</v>
      </c>
      <c r="D191" s="198">
        <f>'Rate Class Customer Model'!D12</f>
        <v>169.73611111111106</v>
      </c>
      <c r="E191" s="198">
        <f>'Rate Class Customer Model'!E12</f>
        <v>1</v>
      </c>
      <c r="F191" s="198">
        <f>'Rate Class Customer Model'!F12</f>
        <v>6739</v>
      </c>
      <c r="G191" s="198">
        <f>'Rate Class Customer Model'!G12</f>
        <v>663.28472222222206</v>
      </c>
      <c r="H191" s="198">
        <f>'Rate Class Customer Model'!H12</f>
        <v>226.32291666666671</v>
      </c>
      <c r="I191" s="198">
        <f t="shared" si="45"/>
        <v>29207.052083333339</v>
      </c>
      <c r="J191" s="200"/>
    </row>
    <row r="192" spans="1:12" x14ac:dyDescent="0.2">
      <c r="A192" s="173">
        <f t="shared" si="44"/>
        <v>2012</v>
      </c>
      <c r="B192" s="198">
        <f>'Rate Class Customer Model'!B13</f>
        <v>20109.833333333332</v>
      </c>
      <c r="C192" s="198">
        <f>'Rate Class Customer Model'!C13</f>
        <v>1698.8333333333333</v>
      </c>
      <c r="D192" s="198">
        <f>'Rate Class Customer Model'!D13</f>
        <v>173.25</v>
      </c>
      <c r="E192" s="198">
        <f>'Rate Class Customer Model'!E13</f>
        <v>1</v>
      </c>
      <c r="F192" s="198">
        <f>'Rate Class Customer Model'!F13</f>
        <v>6749.166666666667</v>
      </c>
      <c r="G192" s="198">
        <f>'Rate Class Customer Model'!G13</f>
        <v>626.84577546296293</v>
      </c>
      <c r="H192" s="198">
        <f>'Rate Class Customer Model'!H13</f>
        <v>220.70008680555566</v>
      </c>
      <c r="I192" s="198">
        <f t="shared" si="45"/>
        <v>29579.62919560185</v>
      </c>
      <c r="J192" s="200"/>
    </row>
    <row r="193" spans="1:13" x14ac:dyDescent="0.2">
      <c r="A193" s="173">
        <f t="shared" si="44"/>
        <v>2013</v>
      </c>
      <c r="B193" s="198">
        <f>'Rate Class Customer Model'!B14</f>
        <v>20265.75</v>
      </c>
      <c r="C193" s="198">
        <f>'Rate Class Customer Model'!C14</f>
        <v>1698.5</v>
      </c>
      <c r="D193" s="198">
        <f>'Rate Class Customer Model'!D14</f>
        <v>172.66666666666666</v>
      </c>
      <c r="E193" s="198">
        <f>'Rate Class Customer Model'!E14</f>
        <v>1</v>
      </c>
      <c r="F193" s="198">
        <f>'Rate Class Customer Model'!F14</f>
        <v>6778.916666666667</v>
      </c>
      <c r="G193" s="198">
        <f>'Rate Class Customer Model'!G14</f>
        <v>580.25</v>
      </c>
      <c r="H193" s="198">
        <f>'Rate Class Customer Model'!H14</f>
        <v>235.5</v>
      </c>
      <c r="I193" s="198">
        <f t="shared" si="45"/>
        <v>29732.583333333336</v>
      </c>
      <c r="J193" s="200"/>
    </row>
    <row r="194" spans="1:13" x14ac:dyDescent="0.2">
      <c r="A194" s="173">
        <f t="shared" si="44"/>
        <v>2014</v>
      </c>
      <c r="B194" s="198">
        <f>'Rate Class Customer Model'!B15</f>
        <v>20472.166666666668</v>
      </c>
      <c r="C194" s="198">
        <f>'Rate Class Customer Model'!C15</f>
        <v>1742.8333333333333</v>
      </c>
      <c r="D194" s="198">
        <f>'Rate Class Customer Model'!D15</f>
        <v>165.41666666666666</v>
      </c>
      <c r="E194" s="198">
        <f>'Rate Class Customer Model'!E15</f>
        <v>1</v>
      </c>
      <c r="F194" s="198">
        <f>'Rate Class Customer Model'!F15</f>
        <v>6784.333333333333</v>
      </c>
      <c r="G194" s="198">
        <f>'Rate Class Customer Model'!G15</f>
        <v>519.16666666666663</v>
      </c>
      <c r="H194" s="198">
        <f>'Rate Class Customer Model'!H15</f>
        <v>259.33333333333331</v>
      </c>
      <c r="I194" s="198">
        <f t="shared" si="45"/>
        <v>29944.25</v>
      </c>
      <c r="J194" s="200"/>
    </row>
    <row r="195" spans="1:13" x14ac:dyDescent="0.2">
      <c r="A195" s="173">
        <f t="shared" si="44"/>
        <v>2015</v>
      </c>
      <c r="B195" s="198">
        <f>'Rate Class Customer Model'!B16</f>
        <v>20635.5</v>
      </c>
      <c r="C195" s="198">
        <f>'Rate Class Customer Model'!C16</f>
        <v>1769.0833333333333</v>
      </c>
      <c r="D195" s="198">
        <f>'Rate Class Customer Model'!D16</f>
        <v>158.83333333333334</v>
      </c>
      <c r="E195" s="198">
        <f>'Rate Class Customer Model'!E16</f>
        <v>1</v>
      </c>
      <c r="F195" s="198">
        <f>'Rate Class Customer Model'!F16</f>
        <v>6792.583333333333</v>
      </c>
      <c r="G195" s="198">
        <f>'Rate Class Customer Model'!G16</f>
        <v>515.08333333333337</v>
      </c>
      <c r="H195" s="198">
        <f>'Rate Class Customer Model'!H16</f>
        <v>256.66666666666669</v>
      </c>
      <c r="I195" s="198">
        <f t="shared" si="45"/>
        <v>30128.749999999996</v>
      </c>
      <c r="J195" s="200"/>
    </row>
    <row r="197" spans="1:13" x14ac:dyDescent="0.2">
      <c r="A197" s="318" t="s">
        <v>162</v>
      </c>
      <c r="B197" s="319"/>
      <c r="C197" s="319"/>
      <c r="D197" s="319"/>
      <c r="E197" s="319"/>
      <c r="F197" s="319"/>
      <c r="K197" s="51"/>
    </row>
    <row r="198" spans="1:13" ht="51" x14ac:dyDescent="0.2">
      <c r="A198" s="201" t="s">
        <v>96</v>
      </c>
      <c r="B198" s="172" t="str">
        <f>B180</f>
        <v xml:space="preserve">Residential </v>
      </c>
      <c r="C198" s="172" t="str">
        <f t="shared" ref="C198:H198" si="46">C180</f>
        <v>General Service 
&lt; 50 kW</v>
      </c>
      <c r="D198" s="172" t="str">
        <f t="shared" si="46"/>
        <v>General Service 
50 to 
4,999 kW</v>
      </c>
      <c r="E198" s="172" t="str">
        <f t="shared" si="46"/>
        <v>Large User</v>
      </c>
      <c r="F198" s="172" t="str">
        <f t="shared" si="46"/>
        <v xml:space="preserve">Street Lights </v>
      </c>
      <c r="G198" s="172" t="str">
        <f t="shared" si="46"/>
        <v>Sentinel Lights</v>
      </c>
      <c r="H198" s="172" t="str">
        <f t="shared" si="46"/>
        <v xml:space="preserve">Unmetered Scattered Loads </v>
      </c>
      <c r="K198" s="187"/>
    </row>
    <row r="199" spans="1:13" x14ac:dyDescent="0.2">
      <c r="A199" s="295" t="s">
        <v>137</v>
      </c>
      <c r="B199" s="295"/>
      <c r="C199" s="295"/>
      <c r="D199" s="295"/>
      <c r="E199" s="295"/>
      <c r="F199" s="295"/>
      <c r="G199" s="295"/>
      <c r="H199" s="295"/>
    </row>
    <row r="200" spans="1:13" x14ac:dyDescent="0.2">
      <c r="A200" s="173">
        <f t="shared" ref="A200:A213" si="47">A182</f>
        <v>2002</v>
      </c>
      <c r="B200" s="202"/>
      <c r="C200" s="202"/>
      <c r="D200" s="202"/>
      <c r="E200" s="202"/>
      <c r="F200" s="202"/>
      <c r="G200" s="202"/>
      <c r="H200" s="202"/>
    </row>
    <row r="201" spans="1:13" x14ac:dyDescent="0.2">
      <c r="A201" s="173">
        <f t="shared" si="47"/>
        <v>2003</v>
      </c>
      <c r="B201" s="202">
        <f>B183/B182-1</f>
        <v>6.5922176990500514E-3</v>
      </c>
      <c r="C201" s="202">
        <f t="shared" ref="C201:H201" si="48">C183/C182-1</f>
        <v>2.8778406271707802E-3</v>
      </c>
      <c r="D201" s="202">
        <f t="shared" si="48"/>
        <v>-1.5315001740341061E-2</v>
      </c>
      <c r="E201" s="202">
        <f t="shared" si="48"/>
        <v>1.0625</v>
      </c>
      <c r="F201" s="202">
        <f t="shared" si="48"/>
        <v>7.1353374663702951E-3</v>
      </c>
      <c r="G201" s="202">
        <f t="shared" si="48"/>
        <v>-9.0413943355119875E-3</v>
      </c>
      <c r="H201" s="202">
        <f t="shared" si="48"/>
        <v>1.4798372179060326E-2</v>
      </c>
    </row>
    <row r="202" spans="1:13" x14ac:dyDescent="0.2">
      <c r="A202" s="173">
        <f t="shared" si="47"/>
        <v>2004</v>
      </c>
      <c r="B202" s="202">
        <f t="shared" ref="B202:H213" si="49">B184/B183-1</f>
        <v>1.093025585907248E-2</v>
      </c>
      <c r="C202" s="202">
        <f t="shared" si="49"/>
        <v>-8.4108450425479653E-4</v>
      </c>
      <c r="D202" s="202">
        <f t="shared" si="49"/>
        <v>-8.1654294803817584E-2</v>
      </c>
      <c r="E202" s="202">
        <f t="shared" si="49"/>
        <v>3.0303030303030276E-2</v>
      </c>
      <c r="F202" s="202">
        <f t="shared" si="49"/>
        <v>2.1422118983094318E-3</v>
      </c>
      <c r="G202" s="202">
        <f t="shared" si="49"/>
        <v>-1.0113224139826404E-2</v>
      </c>
      <c r="H202" s="202">
        <f t="shared" si="49"/>
        <v>1.6769959897921849E-2</v>
      </c>
    </row>
    <row r="203" spans="1:13" x14ac:dyDescent="0.2">
      <c r="A203" s="173">
        <f t="shared" si="47"/>
        <v>2005</v>
      </c>
      <c r="B203" s="202">
        <f t="shared" si="49"/>
        <v>1.3965599574725207E-2</v>
      </c>
      <c r="C203" s="202">
        <f t="shared" si="49"/>
        <v>4.7041346868035294E-3</v>
      </c>
      <c r="D203" s="202">
        <f t="shared" si="49"/>
        <v>-3.9260969976905313E-2</v>
      </c>
      <c r="E203" s="202">
        <f t="shared" si="49"/>
        <v>0</v>
      </c>
      <c r="F203" s="202">
        <f t="shared" si="49"/>
        <v>7.5461007520347678E-3</v>
      </c>
      <c r="G203" s="202">
        <f t="shared" si="49"/>
        <v>-1.4880621876735112E-2</v>
      </c>
      <c r="H203" s="202">
        <f t="shared" si="49"/>
        <v>6.8124775905342716E-3</v>
      </c>
      <c r="M203" s="203"/>
    </row>
    <row r="204" spans="1:13" x14ac:dyDescent="0.2">
      <c r="A204" s="173">
        <f t="shared" si="47"/>
        <v>2006</v>
      </c>
      <c r="B204" s="202">
        <f t="shared" si="49"/>
        <v>8.459440006397756E-3</v>
      </c>
      <c r="C204" s="202">
        <f t="shared" si="49"/>
        <v>-1.3504189255790999E-2</v>
      </c>
      <c r="D204" s="202">
        <f t="shared" si="49"/>
        <v>2.4038461538462563E-3</v>
      </c>
      <c r="E204" s="202">
        <f t="shared" si="49"/>
        <v>5.8823529411764719E-2</v>
      </c>
      <c r="F204" s="202">
        <f t="shared" si="49"/>
        <v>5.7641675826280991E-3</v>
      </c>
      <c r="G204" s="202">
        <f t="shared" si="49"/>
        <v>-9.2436027505354845E-3</v>
      </c>
      <c r="H204" s="202">
        <f t="shared" si="49"/>
        <v>-6.0541310541309956E-3</v>
      </c>
    </row>
    <row r="205" spans="1:13" x14ac:dyDescent="0.2">
      <c r="A205" s="173">
        <f t="shared" si="47"/>
        <v>2007</v>
      </c>
      <c r="B205" s="202">
        <f t="shared" si="49"/>
        <v>4.2999762091482374E-3</v>
      </c>
      <c r="C205" s="202">
        <f t="shared" si="49"/>
        <v>-6.8944844124699811E-3</v>
      </c>
      <c r="D205" s="202">
        <f t="shared" si="49"/>
        <v>-6.8745003996802612E-2</v>
      </c>
      <c r="E205" s="202">
        <f t="shared" si="49"/>
        <v>-0.19444444444444453</v>
      </c>
      <c r="F205" s="202">
        <f t="shared" si="49"/>
        <v>8.0185022810159712E-3</v>
      </c>
      <c r="G205" s="202">
        <f t="shared" si="49"/>
        <v>-3.8229605188303539E-2</v>
      </c>
      <c r="H205" s="202">
        <f t="shared" si="49"/>
        <v>-3.9412396990327059E-3</v>
      </c>
    </row>
    <row r="206" spans="1:13" x14ac:dyDescent="0.2">
      <c r="A206" s="173">
        <f t="shared" si="47"/>
        <v>2008</v>
      </c>
      <c r="B206" s="202">
        <f t="shared" si="49"/>
        <v>7.3874553638013651E-3</v>
      </c>
      <c r="C206" s="202">
        <f t="shared" si="49"/>
        <v>1.1922728644732761E-2</v>
      </c>
      <c r="D206" s="202">
        <f t="shared" si="49"/>
        <v>-9.227467811158796E-2</v>
      </c>
      <c r="E206" s="202">
        <f t="shared" si="49"/>
        <v>3.4482758620689724E-2</v>
      </c>
      <c r="F206" s="202">
        <f t="shared" si="49"/>
        <v>9.1145176743483436E-3</v>
      </c>
      <c r="G206" s="202">
        <f t="shared" si="49"/>
        <v>-2.1885721045782458E-2</v>
      </c>
      <c r="H206" s="202">
        <f t="shared" si="49"/>
        <v>1.4388489208634336E-3</v>
      </c>
    </row>
    <row r="207" spans="1:13" x14ac:dyDescent="0.2">
      <c r="A207" s="173">
        <f t="shared" si="47"/>
        <v>2009</v>
      </c>
      <c r="B207" s="202">
        <f t="shared" si="49"/>
        <v>7.3463451170971972E-3</v>
      </c>
      <c r="C207" s="202">
        <f t="shared" si="49"/>
        <v>8.3022619935371189E-3</v>
      </c>
      <c r="D207" s="202">
        <f t="shared" si="49"/>
        <v>-3.1205673758865293E-2</v>
      </c>
      <c r="E207" s="202">
        <f t="shared" si="49"/>
        <v>0</v>
      </c>
      <c r="F207" s="202">
        <f t="shared" si="49"/>
        <v>5.8215798218548276E-3</v>
      </c>
      <c r="G207" s="202">
        <f t="shared" si="49"/>
        <v>-1.3546202225447557E-2</v>
      </c>
      <c r="H207" s="202">
        <f t="shared" si="49"/>
        <v>-6.4655172413793371E-3</v>
      </c>
    </row>
    <row r="208" spans="1:13" x14ac:dyDescent="0.2">
      <c r="A208" s="173">
        <f t="shared" si="47"/>
        <v>2010</v>
      </c>
      <c r="B208" s="202">
        <f t="shared" si="49"/>
        <v>8.1573543715551811E-3</v>
      </c>
      <c r="C208" s="202">
        <f t="shared" si="49"/>
        <v>2.9582881372647307E-4</v>
      </c>
      <c r="D208" s="202">
        <f t="shared" si="49"/>
        <v>9.2728160078088262E-3</v>
      </c>
      <c r="E208" s="202">
        <f t="shared" si="49"/>
        <v>-0.46666666666666667</v>
      </c>
      <c r="F208" s="202">
        <f t="shared" si="49"/>
        <v>4.2105001676748799E-3</v>
      </c>
      <c r="G208" s="202">
        <f t="shared" si="49"/>
        <v>-7.356547327120877E-4</v>
      </c>
      <c r="H208" s="202">
        <f t="shared" si="49"/>
        <v>-1.4099783080260275E-2</v>
      </c>
    </row>
    <row r="209" spans="1:12" x14ac:dyDescent="0.2">
      <c r="A209" s="173">
        <f t="shared" si="47"/>
        <v>2011</v>
      </c>
      <c r="B209" s="202">
        <f t="shared" si="49"/>
        <v>1.4539703502964851E-2</v>
      </c>
      <c r="C209" s="202">
        <f t="shared" si="49"/>
        <v>8.2150368033717669E-5</v>
      </c>
      <c r="D209" s="202">
        <f t="shared" si="49"/>
        <v>-1.5070921985815944E-2</v>
      </c>
      <c r="E209" s="202">
        <f t="shared" si="49"/>
        <v>-0.25</v>
      </c>
      <c r="F209" s="202">
        <f t="shared" si="49"/>
        <v>1.9789244545576068E-4</v>
      </c>
      <c r="G209" s="202">
        <f t="shared" si="49"/>
        <v>-2.3384458077709835E-2</v>
      </c>
      <c r="H209" s="202">
        <f t="shared" si="49"/>
        <v>-4.0795746241288899E-3</v>
      </c>
    </row>
    <row r="210" spans="1:12" x14ac:dyDescent="0.2">
      <c r="A210" s="173">
        <f t="shared" si="47"/>
        <v>2012</v>
      </c>
      <c r="B210" s="202">
        <f t="shared" si="49"/>
        <v>1.9928614548853307E-2</v>
      </c>
      <c r="C210" s="202">
        <f t="shared" si="49"/>
        <v>4.7479012305111645E-3</v>
      </c>
      <c r="D210" s="202">
        <f t="shared" si="49"/>
        <v>2.0702070207021084E-2</v>
      </c>
      <c r="E210" s="202">
        <f t="shared" si="49"/>
        <v>0</v>
      </c>
      <c r="F210" s="202">
        <f t="shared" si="49"/>
        <v>1.5086313498540171E-3</v>
      </c>
      <c r="G210" s="202">
        <f t="shared" si="49"/>
        <v>-5.4937111527575411E-2</v>
      </c>
      <c r="H210" s="202">
        <f t="shared" si="49"/>
        <v>-2.4844279774780764E-2</v>
      </c>
    </row>
    <row r="211" spans="1:12" x14ac:dyDescent="0.2">
      <c r="A211" s="173">
        <f t="shared" si="47"/>
        <v>2013</v>
      </c>
      <c r="B211" s="202">
        <f t="shared" si="49"/>
        <v>7.7532550410661649E-3</v>
      </c>
      <c r="C211" s="202">
        <f t="shared" si="49"/>
        <v>-1.9621308741291088E-4</v>
      </c>
      <c r="D211" s="202">
        <f t="shared" si="49"/>
        <v>-3.3670033670034627E-3</v>
      </c>
      <c r="E211" s="202">
        <f t="shared" si="49"/>
        <v>0</v>
      </c>
      <c r="F211" s="202">
        <f t="shared" si="49"/>
        <v>4.4079515989627893E-3</v>
      </c>
      <c r="G211" s="202">
        <f t="shared" si="49"/>
        <v>-7.4333715384057863E-2</v>
      </c>
      <c r="H211" s="202">
        <f t="shared" si="49"/>
        <v>6.7058936897852472E-2</v>
      </c>
    </row>
    <row r="212" spans="1:12" x14ac:dyDescent="0.2">
      <c r="A212" s="173">
        <f t="shared" si="47"/>
        <v>2014</v>
      </c>
      <c r="B212" s="202">
        <f t="shared" si="49"/>
        <v>1.018549358729226E-2</v>
      </c>
      <c r="C212" s="202">
        <f t="shared" si="49"/>
        <v>2.6101462074379356E-2</v>
      </c>
      <c r="D212" s="202">
        <f t="shared" si="49"/>
        <v>-4.1988416988417043E-2</v>
      </c>
      <c r="E212" s="202">
        <f t="shared" si="49"/>
        <v>0</v>
      </c>
      <c r="F212" s="202">
        <f t="shared" si="49"/>
        <v>7.9904606193204053E-4</v>
      </c>
      <c r="G212" s="202">
        <f t="shared" si="49"/>
        <v>-0.10527071664512433</v>
      </c>
      <c r="H212" s="202">
        <f t="shared" si="49"/>
        <v>0.10120311394196735</v>
      </c>
    </row>
    <row r="213" spans="1:12" x14ac:dyDescent="0.2">
      <c r="A213" s="173">
        <f t="shared" si="47"/>
        <v>2015</v>
      </c>
      <c r="B213" s="202">
        <f t="shared" si="49"/>
        <v>7.9783120171288413E-3</v>
      </c>
      <c r="C213" s="202">
        <f t="shared" si="49"/>
        <v>1.5061681170507768E-2</v>
      </c>
      <c r="D213" s="202">
        <f t="shared" si="49"/>
        <v>-3.9798488664987253E-2</v>
      </c>
      <c r="E213" s="202">
        <f t="shared" si="49"/>
        <v>0</v>
      </c>
      <c r="F213" s="202">
        <f t="shared" si="49"/>
        <v>1.2160369478702027E-3</v>
      </c>
      <c r="G213" s="202">
        <f t="shared" si="49"/>
        <v>-7.8651685393257287E-3</v>
      </c>
      <c r="H213" s="202">
        <f t="shared" si="49"/>
        <v>-1.0282776349614275E-2</v>
      </c>
    </row>
    <row r="214" spans="1:12" x14ac:dyDescent="0.2">
      <c r="A214" s="173" t="s">
        <v>138</v>
      </c>
      <c r="B214" s="202">
        <f>'Rate Class Customer Model'!B37-1</f>
        <v>9.8016337905797446E-3</v>
      </c>
      <c r="C214" s="202">
        <f>'Rate Class Customer Model'!C37-1</f>
        <v>4.005337825575328E-3</v>
      </c>
      <c r="D214" s="202">
        <f>'Rate Class Customer Model'!D37-1</f>
        <v>-3.1072396695187576E-2</v>
      </c>
      <c r="E214" s="202"/>
      <c r="F214" s="202">
        <f>'Rate Class Customer Model'!F37-1</f>
        <v>4.4482554840230559E-3</v>
      </c>
      <c r="G214" s="202">
        <f>'Rate Class Customer Model'!G37-1</f>
        <v>-2.9968469760977334E-2</v>
      </c>
      <c r="H214" s="202">
        <f>'Rate Class Customer Model'!H37-1</f>
        <v>1.009424738826814E-2</v>
      </c>
    </row>
    <row r="215" spans="1:12" x14ac:dyDescent="0.2">
      <c r="L215" s="51"/>
    </row>
    <row r="216" spans="1:12" x14ac:dyDescent="0.2">
      <c r="A216" s="298" t="s">
        <v>163</v>
      </c>
      <c r="B216" s="298"/>
      <c r="C216" s="298"/>
      <c r="D216" s="298"/>
      <c r="E216" s="298"/>
      <c r="F216" s="298"/>
      <c r="L216" s="187"/>
    </row>
    <row r="217" spans="1:12" ht="51" x14ac:dyDescent="0.2">
      <c r="A217" s="161" t="s">
        <v>96</v>
      </c>
      <c r="B217" s="172" t="str">
        <f>B180</f>
        <v xml:space="preserve">Residential </v>
      </c>
      <c r="C217" s="172" t="str">
        <f t="shared" ref="C217:H217" si="50">C180</f>
        <v>General Service 
&lt; 50 kW</v>
      </c>
      <c r="D217" s="172" t="str">
        <f t="shared" si="50"/>
        <v>General Service 
50 to 
4,999 kW</v>
      </c>
      <c r="E217" s="172" t="str">
        <f t="shared" si="50"/>
        <v>Large User</v>
      </c>
      <c r="F217" s="172" t="str">
        <f t="shared" si="50"/>
        <v xml:space="preserve">Street Lights </v>
      </c>
      <c r="G217" s="172" t="str">
        <f t="shared" si="50"/>
        <v>Sentinel Lights</v>
      </c>
      <c r="H217" s="172" t="str">
        <f t="shared" si="50"/>
        <v xml:space="preserve">Unmetered Scattered Loads </v>
      </c>
      <c r="I217" s="172" t="str">
        <f>I180</f>
        <v>Total</v>
      </c>
    </row>
    <row r="218" spans="1:12" x14ac:dyDescent="0.2">
      <c r="A218" s="295" t="s">
        <v>139</v>
      </c>
      <c r="B218" s="295"/>
      <c r="C218" s="295"/>
      <c r="D218" s="295"/>
      <c r="E218" s="295"/>
      <c r="F218" s="295"/>
      <c r="G218" s="295"/>
      <c r="H218" s="295"/>
      <c r="I218" s="295"/>
    </row>
    <row r="219" spans="1:12" x14ac:dyDescent="0.2">
      <c r="A219" s="265" t="str">
        <f>A173</f>
        <v>2016 Bridge</v>
      </c>
      <c r="B219" s="198">
        <f>'Rate Class Customer Model'!B17</f>
        <v>20837.76161408551</v>
      </c>
      <c r="C219" s="198">
        <f>'Rate Class Customer Model'!C17</f>
        <v>1776.1691097249281</v>
      </c>
      <c r="D219" s="198">
        <f>'Rate Class Customer Model'!D17</f>
        <v>153.89800099158106</v>
      </c>
      <c r="E219" s="198">
        <f>'Rate Class Customer Model'!E17</f>
        <v>0</v>
      </c>
      <c r="F219" s="198">
        <f>'Rate Class Customer Model'!F17</f>
        <v>6822.798479396517</v>
      </c>
      <c r="G219" s="198">
        <f>'Rate Class Customer Model'!G17</f>
        <v>515.08333333333337</v>
      </c>
      <c r="H219" s="198">
        <f>'Rate Class Customer Model'!H17</f>
        <v>256.66666666666669</v>
      </c>
      <c r="I219" s="198">
        <f>SUM(B219:H219)</f>
        <v>30362.377204198536</v>
      </c>
    </row>
    <row r="220" spans="1:12" x14ac:dyDescent="0.2">
      <c r="A220" s="176" t="str">
        <f>A174</f>
        <v>2017 Test</v>
      </c>
      <c r="B220" s="198">
        <f>'Rate Class Customer Model'!B18</f>
        <v>21042.005722442176</v>
      </c>
      <c r="C220" s="198">
        <f>'Rate Class Customer Model'!C18</f>
        <v>1783.2832670447278</v>
      </c>
      <c r="D220" s="198">
        <f>'Rate Class Customer Model'!D18</f>
        <v>149.11602125417429</v>
      </c>
      <c r="E220" s="198">
        <f>'Rate Class Customer Model'!E18</f>
        <v>0</v>
      </c>
      <c r="F220" s="198">
        <f>'Rate Class Customer Model'!F18</f>
        <v>6853.1480301488764</v>
      </c>
      <c r="G220" s="198">
        <f>'Rate Class Customer Model'!G18</f>
        <v>515.08333333333337</v>
      </c>
      <c r="H220" s="198">
        <f>'Rate Class Customer Model'!H18</f>
        <v>256.66666666666669</v>
      </c>
      <c r="I220" s="198">
        <f>SUM(B220:H220)</f>
        <v>30599.303040889954</v>
      </c>
    </row>
    <row r="222" spans="1:12" x14ac:dyDescent="0.2">
      <c r="A222" s="318" t="s">
        <v>164</v>
      </c>
      <c r="B222" s="319"/>
      <c r="C222" s="319"/>
      <c r="D222" s="319"/>
      <c r="E222" s="319"/>
      <c r="F222" s="319"/>
      <c r="G222" s="319"/>
      <c r="H222" s="319"/>
    </row>
    <row r="223" spans="1:12" ht="51" x14ac:dyDescent="0.2">
      <c r="A223" s="171" t="s">
        <v>96</v>
      </c>
      <c r="B223" s="162" t="str">
        <f>B217</f>
        <v xml:space="preserve">Residential </v>
      </c>
      <c r="C223" s="162" t="str">
        <f t="shared" ref="C223:H223" si="51">C217</f>
        <v>General Service 
&lt; 50 kW</v>
      </c>
      <c r="D223" s="162" t="str">
        <f t="shared" si="51"/>
        <v>General Service 
50 to 
4,999 kW</v>
      </c>
      <c r="E223" s="162" t="str">
        <f t="shared" si="51"/>
        <v>Large User</v>
      </c>
      <c r="F223" s="162" t="str">
        <f t="shared" si="51"/>
        <v xml:space="preserve">Street Lights </v>
      </c>
      <c r="G223" s="162" t="str">
        <f t="shared" si="51"/>
        <v>Sentinel Lights</v>
      </c>
      <c r="H223" s="162" t="str">
        <f t="shared" si="51"/>
        <v xml:space="preserve">Unmetered Scattered Loads </v>
      </c>
      <c r="K223" s="187"/>
    </row>
    <row r="224" spans="1:12" x14ac:dyDescent="0.2">
      <c r="A224" s="295" t="s">
        <v>140</v>
      </c>
      <c r="B224" s="295"/>
      <c r="C224" s="295"/>
      <c r="D224" s="295"/>
      <c r="E224" s="295"/>
      <c r="F224" s="295"/>
      <c r="G224" s="295"/>
      <c r="H224" s="295"/>
      <c r="K224" s="205"/>
    </row>
    <row r="225" spans="1:11" x14ac:dyDescent="0.2">
      <c r="A225" s="212">
        <f t="shared" ref="A225:A238" si="52">A200</f>
        <v>2002</v>
      </c>
      <c r="B225" s="198">
        <f>B105</f>
        <v>9008.5822186159094</v>
      </c>
      <c r="C225" s="198">
        <f t="shared" ref="C225:H225" si="53">C105</f>
        <v>28545.064108365586</v>
      </c>
      <c r="D225" s="198">
        <f t="shared" si="53"/>
        <v>921365.4200904977</v>
      </c>
      <c r="E225" s="198">
        <f t="shared" si="53"/>
        <v>48139425.472500004</v>
      </c>
      <c r="F225" s="198">
        <f t="shared" si="53"/>
        <v>714.13794985768311</v>
      </c>
      <c r="G225" s="198">
        <f t="shared" si="53"/>
        <v>795.5875816993464</v>
      </c>
      <c r="H225" s="198">
        <f t="shared" si="53"/>
        <v>4500.9371365149827</v>
      </c>
      <c r="K225" s="206"/>
    </row>
    <row r="226" spans="1:11" x14ac:dyDescent="0.2">
      <c r="A226" s="173">
        <f t="shared" si="52"/>
        <v>2003</v>
      </c>
      <c r="B226" s="198">
        <f t="shared" ref="B226:H238" si="54">B106</f>
        <v>8613.6664969440826</v>
      </c>
      <c r="C226" s="198">
        <f t="shared" si="54"/>
        <v>27585.458970908374</v>
      </c>
      <c r="D226" s="198">
        <f t="shared" si="54"/>
        <v>630984.26909862144</v>
      </c>
      <c r="E226" s="198">
        <f t="shared" si="54"/>
        <v>42958797.81818182</v>
      </c>
      <c r="F226" s="198">
        <f t="shared" si="54"/>
        <v>719.91095625241962</v>
      </c>
      <c r="G226" s="198">
        <f t="shared" si="54"/>
        <v>1352.846876992415</v>
      </c>
      <c r="H226" s="198">
        <f t="shared" si="54"/>
        <v>5348.6929347429823</v>
      </c>
      <c r="K226" s="207"/>
    </row>
    <row r="227" spans="1:11" x14ac:dyDescent="0.2">
      <c r="A227" s="173">
        <f t="shared" si="52"/>
        <v>2004</v>
      </c>
      <c r="B227" s="198">
        <f t="shared" si="54"/>
        <v>8552.2741841837342</v>
      </c>
      <c r="C227" s="198">
        <f t="shared" si="54"/>
        <v>29672.070684822978</v>
      </c>
      <c r="D227" s="198">
        <f t="shared" si="54"/>
        <v>673710.4416166282</v>
      </c>
      <c r="E227" s="198">
        <f t="shared" si="54"/>
        <v>43500920.117647059</v>
      </c>
      <c r="F227" s="198">
        <f t="shared" si="54"/>
        <v>721.80689193365617</v>
      </c>
      <c r="G227" s="198">
        <f t="shared" si="54"/>
        <v>1371.8134014436428</v>
      </c>
      <c r="H227" s="198">
        <f t="shared" si="54"/>
        <v>5146.8879024740045</v>
      </c>
      <c r="K227" s="207"/>
    </row>
    <row r="228" spans="1:11" x14ac:dyDescent="0.2">
      <c r="A228" s="173">
        <f t="shared" si="52"/>
        <v>2005</v>
      </c>
      <c r="B228" s="198">
        <f t="shared" si="54"/>
        <v>9113.0496938784581</v>
      </c>
      <c r="C228" s="198">
        <f t="shared" si="54"/>
        <v>31097.860695909312</v>
      </c>
      <c r="D228" s="198">
        <f t="shared" si="54"/>
        <v>707333.15408653836</v>
      </c>
      <c r="E228" s="198">
        <f t="shared" si="54"/>
        <v>43892175.882352941</v>
      </c>
      <c r="F228" s="198">
        <f t="shared" si="54"/>
        <v>716.81771938345128</v>
      </c>
      <c r="G228" s="198">
        <f t="shared" si="54"/>
        <v>1352.7219749746364</v>
      </c>
      <c r="H228" s="198">
        <f t="shared" si="54"/>
        <v>5126.4452564102576</v>
      </c>
    </row>
    <row r="229" spans="1:11" x14ac:dyDescent="0.2">
      <c r="A229" s="173">
        <f t="shared" si="52"/>
        <v>2006</v>
      </c>
      <c r="B229" s="198">
        <f t="shared" si="54"/>
        <v>8495.6814341478039</v>
      </c>
      <c r="C229" s="198">
        <f t="shared" si="54"/>
        <v>30181.829280575541</v>
      </c>
      <c r="D229" s="198">
        <f t="shared" si="54"/>
        <v>704885.76877697848</v>
      </c>
      <c r="E229" s="198">
        <f t="shared" si="54"/>
        <v>37292695.333333336</v>
      </c>
      <c r="F229" s="198">
        <f t="shared" si="54"/>
        <v>714.97876558270752</v>
      </c>
      <c r="G229" s="198">
        <f t="shared" si="54"/>
        <v>1380.310915917624</v>
      </c>
      <c r="H229" s="198">
        <f t="shared" si="54"/>
        <v>5187.807839484055</v>
      </c>
      <c r="K229" s="187"/>
    </row>
    <row r="230" spans="1:11" x14ac:dyDescent="0.2">
      <c r="A230" s="173">
        <f t="shared" si="52"/>
        <v>2007</v>
      </c>
      <c r="B230" s="198">
        <f t="shared" si="54"/>
        <v>8573.1022920413761</v>
      </c>
      <c r="C230" s="198">
        <f t="shared" si="54"/>
        <v>32246.87495321461</v>
      </c>
      <c r="D230" s="198">
        <f t="shared" si="54"/>
        <v>840641.57979399164</v>
      </c>
      <c r="E230" s="198">
        <f t="shared" si="54"/>
        <v>34146528.413793102</v>
      </c>
      <c r="F230" s="198">
        <f t="shared" si="54"/>
        <v>709.68266854924116</v>
      </c>
      <c r="G230" s="198">
        <f t="shared" si="54"/>
        <v>1392.1179841476396</v>
      </c>
      <c r="H230" s="198">
        <f t="shared" si="54"/>
        <v>4938.8325323741001</v>
      </c>
    </row>
    <row r="231" spans="1:11" x14ac:dyDescent="0.2">
      <c r="A231" s="173">
        <f t="shared" si="52"/>
        <v>2008</v>
      </c>
      <c r="B231" s="198">
        <f t="shared" si="54"/>
        <v>8253.5964288140458</v>
      </c>
      <c r="C231" s="198">
        <f t="shared" si="54"/>
        <v>32854.336865026104</v>
      </c>
      <c r="D231" s="198">
        <f t="shared" si="54"/>
        <v>823340.29395744682</v>
      </c>
      <c r="E231" s="198">
        <f t="shared" si="54"/>
        <v>41072994.399999999</v>
      </c>
      <c r="F231" s="198">
        <f t="shared" si="54"/>
        <v>708.28198433420368</v>
      </c>
      <c r="G231" s="198">
        <f t="shared" si="54"/>
        <v>1378.3097532656025</v>
      </c>
      <c r="H231" s="198">
        <f t="shared" si="54"/>
        <v>4990.4983189655168</v>
      </c>
    </row>
    <row r="232" spans="1:11" x14ac:dyDescent="0.2">
      <c r="A232" s="173">
        <f t="shared" si="52"/>
        <v>2009</v>
      </c>
      <c r="B232" s="198">
        <f t="shared" si="54"/>
        <v>7907.2396588349729</v>
      </c>
      <c r="C232" s="198">
        <f t="shared" si="54"/>
        <v>32330.850801696084</v>
      </c>
      <c r="D232" s="198">
        <f t="shared" si="54"/>
        <v>792861.85036603233</v>
      </c>
      <c r="E232" s="198">
        <f t="shared" si="54"/>
        <v>19261445.199999999</v>
      </c>
      <c r="F232" s="198">
        <f t="shared" si="54"/>
        <v>699.30922956541178</v>
      </c>
      <c r="G232" s="198">
        <f t="shared" si="54"/>
        <v>1548.8846101029917</v>
      </c>
      <c r="H232" s="198">
        <f t="shared" si="54"/>
        <v>4997.0773535791759</v>
      </c>
    </row>
    <row r="233" spans="1:11" x14ac:dyDescent="0.2">
      <c r="A233" s="173">
        <f t="shared" si="52"/>
        <v>2010</v>
      </c>
      <c r="B233" s="198">
        <f t="shared" si="54"/>
        <v>8219.1313059362292</v>
      </c>
      <c r="C233" s="198">
        <f t="shared" si="54"/>
        <v>32049.487180599372</v>
      </c>
      <c r="D233" s="198">
        <f t="shared" si="54"/>
        <v>841000.83058027073</v>
      </c>
      <c r="E233" s="198">
        <f t="shared" si="54"/>
        <v>45292056.75</v>
      </c>
      <c r="F233" s="198">
        <f t="shared" si="54"/>
        <v>697.65635976846579</v>
      </c>
      <c r="G233" s="198">
        <f t="shared" si="54"/>
        <v>1338.348662576687</v>
      </c>
      <c r="H233" s="198">
        <f t="shared" si="54"/>
        <v>4964.2530693069311</v>
      </c>
    </row>
    <row r="234" spans="1:11" x14ac:dyDescent="0.2">
      <c r="A234" s="173">
        <f t="shared" si="52"/>
        <v>2011</v>
      </c>
      <c r="B234" s="198">
        <f t="shared" si="54"/>
        <v>8044.9715042860125</v>
      </c>
      <c r="C234" s="198">
        <f t="shared" si="54"/>
        <v>32195.13847771443</v>
      </c>
      <c r="D234" s="198">
        <f t="shared" si="54"/>
        <v>884750.78766058455</v>
      </c>
      <c r="E234" s="198">
        <f t="shared" si="54"/>
        <v>59993492</v>
      </c>
      <c r="F234" s="198">
        <f t="shared" si="54"/>
        <v>701.93604392343082</v>
      </c>
      <c r="G234" s="198">
        <f t="shared" si="54"/>
        <v>1348.1993027127201</v>
      </c>
      <c r="H234" s="198">
        <f t="shared" si="54"/>
        <v>4961.5125880241167</v>
      </c>
    </row>
    <row r="235" spans="1:11" x14ac:dyDescent="0.2">
      <c r="A235" s="173">
        <f t="shared" si="52"/>
        <v>2012</v>
      </c>
      <c r="B235" s="198">
        <f t="shared" si="54"/>
        <v>7915.5289534970461</v>
      </c>
      <c r="C235" s="198">
        <f t="shared" si="54"/>
        <v>29444.951437260868</v>
      </c>
      <c r="D235" s="198">
        <f t="shared" si="54"/>
        <v>816397.49681143218</v>
      </c>
      <c r="E235" s="198">
        <f t="shared" si="54"/>
        <v>48424320</v>
      </c>
      <c r="F235" s="198">
        <f t="shared" si="54"/>
        <v>663.68475120385233</v>
      </c>
      <c r="G235" s="198">
        <f t="shared" si="54"/>
        <v>1354.8436206222457</v>
      </c>
      <c r="H235" s="198">
        <f t="shared" si="54"/>
        <v>4917.9364435695261</v>
      </c>
    </row>
    <row r="236" spans="1:11" x14ac:dyDescent="0.2">
      <c r="A236" s="173">
        <f t="shared" si="52"/>
        <v>2013</v>
      </c>
      <c r="B236" s="198">
        <f t="shared" si="54"/>
        <v>7832.1605171286528</v>
      </c>
      <c r="C236" s="198">
        <f t="shared" si="54"/>
        <v>31042.99499558434</v>
      </c>
      <c r="D236" s="198">
        <f t="shared" si="54"/>
        <v>800096.27606177609</v>
      </c>
      <c r="E236" s="198">
        <f t="shared" si="54"/>
        <v>44784691</v>
      </c>
      <c r="F236" s="198">
        <f t="shared" si="54"/>
        <v>419.58046393843654</v>
      </c>
      <c r="G236" s="198">
        <f t="shared" si="54"/>
        <v>1349.4011202068075</v>
      </c>
      <c r="H236" s="198">
        <f t="shared" si="54"/>
        <v>4200.6369426751589</v>
      </c>
    </row>
    <row r="237" spans="1:11" x14ac:dyDescent="0.2">
      <c r="A237" s="173">
        <f t="shared" si="52"/>
        <v>2014</v>
      </c>
      <c r="B237" s="198">
        <f t="shared" si="54"/>
        <v>7726.8349547759963</v>
      </c>
      <c r="C237" s="198">
        <f t="shared" si="54"/>
        <v>30928.378502438558</v>
      </c>
      <c r="D237" s="198">
        <f t="shared" si="54"/>
        <v>871692.90075566759</v>
      </c>
      <c r="E237" s="198">
        <f t="shared" si="54"/>
        <v>20367511</v>
      </c>
      <c r="F237" s="198">
        <f t="shared" si="54"/>
        <v>368.99395666486515</v>
      </c>
      <c r="G237" s="198">
        <f t="shared" si="54"/>
        <v>1477.7508828250402</v>
      </c>
      <c r="H237" s="198">
        <f t="shared" si="54"/>
        <v>3728.5796915167098</v>
      </c>
    </row>
    <row r="238" spans="1:11" x14ac:dyDescent="0.2">
      <c r="A238" s="173">
        <f t="shared" si="52"/>
        <v>2015</v>
      </c>
      <c r="B238" s="198">
        <f t="shared" si="54"/>
        <v>7655.434518184682</v>
      </c>
      <c r="C238" s="198">
        <f t="shared" si="54"/>
        <v>30700.986763389705</v>
      </c>
      <c r="D238" s="198">
        <f t="shared" si="54"/>
        <v>880148.76390346268</v>
      </c>
      <c r="E238" s="198">
        <f t="shared" si="54"/>
        <v>277079</v>
      </c>
      <c r="F238" s="198">
        <f t="shared" si="54"/>
        <v>336.35023493761582</v>
      </c>
      <c r="G238" s="198">
        <f t="shared" si="54"/>
        <v>1463.7709108558486</v>
      </c>
      <c r="H238" s="198">
        <f t="shared" si="54"/>
        <v>3779.3805194805191</v>
      </c>
    </row>
    <row r="239" spans="1:11" x14ac:dyDescent="0.2">
      <c r="A239" s="199"/>
      <c r="B239" s="200"/>
      <c r="C239" s="200"/>
      <c r="D239" s="200"/>
      <c r="E239" s="200"/>
      <c r="F239" s="200"/>
      <c r="G239" s="200"/>
      <c r="H239" s="200"/>
      <c r="I239" s="200"/>
      <c r="J239" s="200"/>
    </row>
    <row r="241" spans="1:11" x14ac:dyDescent="0.2">
      <c r="A241" s="298" t="s">
        <v>165</v>
      </c>
      <c r="B241" s="298"/>
      <c r="C241" s="298"/>
      <c r="D241" s="298"/>
      <c r="E241" s="298"/>
      <c r="F241" s="298"/>
      <c r="G241" s="298"/>
      <c r="H241" s="298"/>
    </row>
    <row r="242" spans="1:11" ht="51" x14ac:dyDescent="0.2">
      <c r="A242" s="161" t="s">
        <v>96</v>
      </c>
      <c r="B242" s="162" t="str">
        <f>B223</f>
        <v xml:space="preserve">Residential </v>
      </c>
      <c r="C242" s="162" t="str">
        <f t="shared" ref="C242:H242" si="55">C223</f>
        <v>General Service 
&lt; 50 kW</v>
      </c>
      <c r="D242" s="162" t="str">
        <f t="shared" si="55"/>
        <v>General Service 
50 to 
4,999 kW</v>
      </c>
      <c r="E242" s="162" t="str">
        <f t="shared" si="55"/>
        <v>Large User</v>
      </c>
      <c r="F242" s="162" t="str">
        <f t="shared" si="55"/>
        <v xml:space="preserve">Street Lights </v>
      </c>
      <c r="G242" s="162" t="str">
        <f t="shared" si="55"/>
        <v>Sentinel Lights</v>
      </c>
      <c r="H242" s="162" t="str">
        <f t="shared" si="55"/>
        <v xml:space="preserve">Unmetered Scattered Loads </v>
      </c>
      <c r="K242" s="208"/>
    </row>
    <row r="243" spans="1:11" x14ac:dyDescent="0.2">
      <c r="A243" s="295" t="s">
        <v>141</v>
      </c>
      <c r="B243" s="295"/>
      <c r="C243" s="295"/>
      <c r="D243" s="295"/>
      <c r="E243" s="295"/>
      <c r="F243" s="295"/>
      <c r="G243" s="295"/>
      <c r="H243" s="295"/>
      <c r="K243" s="205"/>
    </row>
    <row r="244" spans="1:11" x14ac:dyDescent="0.2">
      <c r="A244" s="173">
        <f t="shared" ref="A244:A257" si="56">A225</f>
        <v>2002</v>
      </c>
      <c r="B244" s="202"/>
      <c r="C244" s="202"/>
      <c r="D244" s="202"/>
      <c r="E244" s="202"/>
      <c r="F244" s="202"/>
      <c r="G244" s="202"/>
      <c r="H244" s="202"/>
      <c r="K244" s="206"/>
    </row>
    <row r="245" spans="1:11" x14ac:dyDescent="0.2">
      <c r="A245" s="173">
        <f t="shared" si="56"/>
        <v>2003</v>
      </c>
      <c r="B245" s="202">
        <f>B226/B225-1</f>
        <v>-4.3837721862131418E-2</v>
      </c>
      <c r="C245" s="202">
        <f t="shared" ref="C245:G245" si="57">C226/C225-1</f>
        <v>-3.3617200291240046E-2</v>
      </c>
      <c r="D245" s="202">
        <f t="shared" si="57"/>
        <v>-0.31516393459107095</v>
      </c>
      <c r="E245" s="202">
        <f t="shared" si="57"/>
        <v>-0.10761714755564866</v>
      </c>
      <c r="F245" s="202">
        <f t="shared" si="57"/>
        <v>8.0838812667594073E-3</v>
      </c>
      <c r="G245" s="202">
        <f t="shared" si="57"/>
        <v>0.70043739760590884</v>
      </c>
      <c r="H245" s="202">
        <f>H226/H225-1</f>
        <v>0.18835095281610759</v>
      </c>
      <c r="K245" s="207"/>
    </row>
    <row r="246" spans="1:11" x14ac:dyDescent="0.2">
      <c r="A246" s="173">
        <f t="shared" si="56"/>
        <v>2004</v>
      </c>
      <c r="B246" s="202">
        <f t="shared" ref="B246:G257" si="58">B227/B226-1</f>
        <v>-7.1273148063172309E-3</v>
      </c>
      <c r="C246" s="202">
        <f t="shared" si="58"/>
        <v>7.5641725450903197E-2</v>
      </c>
      <c r="D246" s="202">
        <f t="shared" si="58"/>
        <v>6.7713530448298309E-2</v>
      </c>
      <c r="E246" s="202">
        <f t="shared" si="58"/>
        <v>1.2619587302226343E-2</v>
      </c>
      <c r="F246" s="202">
        <f t="shared" si="58"/>
        <v>2.6335697002113356E-3</v>
      </c>
      <c r="G246" s="202">
        <f t="shared" si="58"/>
        <v>1.4019712632514114E-2</v>
      </c>
      <c r="H246" s="202">
        <f t="shared" ref="H246" si="59">H227/H226-1</f>
        <v>-3.7729784590573967E-2</v>
      </c>
      <c r="K246" s="207"/>
    </row>
    <row r="247" spans="1:11" x14ac:dyDescent="0.2">
      <c r="A247" s="173">
        <f t="shared" si="56"/>
        <v>2005</v>
      </c>
      <c r="B247" s="202">
        <f t="shared" si="58"/>
        <v>6.5570338089931957E-2</v>
      </c>
      <c r="C247" s="202">
        <f t="shared" si="58"/>
        <v>4.8051584475889531E-2</v>
      </c>
      <c r="D247" s="202">
        <f t="shared" si="58"/>
        <v>4.9906770613840301E-2</v>
      </c>
      <c r="E247" s="202">
        <f t="shared" si="58"/>
        <v>8.9941951491541161E-3</v>
      </c>
      <c r="F247" s="202">
        <f t="shared" si="58"/>
        <v>-6.9120600065750715E-3</v>
      </c>
      <c r="G247" s="202">
        <f t="shared" si="58"/>
        <v>-1.3916926638065541E-2</v>
      </c>
      <c r="H247" s="202">
        <f t="shared" ref="H247" si="60">H228/H227-1</f>
        <v>-3.9718459875375256E-3</v>
      </c>
      <c r="K247" s="206"/>
    </row>
    <row r="248" spans="1:11" x14ac:dyDescent="0.2">
      <c r="A248" s="173">
        <f t="shared" si="56"/>
        <v>2006</v>
      </c>
      <c r="B248" s="202">
        <f t="shared" si="58"/>
        <v>-6.7745516645800974E-2</v>
      </c>
      <c r="C248" s="202">
        <f t="shared" si="58"/>
        <v>-2.9456412590280423E-2</v>
      </c>
      <c r="D248" s="202">
        <f t="shared" si="58"/>
        <v>-3.4600178083274979E-3</v>
      </c>
      <c r="E248" s="202">
        <f t="shared" si="58"/>
        <v>-0.15035665050437741</v>
      </c>
      <c r="F248" s="202">
        <f t="shared" si="58"/>
        <v>-2.5654413263186404E-3</v>
      </c>
      <c r="G248" s="202">
        <f t="shared" si="58"/>
        <v>2.0395130302740094E-2</v>
      </c>
      <c r="H248" s="202">
        <f t="shared" ref="H248" si="61">H229/H228-1</f>
        <v>1.1969811439431322E-2</v>
      </c>
      <c r="K248" s="209"/>
    </row>
    <row r="249" spans="1:11" x14ac:dyDescent="0.2">
      <c r="A249" s="173">
        <f t="shared" si="56"/>
        <v>2007</v>
      </c>
      <c r="B249" s="202">
        <f t="shared" si="58"/>
        <v>9.1129662162690028E-3</v>
      </c>
      <c r="C249" s="202">
        <f t="shared" si="58"/>
        <v>6.842016278874441E-2</v>
      </c>
      <c r="D249" s="202">
        <f t="shared" si="58"/>
        <v>0.19259263987207187</v>
      </c>
      <c r="E249" s="202">
        <f t="shared" si="58"/>
        <v>-8.4364160096738749E-2</v>
      </c>
      <c r="F249" s="202">
        <f t="shared" si="58"/>
        <v>-7.4073487051745657E-3</v>
      </c>
      <c r="G249" s="202">
        <f t="shared" si="58"/>
        <v>8.5539193335772978E-3</v>
      </c>
      <c r="H249" s="202">
        <f t="shared" ref="H249" si="62">H230/H229-1</f>
        <v>-4.7992391933837752E-2</v>
      </c>
      <c r="K249" s="209"/>
    </row>
    <row r="250" spans="1:11" x14ac:dyDescent="0.2">
      <c r="A250" s="173">
        <f t="shared" si="56"/>
        <v>2008</v>
      </c>
      <c r="B250" s="202">
        <f t="shared" si="58"/>
        <v>-3.7268406738122706E-2</v>
      </c>
      <c r="C250" s="202">
        <f t="shared" si="58"/>
        <v>1.8837853673970839E-2</v>
      </c>
      <c r="D250" s="202">
        <f t="shared" si="58"/>
        <v>-2.0581049346601099E-2</v>
      </c>
      <c r="E250" s="202">
        <f t="shared" si="58"/>
        <v>0.20284539330824125</v>
      </c>
      <c r="F250" s="202">
        <f t="shared" si="58"/>
        <v>-1.9736767954342538E-3</v>
      </c>
      <c r="G250" s="202">
        <f t="shared" si="58"/>
        <v>-9.9188653830167839E-3</v>
      </c>
      <c r="H250" s="202">
        <f t="shared" ref="H250" si="63">H231/H230-1</f>
        <v>1.0461133527558841E-2</v>
      </c>
      <c r="K250" s="206"/>
    </row>
    <row r="251" spans="1:11" x14ac:dyDescent="0.2">
      <c r="A251" s="173">
        <f t="shared" si="56"/>
        <v>2009</v>
      </c>
      <c r="B251" s="202">
        <f t="shared" si="58"/>
        <v>-4.1964345236206402E-2</v>
      </c>
      <c r="C251" s="202">
        <f t="shared" si="58"/>
        <v>-1.5933545257073134E-2</v>
      </c>
      <c r="D251" s="202">
        <f t="shared" si="58"/>
        <v>-3.7018039582294215E-2</v>
      </c>
      <c r="E251" s="202">
        <f t="shared" si="58"/>
        <v>-0.53104356082691651</v>
      </c>
      <c r="F251" s="202">
        <f t="shared" si="58"/>
        <v>-1.2668336859120388E-2</v>
      </c>
      <c r="G251" s="202">
        <f t="shared" si="58"/>
        <v>0.12375654778125855</v>
      </c>
      <c r="H251" s="202">
        <f t="shared" ref="H251" si="64">H232/H231-1</f>
        <v>1.3183121590596425E-3</v>
      </c>
      <c r="K251" s="206"/>
    </row>
    <row r="252" spans="1:11" x14ac:dyDescent="0.2">
      <c r="A252" s="173">
        <f t="shared" si="56"/>
        <v>2010</v>
      </c>
      <c r="B252" s="202">
        <f t="shared" si="58"/>
        <v>3.9443808529664448E-2</v>
      </c>
      <c r="C252" s="202">
        <f t="shared" si="58"/>
        <v>-8.7026358453254904E-3</v>
      </c>
      <c r="D252" s="202">
        <f t="shared" si="58"/>
        <v>6.0715470408892358E-2</v>
      </c>
      <c r="E252" s="202">
        <f t="shared" si="58"/>
        <v>1.3514360568333679</v>
      </c>
      <c r="F252" s="202">
        <f t="shared" si="58"/>
        <v>-2.3635749780868132E-3</v>
      </c>
      <c r="G252" s="202">
        <f t="shared" si="58"/>
        <v>-0.13592745783193316</v>
      </c>
      <c r="H252" s="202">
        <f t="shared" ref="H252" si="65">H233/H232-1</f>
        <v>-6.5686964498826717E-3</v>
      </c>
      <c r="K252" s="206"/>
    </row>
    <row r="253" spans="1:11" x14ac:dyDescent="0.2">
      <c r="A253" s="173">
        <f t="shared" si="56"/>
        <v>2011</v>
      </c>
      <c r="B253" s="202">
        <f t="shared" si="58"/>
        <v>-2.1189563126267408E-2</v>
      </c>
      <c r="C253" s="202">
        <f t="shared" si="58"/>
        <v>4.5445749660302237E-3</v>
      </c>
      <c r="D253" s="202">
        <f t="shared" si="58"/>
        <v>5.202130068067512E-2</v>
      </c>
      <c r="E253" s="202">
        <f t="shared" si="58"/>
        <v>0.3245919109204507</v>
      </c>
      <c r="F253" s="202">
        <f t="shared" si="58"/>
        <v>6.1343727395897218E-3</v>
      </c>
      <c r="G253" s="202">
        <f t="shared" si="58"/>
        <v>7.3602943773021234E-3</v>
      </c>
      <c r="H253" s="202">
        <f t="shared" ref="H253" si="66">H234/H233-1</f>
        <v>-5.520430253159736E-4</v>
      </c>
      <c r="K253" s="206"/>
    </row>
    <row r="254" spans="1:11" x14ac:dyDescent="0.2">
      <c r="A254" s="173">
        <f t="shared" si="56"/>
        <v>2012</v>
      </c>
      <c r="B254" s="202">
        <f t="shared" si="58"/>
        <v>-1.6089870637826964E-2</v>
      </c>
      <c r="C254" s="202">
        <f t="shared" si="58"/>
        <v>-8.5422432407217364E-2</v>
      </c>
      <c r="D254" s="202">
        <f t="shared" si="58"/>
        <v>-7.7257112174931031E-2</v>
      </c>
      <c r="E254" s="202">
        <f t="shared" si="58"/>
        <v>-0.19284045009415351</v>
      </c>
      <c r="F254" s="202">
        <f t="shared" si="58"/>
        <v>-5.4493985671080658E-2</v>
      </c>
      <c r="G254" s="202">
        <f t="shared" si="58"/>
        <v>4.9282905696186319E-3</v>
      </c>
      <c r="H254" s="202">
        <f t="shared" ref="H254" si="67">H235/H234-1</f>
        <v>-8.7828346056750828E-3</v>
      </c>
      <c r="K254" s="206"/>
    </row>
    <row r="255" spans="1:11" x14ac:dyDescent="0.2">
      <c r="A255" s="173">
        <f t="shared" si="56"/>
        <v>2013</v>
      </c>
      <c r="B255" s="202">
        <f t="shared" si="58"/>
        <v>-1.0532263460619529E-2</v>
      </c>
      <c r="C255" s="202">
        <f t="shared" si="58"/>
        <v>5.4272242959152672E-2</v>
      </c>
      <c r="D255" s="202">
        <f t="shared" si="58"/>
        <v>-1.9967259592689857E-2</v>
      </c>
      <c r="E255" s="202">
        <f t="shared" si="58"/>
        <v>-7.516117934128963E-2</v>
      </c>
      <c r="F255" s="202">
        <f t="shared" si="58"/>
        <v>-0.36780156063950098</v>
      </c>
      <c r="G255" s="202">
        <f t="shared" si="58"/>
        <v>-4.0170690791152541E-3</v>
      </c>
      <c r="H255" s="202">
        <f t="shared" ref="H255" si="68">H236/H235-1</f>
        <v>-0.14585375576219084</v>
      </c>
      <c r="K255" s="206"/>
    </row>
    <row r="256" spans="1:11" x14ac:dyDescent="0.2">
      <c r="A256" s="173">
        <f t="shared" si="56"/>
        <v>2014</v>
      </c>
      <c r="B256" s="202">
        <f t="shared" si="58"/>
        <v>-1.3447829896018226E-2</v>
      </c>
      <c r="C256" s="202">
        <f t="shared" si="58"/>
        <v>-3.6921854080795846E-3</v>
      </c>
      <c r="D256" s="202">
        <f t="shared" si="58"/>
        <v>8.9485011786710755E-2</v>
      </c>
      <c r="E256" s="202">
        <f t="shared" si="58"/>
        <v>-0.54521264867050223</v>
      </c>
      <c r="F256" s="202">
        <f t="shared" si="58"/>
        <v>-0.12056449625594046</v>
      </c>
      <c r="G256" s="202">
        <f t="shared" si="58"/>
        <v>9.5116093129196555E-2</v>
      </c>
      <c r="H256" s="202">
        <f t="shared" ref="H256" si="69">H237/H236-1</f>
        <v>-0.1123775412158855</v>
      </c>
      <c r="K256" s="206"/>
    </row>
    <row r="257" spans="1:12" x14ac:dyDescent="0.2">
      <c r="A257" s="173">
        <f t="shared" si="56"/>
        <v>2015</v>
      </c>
      <c r="B257" s="202">
        <f t="shared" si="58"/>
        <v>-9.2405800058122933E-3</v>
      </c>
      <c r="C257" s="202">
        <f t="shared" si="58"/>
        <v>-7.3522037060858025E-3</v>
      </c>
      <c r="D257" s="202">
        <f t="shared" si="58"/>
        <v>9.7005070713145347E-3</v>
      </c>
      <c r="E257" s="202">
        <f t="shared" si="58"/>
        <v>-0.98639603042315771</v>
      </c>
      <c r="F257" s="202">
        <f t="shared" si="58"/>
        <v>-8.846681940890877E-2</v>
      </c>
      <c r="G257" s="202">
        <f t="shared" si="58"/>
        <v>-9.4603035813898284E-3</v>
      </c>
      <c r="H257" s="202">
        <f t="shared" ref="H257" si="70">H238/H237-1</f>
        <v>1.3624712938117289E-2</v>
      </c>
      <c r="K257" s="206"/>
    </row>
    <row r="258" spans="1:12" x14ac:dyDescent="0.2">
      <c r="A258" s="173" t="str">
        <f>A214</f>
        <v>Geometric Mean</v>
      </c>
      <c r="B258" s="202">
        <f>'Rate Class Energy Model'!H62-1</f>
        <v>-1.2442096161160321E-2</v>
      </c>
      <c r="C258" s="202">
        <f>'Rate Class Energy Model'!I62-1</f>
        <v>5.6165417224585124E-3</v>
      </c>
      <c r="D258" s="202">
        <f>'Rate Class Energy Model'!J62-1</f>
        <v>-3.5142550370386161E-3</v>
      </c>
      <c r="E258" s="202">
        <f>'Rate Class Energy Model'!K62-1</f>
        <v>-0.32748773633803774</v>
      </c>
      <c r="F258" s="202">
        <f>'Rate Class Energy Model'!L62-1</f>
        <v>-5.6271883737249007E-2</v>
      </c>
      <c r="G258" s="202">
        <f>'Rate Class Energy Model'!M62-1</f>
        <v>4.8016417113210696E-2</v>
      </c>
      <c r="H258" s="202">
        <f>'Rate Class Energy Model'!N62-1</f>
        <v>-1.3350505044807948E-2</v>
      </c>
      <c r="K258" s="210"/>
    </row>
    <row r="259" spans="1:12" x14ac:dyDescent="0.2">
      <c r="K259" s="210"/>
    </row>
    <row r="260" spans="1:12" x14ac:dyDescent="0.2">
      <c r="A260" s="317" t="s">
        <v>166</v>
      </c>
      <c r="B260" s="298"/>
      <c r="C260" s="298"/>
      <c r="D260" s="298"/>
      <c r="E260" s="298"/>
      <c r="F260" s="298"/>
      <c r="G260" s="298"/>
      <c r="H260" s="298"/>
    </row>
    <row r="261" spans="1:12" ht="51" x14ac:dyDescent="0.2">
      <c r="A261" s="219" t="s">
        <v>96</v>
      </c>
      <c r="B261" s="211" t="str">
        <f t="shared" ref="B261:H261" si="71">B242</f>
        <v xml:space="preserve">Residential </v>
      </c>
      <c r="C261" s="211" t="str">
        <f t="shared" si="71"/>
        <v>General Service 
&lt; 50 kW</v>
      </c>
      <c r="D261" s="211" t="str">
        <f t="shared" si="71"/>
        <v>General Service 
50 to 
4,999 kW</v>
      </c>
      <c r="E261" s="211" t="str">
        <f t="shared" si="71"/>
        <v>Large User</v>
      </c>
      <c r="F261" s="211" t="str">
        <f t="shared" si="71"/>
        <v xml:space="preserve">Street Lights </v>
      </c>
      <c r="G261" s="211" t="str">
        <f t="shared" si="71"/>
        <v>Sentinel Lights</v>
      </c>
      <c r="H261" s="211" t="str">
        <f t="shared" si="71"/>
        <v xml:space="preserve">Unmetered Scattered Loads </v>
      </c>
    </row>
    <row r="262" spans="1:12" x14ac:dyDescent="0.2">
      <c r="A262" s="295" t="s">
        <v>142</v>
      </c>
      <c r="B262" s="295"/>
      <c r="C262" s="295"/>
      <c r="D262" s="295"/>
      <c r="E262" s="295"/>
      <c r="F262" s="295"/>
      <c r="G262" s="295"/>
      <c r="H262" s="295"/>
    </row>
    <row r="263" spans="1:12" x14ac:dyDescent="0.2">
      <c r="A263" s="265" t="str">
        <f>A219</f>
        <v>2016 Bridge</v>
      </c>
      <c r="B263" s="198">
        <f>'Rate Class Energy Model'!H43</f>
        <v>7655.434518184682</v>
      </c>
      <c r="C263" s="198">
        <f>'Rate Class Energy Model'!I43</f>
        <v>30700.986763389705</v>
      </c>
      <c r="D263" s="198">
        <f>'Rate Class Energy Model'!J43</f>
        <v>880148.76390346268</v>
      </c>
      <c r="E263" s="198">
        <f>'Rate Class Energy Model'!K43</f>
        <v>0</v>
      </c>
      <c r="F263" s="198">
        <f>'Rate Class Energy Model'!L43</f>
        <v>336.35023493761582</v>
      </c>
      <c r="G263" s="198">
        <f>'Rate Class Energy Model'!M43</f>
        <v>1463.7709108558486</v>
      </c>
      <c r="H263" s="198">
        <f>'Rate Class Energy Model'!N43</f>
        <v>3728.9238807889456</v>
      </c>
    </row>
    <row r="264" spans="1:12" x14ac:dyDescent="0.2">
      <c r="A264" s="176" t="str">
        <f>A220</f>
        <v>2017 Test</v>
      </c>
      <c r="B264" s="198">
        <f>'Rate Class Energy Model'!H44</f>
        <v>7655.434518184682</v>
      </c>
      <c r="C264" s="198">
        <f>'Rate Class Energy Model'!I44</f>
        <v>30700.986763389705</v>
      </c>
      <c r="D264" s="198">
        <f>'Rate Class Energy Model'!J44</f>
        <v>880148.76390346268</v>
      </c>
      <c r="E264" s="198">
        <f>'Rate Class Energy Model'!K44</f>
        <v>0</v>
      </c>
      <c r="F264" s="198">
        <f>'Rate Class Energy Model'!L44</f>
        <v>336.35023493761582</v>
      </c>
      <c r="G264" s="198">
        <f>'Rate Class Energy Model'!M44</f>
        <v>1463.7709108558486</v>
      </c>
      <c r="H264" s="198">
        <f>'Rate Class Energy Model'!N44</f>
        <v>3679.140863706768</v>
      </c>
    </row>
    <row r="266" spans="1:12" x14ac:dyDescent="0.2">
      <c r="A266" s="298" t="s">
        <v>233</v>
      </c>
      <c r="B266" s="298"/>
      <c r="C266" s="298"/>
      <c r="D266" s="298"/>
      <c r="E266" s="298"/>
      <c r="F266" s="298"/>
      <c r="G266" s="298"/>
      <c r="H266" s="298"/>
      <c r="I266" s="298"/>
      <c r="L266" s="187"/>
    </row>
    <row r="267" spans="1:12" ht="51" x14ac:dyDescent="0.2">
      <c r="A267" s="161" t="s">
        <v>96</v>
      </c>
      <c r="B267" s="162" t="str">
        <f>B261</f>
        <v xml:space="preserve">Residential </v>
      </c>
      <c r="C267" s="162" t="str">
        <f t="shared" ref="C267:H267" si="72">C261</f>
        <v>General Service 
&lt; 50 kW</v>
      </c>
      <c r="D267" s="162" t="str">
        <f t="shared" si="72"/>
        <v>General Service 
50 to 
4,999 kW</v>
      </c>
      <c r="E267" s="162" t="str">
        <f t="shared" si="72"/>
        <v>Large User</v>
      </c>
      <c r="F267" s="162" t="str">
        <f t="shared" si="72"/>
        <v xml:space="preserve">Street Lights </v>
      </c>
      <c r="G267" s="162" t="str">
        <f t="shared" si="72"/>
        <v>Sentinel Lights</v>
      </c>
      <c r="H267" s="162" t="str">
        <f t="shared" si="72"/>
        <v xml:space="preserve">Unmetered Scattered Loads </v>
      </c>
      <c r="I267" s="172" t="str">
        <f>I217</f>
        <v>Total</v>
      </c>
    </row>
    <row r="268" spans="1:12" x14ac:dyDescent="0.2">
      <c r="A268" s="295" t="s">
        <v>143</v>
      </c>
      <c r="B268" s="295"/>
      <c r="C268" s="295"/>
      <c r="D268" s="295"/>
      <c r="E268" s="295"/>
      <c r="F268" s="295"/>
      <c r="G268" s="295"/>
      <c r="H268" s="295"/>
      <c r="I268" s="295"/>
    </row>
    <row r="269" spans="1:12" x14ac:dyDescent="0.2">
      <c r="A269" s="212" t="str">
        <f>A263</f>
        <v>2016 Bridge</v>
      </c>
      <c r="B269" s="213">
        <f>B263*B219/1000000</f>
        <v>159.52211954217395</v>
      </c>
      <c r="C269" s="213">
        <f t="shared" ref="C269:H269" si="73">C263*C219/1000000</f>
        <v>54.530144327206692</v>
      </c>
      <c r="D269" s="213">
        <f t="shared" si="73"/>
        <v>135.45313533995392</v>
      </c>
      <c r="E269" s="213">
        <f t="shared" si="73"/>
        <v>0</v>
      </c>
      <c r="F269" s="213">
        <f t="shared" si="73"/>
        <v>2.2948498714770267</v>
      </c>
      <c r="G269" s="213">
        <f t="shared" si="73"/>
        <v>0.75396399999999997</v>
      </c>
      <c r="H269" s="213">
        <f t="shared" si="73"/>
        <v>0.95709046273582943</v>
      </c>
      <c r="I269" s="213">
        <f>SUM(B269:H269)</f>
        <v>353.5113035435474</v>
      </c>
    </row>
    <row r="270" spans="1:12" x14ac:dyDescent="0.2">
      <c r="A270" s="212" t="str">
        <f>A264</f>
        <v>2017 Test</v>
      </c>
      <c r="B270" s="213">
        <f>B264*B220/1000000</f>
        <v>161.08569693942343</v>
      </c>
      <c r="C270" s="213">
        <f t="shared" ref="C270:H270" si="74">C264*C220/1000000</f>
        <v>54.748555976914538</v>
      </c>
      <c r="D270" s="213">
        <f t="shared" si="74"/>
        <v>131.24428178506398</v>
      </c>
      <c r="E270" s="213">
        <f t="shared" si="74"/>
        <v>0</v>
      </c>
      <c r="F270" s="213">
        <f t="shared" si="74"/>
        <v>2.3050579500028339</v>
      </c>
      <c r="G270" s="213">
        <f t="shared" si="74"/>
        <v>0.75396399999999997</v>
      </c>
      <c r="H270" s="213">
        <f t="shared" si="74"/>
        <v>0.94431282168473718</v>
      </c>
      <c r="I270" s="213">
        <f>SUM(B270:H270)</f>
        <v>351.08186947308951</v>
      </c>
    </row>
    <row r="272" spans="1:12" x14ac:dyDescent="0.2">
      <c r="B272" s="298" t="s">
        <v>167</v>
      </c>
      <c r="C272" s="298"/>
      <c r="D272" s="298"/>
      <c r="E272" s="298"/>
    </row>
    <row r="273" spans="1:11" ht="51" x14ac:dyDescent="0.2">
      <c r="B273" s="162" t="str">
        <f>B267</f>
        <v xml:space="preserve">Residential </v>
      </c>
      <c r="C273" s="162" t="str">
        <f t="shared" ref="C273:H273" si="75">C267</f>
        <v>General Service 
&lt; 50 kW</v>
      </c>
      <c r="D273" s="162" t="str">
        <f t="shared" si="75"/>
        <v>General Service 
50 to 
4,999 kW</v>
      </c>
      <c r="E273" s="162" t="str">
        <f t="shared" si="75"/>
        <v>Large User</v>
      </c>
      <c r="F273" s="162" t="str">
        <f t="shared" si="75"/>
        <v xml:space="preserve">Street Lights </v>
      </c>
      <c r="G273" s="162" t="str">
        <f t="shared" si="75"/>
        <v>Sentinel Lights</v>
      </c>
      <c r="H273" s="162" t="str">
        <f t="shared" si="75"/>
        <v xml:space="preserve">Unmetered Scattered Loads </v>
      </c>
    </row>
    <row r="274" spans="1:11" x14ac:dyDescent="0.2">
      <c r="B274" s="295" t="s">
        <v>144</v>
      </c>
      <c r="C274" s="295"/>
      <c r="D274" s="295"/>
      <c r="E274" s="295"/>
      <c r="F274" s="295"/>
      <c r="G274" s="295"/>
      <c r="H274" s="295"/>
    </row>
    <row r="275" spans="1:11" x14ac:dyDescent="0.2">
      <c r="B275" s="266">
        <f>'Rate Class Energy Model'!H72</f>
        <v>0.81967514412601028</v>
      </c>
      <c r="C275" s="266">
        <f>'Rate Class Energy Model'!I72</f>
        <v>0.81967514412601028</v>
      </c>
      <c r="D275" s="266">
        <f>'Rate Class Energy Model'!J72</f>
        <v>0.63935028825202056</v>
      </c>
      <c r="E275" s="266">
        <f>'Rate Class Energy Model'!K72</f>
        <v>0</v>
      </c>
      <c r="F275" s="266">
        <f>'Rate Class Energy Model'!L72</f>
        <v>0</v>
      </c>
      <c r="G275" s="266">
        <f>'Rate Class Energy Model'!M72</f>
        <v>0</v>
      </c>
      <c r="H275" s="266">
        <f>'Rate Class Energy Model'!N72</f>
        <v>0</v>
      </c>
    </row>
    <row r="276" spans="1:11" x14ac:dyDescent="0.2">
      <c r="B276" s="214"/>
      <c r="C276" s="214"/>
      <c r="D276" s="214"/>
      <c r="E276" s="214"/>
    </row>
    <row r="277" spans="1:11" x14ac:dyDescent="0.2">
      <c r="A277" s="302" t="s">
        <v>274</v>
      </c>
      <c r="B277" s="303"/>
      <c r="C277" s="303"/>
      <c r="D277" s="303"/>
      <c r="E277" s="303"/>
      <c r="F277"/>
    </row>
    <row r="278" spans="1:11" x14ac:dyDescent="0.2">
      <c r="A278" s="215"/>
      <c r="B278" s="215">
        <v>2016</v>
      </c>
      <c r="C278" s="215">
        <v>2017</v>
      </c>
      <c r="D278"/>
      <c r="E278"/>
    </row>
    <row r="279" spans="1:11" x14ac:dyDescent="0.2">
      <c r="A279" s="216" t="s">
        <v>234</v>
      </c>
      <c r="B279" s="182">
        <f>'[14]D. CDM Plan Milestone LDC 1'!$Q$80*1000</f>
        <v>4054000</v>
      </c>
      <c r="C279" s="182">
        <f>B279</f>
        <v>4054000</v>
      </c>
      <c r="D279"/>
      <c r="E279"/>
      <c r="F279"/>
      <c r="G279"/>
    </row>
    <row r="280" spans="1:11" x14ac:dyDescent="0.2">
      <c r="A280" s="216" t="s">
        <v>235</v>
      </c>
      <c r="B280" s="182"/>
      <c r="C280" s="182">
        <f>'[14]D. CDM Plan Milestone LDC 1'!$S$80*1000</f>
        <v>4350000</v>
      </c>
      <c r="D280"/>
      <c r="E280"/>
      <c r="F280"/>
      <c r="G280"/>
    </row>
    <row r="281" spans="1:11" ht="25.5" x14ac:dyDescent="0.2">
      <c r="A281" s="217" t="s">
        <v>236</v>
      </c>
      <c r="B281" s="182">
        <f>B279</f>
        <v>4054000</v>
      </c>
      <c r="C281" s="182">
        <f>C280</f>
        <v>4350000</v>
      </c>
      <c r="D281"/>
      <c r="E281"/>
    </row>
    <row r="282" spans="1:11" ht="25.5" x14ac:dyDescent="0.2">
      <c r="A282" s="217" t="s">
        <v>237</v>
      </c>
      <c r="B282" s="182">
        <f>SUM(B279:B280)</f>
        <v>4054000</v>
      </c>
      <c r="C282" s="182">
        <f>SUM(C279:C280)</f>
        <v>8404000</v>
      </c>
      <c r="D282"/>
      <c r="E282"/>
    </row>
    <row r="283" spans="1:11" x14ac:dyDescent="0.2">
      <c r="E283"/>
      <c r="F283"/>
      <c r="G283"/>
      <c r="H283"/>
      <c r="I283"/>
      <c r="J283"/>
      <c r="K283"/>
    </row>
    <row r="284" spans="1:11" customFormat="1" x14ac:dyDescent="0.2">
      <c r="A284" s="302" t="s">
        <v>276</v>
      </c>
      <c r="B284" s="303"/>
      <c r="C284" s="303"/>
      <c r="D284" s="303"/>
      <c r="E284" s="303"/>
    </row>
    <row r="285" spans="1:11" customFormat="1" ht="51" x14ac:dyDescent="0.2">
      <c r="A285" s="219" t="s">
        <v>96</v>
      </c>
      <c r="B285" s="162" t="str">
        <f>B242</f>
        <v xml:space="preserve">Residential </v>
      </c>
      <c r="C285" s="162" t="str">
        <f t="shared" ref="C285:D285" si="76">C242</f>
        <v>General Service 
&lt; 50 kW</v>
      </c>
      <c r="D285" s="162" t="str">
        <f t="shared" si="76"/>
        <v>General Service 
50 to 
4,999 kW</v>
      </c>
      <c r="E285" s="162" t="str">
        <f>'Exhibit 3 Tables'!F267</f>
        <v xml:space="preserve">Street Lights </v>
      </c>
      <c r="F285" s="162" t="s">
        <v>10</v>
      </c>
    </row>
    <row r="286" spans="1:11" customFormat="1" x14ac:dyDescent="0.2">
      <c r="A286" s="304" t="s">
        <v>275</v>
      </c>
      <c r="B286" s="304"/>
      <c r="C286" s="304"/>
      <c r="D286" s="304"/>
      <c r="E286" s="304"/>
      <c r="F286" s="304"/>
    </row>
    <row r="287" spans="1:11" customFormat="1" x14ac:dyDescent="0.2">
      <c r="A287" s="216" t="str">
        <f>A269</f>
        <v>2016 Bridge</v>
      </c>
      <c r="B287" s="267">
        <f>'Rate Class Energy Model'!H83</f>
        <v>0.14776370603391384</v>
      </c>
      <c r="C287" s="267">
        <f>'Rate Class Energy Model'!I83</f>
        <v>5.9105482413565537E-2</v>
      </c>
      <c r="D287" s="267">
        <f>'Rate Class Energy Model'!J83</f>
        <v>0.38418563568817599</v>
      </c>
      <c r="E287" s="267">
        <f>'Rate Class Energy Model'!L83</f>
        <v>0.40894517586434465</v>
      </c>
      <c r="F287" s="268">
        <f>SUM(B287:E287)</f>
        <v>1</v>
      </c>
    </row>
    <row r="288" spans="1:11" customFormat="1" x14ac:dyDescent="0.2">
      <c r="A288" s="216" t="str">
        <f>A270</f>
        <v>2017 Test</v>
      </c>
      <c r="B288" s="267">
        <f>'Rate Class Energy Model'!H84</f>
        <v>0.20894240849242118</v>
      </c>
      <c r="C288" s="267">
        <f>'Rate Class Energy Model'!I84</f>
        <v>8.3576963396968476E-2</v>
      </c>
      <c r="D288" s="267">
        <f>'Rate Class Energy Model'!J84</f>
        <v>0.54325026208029514</v>
      </c>
      <c r="E288" s="267">
        <f>'Rate Class Energy Model'!L84</f>
        <v>0.16423036603031529</v>
      </c>
      <c r="F288" s="268">
        <f>SUM(B288:E288)</f>
        <v>1</v>
      </c>
    </row>
    <row r="289" spans="1:12" customFormat="1" x14ac:dyDescent="0.2">
      <c r="A289" s="271" t="s">
        <v>251</v>
      </c>
      <c r="B289" s="271"/>
      <c r="C289" s="271"/>
      <c r="D289" s="271"/>
      <c r="E289" s="271"/>
      <c r="F289" s="271"/>
    </row>
    <row r="290" spans="1:12" customFormat="1" x14ac:dyDescent="0.2">
      <c r="A290" s="269" t="str">
        <f>A263</f>
        <v>2016 Bridge</v>
      </c>
      <c r="B290" s="270">
        <f>$B$279*0.5*B287</f>
        <v>299517.03213074338</v>
      </c>
      <c r="C290" s="270">
        <f t="shared" ref="C290:E290" si="77">$B$279*0.5*C287</f>
        <v>119806.81285229734</v>
      </c>
      <c r="D290" s="270">
        <f t="shared" si="77"/>
        <v>778744.28353993269</v>
      </c>
      <c r="E290" s="270">
        <f t="shared" si="77"/>
        <v>828931.87147702661</v>
      </c>
      <c r="F290" s="270">
        <f>SUM(B290:E290)</f>
        <v>2027000</v>
      </c>
    </row>
    <row r="291" spans="1:12" customFormat="1" x14ac:dyDescent="0.2">
      <c r="A291" s="216" t="str">
        <f>A264</f>
        <v>2017 Test</v>
      </c>
      <c r="B291" s="182">
        <f>($C$279+0.5*$C$280)*B288</f>
        <v>1301502.2624992914</v>
      </c>
      <c r="C291" s="182">
        <f t="shared" ref="C291:E291" si="78">($C$279+0.5*$C$280)*C288</f>
        <v>520600.90499971661</v>
      </c>
      <c r="D291" s="182">
        <f t="shared" si="78"/>
        <v>3383905.8824981586</v>
      </c>
      <c r="E291" s="182">
        <f t="shared" si="78"/>
        <v>1022990.950002834</v>
      </c>
      <c r="F291" s="270">
        <f>SUM(B291:E291)</f>
        <v>6229000.0000000009</v>
      </c>
    </row>
    <row r="292" spans="1:12" customFormat="1" x14ac:dyDescent="0.2"/>
    <row r="293" spans="1:12" customFormat="1" x14ac:dyDescent="0.2">
      <c r="A293" s="302" t="s">
        <v>277</v>
      </c>
      <c r="B293" s="303"/>
      <c r="C293" s="303"/>
      <c r="D293" s="303"/>
      <c r="E293" s="303"/>
    </row>
    <row r="294" spans="1:12" customFormat="1" ht="51" x14ac:dyDescent="0.2">
      <c r="A294" s="219" t="s">
        <v>96</v>
      </c>
      <c r="B294" s="162" t="str">
        <f>B285</f>
        <v xml:space="preserve">Residential </v>
      </c>
      <c r="C294" s="162" t="str">
        <f t="shared" ref="C294:E294" si="79">C285</f>
        <v>General Service 
&lt; 50 kW</v>
      </c>
      <c r="D294" s="162" t="str">
        <f t="shared" si="79"/>
        <v>General Service 
50 to 
4,999 kW</v>
      </c>
      <c r="E294" s="162" t="str">
        <f t="shared" si="79"/>
        <v xml:space="preserve">Street Lights </v>
      </c>
      <c r="F294" s="162" t="s">
        <v>10</v>
      </c>
    </row>
    <row r="295" spans="1:12" customFormat="1" x14ac:dyDescent="0.2">
      <c r="A295" s="216" t="s">
        <v>238</v>
      </c>
      <c r="B295" s="182">
        <f>($C$279+$C$280)*B288</f>
        <v>1755952.0009703077</v>
      </c>
      <c r="C295" s="182">
        <f t="shared" ref="C295:E295" si="80">($C$279+$C$280)*C288</f>
        <v>702380.80038812303</v>
      </c>
      <c r="D295" s="182">
        <f t="shared" si="80"/>
        <v>4565475.2025228003</v>
      </c>
      <c r="E295" s="182">
        <f t="shared" si="80"/>
        <v>1380191.9961187697</v>
      </c>
      <c r="F295" s="182">
        <f>SUM(B295:E295)</f>
        <v>8404000</v>
      </c>
    </row>
    <row r="296" spans="1:12" customFormat="1" x14ac:dyDescent="0.2">
      <c r="A296" s="216" t="s">
        <v>239</v>
      </c>
      <c r="B296" s="182"/>
      <c r="C296" s="182"/>
      <c r="D296" s="182">
        <f>D295*B352</f>
        <v>12878.169079568137</v>
      </c>
      <c r="E296" s="182">
        <f>E295*C352</f>
        <v>3832.5628622201161</v>
      </c>
      <c r="F296" s="182">
        <f>SUM(B296:D296)</f>
        <v>12878.169079568137</v>
      </c>
    </row>
    <row r="297" spans="1:12" x14ac:dyDescent="0.2">
      <c r="A297" s="216" t="s">
        <v>240</v>
      </c>
      <c r="B297" s="182"/>
      <c r="C297" s="182"/>
      <c r="D297" s="182">
        <f>D296/12</f>
        <v>1073.1807566306782</v>
      </c>
      <c r="E297" s="182">
        <f>E296/12</f>
        <v>319.38023851834299</v>
      </c>
      <c r="F297" s="182">
        <f>SUM(B297:D297)</f>
        <v>1073.1807566306782</v>
      </c>
    </row>
    <row r="298" spans="1:12" x14ac:dyDescent="0.2">
      <c r="B298" s="214"/>
      <c r="C298" s="214"/>
      <c r="D298" s="214"/>
      <c r="E298" s="214"/>
    </row>
    <row r="300" spans="1:12" x14ac:dyDescent="0.2">
      <c r="A300" s="298" t="s">
        <v>278</v>
      </c>
      <c r="B300" s="298"/>
      <c r="C300" s="298"/>
      <c r="D300" s="298"/>
      <c r="E300" s="298"/>
      <c r="F300" s="298"/>
      <c r="L300" s="187"/>
    </row>
    <row r="301" spans="1:12" ht="51" x14ac:dyDescent="0.2">
      <c r="A301" s="161" t="s">
        <v>96</v>
      </c>
      <c r="B301" s="162" t="str">
        <f>B273</f>
        <v xml:space="preserve">Residential </v>
      </c>
      <c r="C301" s="162" t="str">
        <f t="shared" ref="C301:H301" si="81">C273</f>
        <v>General Service 
&lt; 50 kW</v>
      </c>
      <c r="D301" s="162" t="str">
        <f t="shared" si="81"/>
        <v>General Service 
50 to 
4,999 kW</v>
      </c>
      <c r="E301" s="162" t="str">
        <f t="shared" si="81"/>
        <v>Large User</v>
      </c>
      <c r="F301" s="162" t="str">
        <f t="shared" si="81"/>
        <v xml:space="preserve">Street Lights </v>
      </c>
      <c r="G301" s="162" t="str">
        <f t="shared" si="81"/>
        <v>Sentinel Lights</v>
      </c>
      <c r="H301" s="162" t="str">
        <f t="shared" si="81"/>
        <v xml:space="preserve">Unmetered Scattered Loads </v>
      </c>
      <c r="I301" s="172" t="str">
        <f>I267</f>
        <v>Total</v>
      </c>
    </row>
    <row r="302" spans="1:12" x14ac:dyDescent="0.2">
      <c r="A302" s="295" t="s">
        <v>150</v>
      </c>
      <c r="B302" s="295"/>
      <c r="C302" s="295"/>
      <c r="D302" s="295"/>
      <c r="E302" s="295"/>
      <c r="F302" s="295"/>
      <c r="G302" s="295"/>
      <c r="H302" s="295"/>
      <c r="I302" s="295"/>
    </row>
    <row r="303" spans="1:12" x14ac:dyDescent="0.2">
      <c r="A303" s="166" t="str">
        <f>A290</f>
        <v>2016 Bridge</v>
      </c>
      <c r="B303" s="273">
        <f>B269</f>
        <v>159.52211954217395</v>
      </c>
      <c r="C303" s="273">
        <f t="shared" ref="C303:G303" si="82">C269</f>
        <v>54.530144327206692</v>
      </c>
      <c r="D303" s="273">
        <f t="shared" si="82"/>
        <v>135.45313533995392</v>
      </c>
      <c r="E303" s="273">
        <f t="shared" si="82"/>
        <v>0</v>
      </c>
      <c r="F303" s="273">
        <f t="shared" si="82"/>
        <v>2.2948498714770267</v>
      </c>
      <c r="G303" s="273">
        <f t="shared" si="82"/>
        <v>0.75396399999999997</v>
      </c>
      <c r="H303" s="273">
        <f t="shared" ref="H303" si="83">H269</f>
        <v>0.95709046273582943</v>
      </c>
      <c r="I303" s="273">
        <f>SUM(B303:G303)</f>
        <v>352.55421308081156</v>
      </c>
    </row>
    <row r="304" spans="1:12" x14ac:dyDescent="0.2">
      <c r="A304" s="166" t="str">
        <f>A291</f>
        <v>2017 Test</v>
      </c>
      <c r="B304" s="273">
        <f>B270</f>
        <v>161.08569693942343</v>
      </c>
      <c r="C304" s="273">
        <f t="shared" ref="C304:G304" si="84">C270</f>
        <v>54.748555976914538</v>
      </c>
      <c r="D304" s="273">
        <f t="shared" si="84"/>
        <v>131.24428178506398</v>
      </c>
      <c r="E304" s="273">
        <f t="shared" si="84"/>
        <v>0</v>
      </c>
      <c r="F304" s="273">
        <f t="shared" si="84"/>
        <v>2.3050579500028339</v>
      </c>
      <c r="G304" s="273">
        <f t="shared" si="84"/>
        <v>0.75396399999999997</v>
      </c>
      <c r="H304" s="273">
        <f t="shared" ref="H304" si="85">H270</f>
        <v>0.94431282168473718</v>
      </c>
      <c r="I304" s="273">
        <f>SUM(B304:G304)</f>
        <v>350.13755665140479</v>
      </c>
    </row>
    <row r="305" spans="1:11" x14ac:dyDescent="0.2">
      <c r="A305" s="295" t="s">
        <v>151</v>
      </c>
      <c r="B305" s="295"/>
      <c r="C305" s="295"/>
      <c r="D305" s="295"/>
      <c r="E305" s="295"/>
      <c r="F305" s="295"/>
      <c r="G305" s="295"/>
      <c r="H305" s="295"/>
      <c r="I305" s="295"/>
    </row>
    <row r="306" spans="1:11" x14ac:dyDescent="0.2">
      <c r="A306" s="152" t="str">
        <f>A263</f>
        <v>2016 Bridge</v>
      </c>
      <c r="B306" s="274">
        <f ca="1">'Rate Class Energy Model'!H77/1000000</f>
        <v>6.244633074015157</v>
      </c>
      <c r="C306" s="274">
        <f ca="1">'Rate Class Energy Model'!I77/1000000</f>
        <v>2.1346302555017718</v>
      </c>
      <c r="D306" s="274">
        <f ca="1">'Rate Class Energy Model'!J77/1000000</f>
        <v>4.1359204334252055</v>
      </c>
      <c r="E306" s="274">
        <f ca="1">'Rate Class Energy Model'!K77/1000000</f>
        <v>0</v>
      </c>
      <c r="F306" s="274">
        <f ca="1">'Rate Class Energy Model'!L77/1000000</f>
        <v>0</v>
      </c>
      <c r="G306" s="274">
        <f ca="1">'Rate Class Energy Model'!M77/1000000</f>
        <v>0</v>
      </c>
      <c r="H306" s="274">
        <f ca="1">'Rate Class Energy Model'!N77/1000000</f>
        <v>0</v>
      </c>
      <c r="I306" s="274">
        <f ca="1">SUM(B306:G306)</f>
        <v>12.515183762942135</v>
      </c>
    </row>
    <row r="307" spans="1:11" x14ac:dyDescent="0.2">
      <c r="A307" s="152" t="str">
        <f>A264</f>
        <v>2017 Test</v>
      </c>
      <c r="B307" s="274">
        <f ca="1">'Rate Class Energy Model'!H78/1000000</f>
        <v>11.620359957047105</v>
      </c>
      <c r="C307" s="274">
        <f ca="1">'Rate Class Energy Model'!I78/1000000</f>
        <v>3.9494377195979919</v>
      </c>
      <c r="D307" s="274">
        <f ca="1">'Rate Class Energy Model'!J78/1000000</f>
        <v>7.3848230061644342</v>
      </c>
      <c r="E307" s="274">
        <f ca="1">'Rate Class Energy Model'!K78/1000000</f>
        <v>0</v>
      </c>
      <c r="F307" s="274">
        <f ca="1">'Rate Class Energy Model'!L78/1000000</f>
        <v>0</v>
      </c>
      <c r="G307" s="274">
        <f ca="1">'Rate Class Energy Model'!M78/1000000</f>
        <v>0</v>
      </c>
      <c r="H307" s="274">
        <f ca="1">'Rate Class Energy Model'!N78/1000000</f>
        <v>0</v>
      </c>
      <c r="I307" s="273">
        <f ca="1">SUM(B307:G307)</f>
        <v>22.95462068280953</v>
      </c>
    </row>
    <row r="308" spans="1:11" x14ac:dyDescent="0.2">
      <c r="A308" s="295" t="s">
        <v>152</v>
      </c>
      <c r="B308" s="295"/>
      <c r="C308" s="295"/>
      <c r="D308" s="295"/>
      <c r="E308" s="295"/>
      <c r="F308" s="295"/>
      <c r="G308" s="295"/>
      <c r="H308" s="295"/>
      <c r="I308" s="295"/>
    </row>
    <row r="309" spans="1:11" ht="15" customHeight="1" x14ac:dyDescent="0.2">
      <c r="A309" s="152" t="str">
        <f>A306</f>
        <v>2016 Bridge</v>
      </c>
      <c r="B309" s="274">
        <f>-B290/1000000</f>
        <v>-0.29951703213074338</v>
      </c>
      <c r="C309" s="274">
        <f t="shared" ref="C309:D309" si="86">-C290/1000000</f>
        <v>-0.11980681285229734</v>
      </c>
      <c r="D309" s="274">
        <f t="shared" si="86"/>
        <v>-0.77874428353993264</v>
      </c>
      <c r="E309" s="272"/>
      <c r="F309" s="274">
        <f>-E290/1000000</f>
        <v>-0.82893187147702663</v>
      </c>
      <c r="G309" s="150"/>
      <c r="H309" s="150"/>
      <c r="I309" s="274">
        <f>SUM(B309:G309)</f>
        <v>-2.0270000000000001</v>
      </c>
    </row>
    <row r="310" spans="1:11" x14ac:dyDescent="0.2">
      <c r="A310" s="152" t="str">
        <f>A307</f>
        <v>2017 Test</v>
      </c>
      <c r="B310" s="274">
        <f>-B291/1000000</f>
        <v>-1.3015022624992914</v>
      </c>
      <c r="C310" s="274">
        <f t="shared" ref="C310:D310" si="87">-C291/1000000</f>
        <v>-0.52060090499971656</v>
      </c>
      <c r="D310" s="274">
        <f t="shared" si="87"/>
        <v>-3.3839058824981585</v>
      </c>
      <c r="E310" s="272"/>
      <c r="F310" s="274">
        <f>-E291/1000000</f>
        <v>-1.022990950002834</v>
      </c>
      <c r="G310" s="150"/>
      <c r="H310" s="150"/>
      <c r="I310" s="274">
        <f>SUM(B310:G310)</f>
        <v>-6.2290000000000001</v>
      </c>
    </row>
    <row r="311" spans="1:11" x14ac:dyDescent="0.2">
      <c r="A311" s="295" t="s">
        <v>153</v>
      </c>
      <c r="B311" s="295"/>
      <c r="C311" s="295"/>
      <c r="D311" s="295"/>
      <c r="E311" s="295"/>
      <c r="F311" s="295"/>
      <c r="G311" s="295"/>
      <c r="H311" s="295"/>
      <c r="I311" s="295"/>
    </row>
    <row r="312" spans="1:11" x14ac:dyDescent="0.2">
      <c r="A312" s="166" t="str">
        <f>A309</f>
        <v>2016 Bridge</v>
      </c>
      <c r="B312" s="275">
        <f ca="1">B303+B306+B309</f>
        <v>165.46723558405836</v>
      </c>
      <c r="C312" s="275">
        <f t="shared" ref="C312:G313" ca="1" si="88">C303+C306+C309</f>
        <v>56.544967769856164</v>
      </c>
      <c r="D312" s="275">
        <f t="shared" ca="1" si="88"/>
        <v>138.81031148983919</v>
      </c>
      <c r="E312" s="275">
        <f t="shared" ca="1" si="88"/>
        <v>0</v>
      </c>
      <c r="F312" s="275">
        <f t="shared" ca="1" si="88"/>
        <v>1.4659180000000001</v>
      </c>
      <c r="G312" s="275">
        <f t="shared" ca="1" si="88"/>
        <v>0.75396399999999997</v>
      </c>
      <c r="H312" s="275">
        <f t="shared" ref="H312" ca="1" si="89">H303+H306+H309</f>
        <v>0.95709046273582943</v>
      </c>
      <c r="I312" s="274">
        <f ca="1">SUM(B312:H312)</f>
        <v>363.99948730648953</v>
      </c>
    </row>
    <row r="313" spans="1:11" x14ac:dyDescent="0.2">
      <c r="A313" s="166" t="str">
        <f>A310</f>
        <v>2017 Test</v>
      </c>
      <c r="B313" s="275">
        <f ca="1">B304+B307+B310</f>
        <v>171.40455463397123</v>
      </c>
      <c r="C313" s="275">
        <f t="shared" ca="1" si="88"/>
        <v>58.177392791512816</v>
      </c>
      <c r="D313" s="275">
        <f t="shared" ca="1" si="88"/>
        <v>135.24519890873023</v>
      </c>
      <c r="E313" s="275">
        <f t="shared" ca="1" si="88"/>
        <v>0</v>
      </c>
      <c r="F313" s="275">
        <f t="shared" ca="1" si="88"/>
        <v>1.2820669999999998</v>
      </c>
      <c r="G313" s="275">
        <f t="shared" ca="1" si="88"/>
        <v>0.75396399999999997</v>
      </c>
      <c r="H313" s="275">
        <f t="shared" ref="H313" ca="1" si="90">H304+H307+H310</f>
        <v>0.94431282168473718</v>
      </c>
      <c r="I313" s="274">
        <f ca="1">SUM(B313:H313)</f>
        <v>367.80749015589896</v>
      </c>
    </row>
    <row r="315" spans="1:11" x14ac:dyDescent="0.2">
      <c r="A315" s="298" t="s">
        <v>168</v>
      </c>
      <c r="B315" s="298"/>
      <c r="C315" s="298"/>
      <c r="D315" s="298"/>
      <c r="F315" s="218"/>
    </row>
    <row r="316" spans="1:11" ht="51" x14ac:dyDescent="0.2">
      <c r="A316" s="161" t="s">
        <v>96</v>
      </c>
      <c r="B316" s="162" t="str">
        <f>D301</f>
        <v>General Service 
50 to 
4,999 kW</v>
      </c>
      <c r="C316" s="162" t="str">
        <f>F301</f>
        <v xml:space="preserve">Street Lights </v>
      </c>
      <c r="D316" s="162" t="str">
        <f>G301</f>
        <v>Sentinel Lights</v>
      </c>
      <c r="E316" s="162" t="str">
        <f>I301</f>
        <v>Total</v>
      </c>
      <c r="F316" s="276" t="str">
        <f>B316</f>
        <v>General Service 
50 to 
4,999 kW</v>
      </c>
      <c r="G316" s="211" t="str">
        <f t="shared" ref="G316:H316" si="91">C316</f>
        <v xml:space="preserve">Street Lights </v>
      </c>
      <c r="H316" s="211" t="str">
        <f t="shared" si="91"/>
        <v>Sentinel Lights</v>
      </c>
      <c r="I316" s="211" t="str">
        <f>E316</f>
        <v>Total</v>
      </c>
      <c r="J316" s="256"/>
      <c r="K316" s="256"/>
    </row>
    <row r="317" spans="1:11" x14ac:dyDescent="0.2">
      <c r="A317" s="294" t="s">
        <v>154</v>
      </c>
      <c r="B317" s="294"/>
      <c r="C317" s="294"/>
      <c r="D317" s="294"/>
      <c r="E317" s="294"/>
      <c r="F317" s="295"/>
      <c r="G317" s="295"/>
      <c r="H317" s="295"/>
      <c r="I317" s="295"/>
      <c r="J317" s="224"/>
      <c r="K317" s="224"/>
    </row>
    <row r="318" spans="1:11" x14ac:dyDescent="0.2">
      <c r="A318" s="220"/>
      <c r="B318" s="299" t="s">
        <v>241</v>
      </c>
      <c r="C318" s="300"/>
      <c r="D318" s="300"/>
      <c r="E318" s="301"/>
      <c r="F318" s="293" t="s">
        <v>67</v>
      </c>
      <c r="G318" s="293"/>
      <c r="H318" s="293"/>
      <c r="I318" s="293"/>
      <c r="J318" s="260"/>
      <c r="K318" s="260"/>
    </row>
    <row r="319" spans="1:11" x14ac:dyDescent="0.2">
      <c r="A319" s="173">
        <f t="shared" ref="A319:A332" si="92">A244</f>
        <v>2002</v>
      </c>
      <c r="B319" s="198">
        <f>'Rate Class Load Model'!B2</f>
        <v>551945.62</v>
      </c>
      <c r="C319" s="198">
        <f>'Rate Class Load Model'!D2</f>
        <v>11856.554</v>
      </c>
      <c r="D319" s="198">
        <f>'Rate Class Load Model'!E2</f>
        <v>2536</v>
      </c>
      <c r="E319" s="198">
        <f>SUM(B319:D319)</f>
        <v>566338.174</v>
      </c>
      <c r="F319" s="198">
        <f>B319*F159</f>
        <v>538693.72164246289</v>
      </c>
      <c r="G319" s="198">
        <f>C319*F159</f>
        <v>11571.884926117957</v>
      </c>
      <c r="H319" s="198">
        <f>D319*F159</f>
        <v>2475.1120918131137</v>
      </c>
      <c r="I319" s="198">
        <f>SUM(F319:H319)</f>
        <v>552740.71866039396</v>
      </c>
      <c r="J319"/>
      <c r="K319"/>
    </row>
    <row r="320" spans="1:11" x14ac:dyDescent="0.2">
      <c r="A320" s="173">
        <f t="shared" si="92"/>
        <v>2003</v>
      </c>
      <c r="B320" s="198">
        <f>'Rate Class Load Model'!B3</f>
        <v>449454.27000000008</v>
      </c>
      <c r="C320" s="198">
        <f>'Rate Class Load Model'!D3</f>
        <v>12974.98</v>
      </c>
      <c r="D320" s="198">
        <f>'Rate Class Load Model'!E3</f>
        <v>2928.96</v>
      </c>
      <c r="E320" s="198">
        <f t="shared" ref="E320:E332" si="93">SUM(B320:D320)</f>
        <v>465358.21000000008</v>
      </c>
      <c r="F320" s="198">
        <f t="shared" ref="F320:F332" si="94">B320*F160</f>
        <v>449357.32404515526</v>
      </c>
      <c r="G320" s="198">
        <f t="shared" ref="G320:G332" si="95">C320*F160</f>
        <v>12972.181335243311</v>
      </c>
      <c r="H320" s="198">
        <f t="shared" ref="H320:H332" si="96">D320*F160</f>
        <v>2928.3282320029971</v>
      </c>
      <c r="I320" s="198">
        <f t="shared" ref="I320:I332" si="97">SUM(F320:H320)</f>
        <v>465257.83361240156</v>
      </c>
      <c r="J320"/>
      <c r="K320"/>
    </row>
    <row r="321" spans="1:11" x14ac:dyDescent="0.2">
      <c r="A321" s="173">
        <f t="shared" si="92"/>
        <v>2004</v>
      </c>
      <c r="B321" s="198">
        <f>'Rate Class Load Model'!B4</f>
        <v>418532.51999999996</v>
      </c>
      <c r="C321" s="198">
        <f>'Rate Class Load Model'!D4</f>
        <v>13023.570000000002</v>
      </c>
      <c r="D321" s="198">
        <f>'Rate Class Load Model'!E4</f>
        <v>3192.2000000000003</v>
      </c>
      <c r="E321" s="198">
        <f t="shared" si="93"/>
        <v>434748.29</v>
      </c>
      <c r="F321" s="198">
        <f t="shared" si="94"/>
        <v>422443.95770012488</v>
      </c>
      <c r="G321" s="198">
        <f t="shared" si="95"/>
        <v>13145.283081430845</v>
      </c>
      <c r="H321" s="198">
        <f t="shared" si="96"/>
        <v>3222.0330257021342</v>
      </c>
      <c r="I321" s="198">
        <f t="shared" si="97"/>
        <v>438811.27380725782</v>
      </c>
      <c r="J321"/>
      <c r="K321"/>
    </row>
    <row r="322" spans="1:11" x14ac:dyDescent="0.2">
      <c r="A322" s="173">
        <f t="shared" si="92"/>
        <v>2005</v>
      </c>
      <c r="B322" s="198">
        <f>'Rate Class Load Model'!B5</f>
        <v>415116.47000000003</v>
      </c>
      <c r="C322" s="198">
        <f>'Rate Class Load Model'!D5</f>
        <v>13038.970000000003</v>
      </c>
      <c r="D322" s="198">
        <f>'Rate Class Load Model'!E5</f>
        <v>2843.5</v>
      </c>
      <c r="E322" s="198">
        <f t="shared" si="93"/>
        <v>430998.94000000006</v>
      </c>
      <c r="F322" s="198">
        <f t="shared" si="94"/>
        <v>400679.49671597854</v>
      </c>
      <c r="G322" s="198">
        <f t="shared" si="95"/>
        <v>12585.499046315226</v>
      </c>
      <c r="H322" s="198">
        <f t="shared" si="96"/>
        <v>2744.6083960770934</v>
      </c>
      <c r="I322" s="198">
        <f t="shared" si="97"/>
        <v>416009.60415837087</v>
      </c>
      <c r="J322"/>
      <c r="K322"/>
    </row>
    <row r="323" spans="1:11" x14ac:dyDescent="0.2">
      <c r="A323" s="173">
        <f t="shared" si="92"/>
        <v>2006</v>
      </c>
      <c r="B323" s="198">
        <f>'Rate Class Load Model'!B6</f>
        <v>414301.29000000004</v>
      </c>
      <c r="C323" s="198">
        <f>'Rate Class Load Model'!D6</f>
        <v>13083.960000000001</v>
      </c>
      <c r="D323" s="198">
        <f>'Rate Class Load Model'!E6</f>
        <v>2812.06</v>
      </c>
      <c r="E323" s="198">
        <f t="shared" si="93"/>
        <v>430197.31000000006</v>
      </c>
      <c r="F323" s="198">
        <f t="shared" si="94"/>
        <v>414040.91395712411</v>
      </c>
      <c r="G323" s="198">
        <f t="shared" si="95"/>
        <v>13075.737120148608</v>
      </c>
      <c r="H323" s="198">
        <f t="shared" si="96"/>
        <v>2810.2927038973744</v>
      </c>
      <c r="I323" s="198">
        <f t="shared" si="97"/>
        <v>429926.94378117012</v>
      </c>
      <c r="J323"/>
      <c r="K323"/>
    </row>
    <row r="324" spans="1:11" x14ac:dyDescent="0.2">
      <c r="A324" s="173">
        <f t="shared" si="92"/>
        <v>2007</v>
      </c>
      <c r="B324" s="198">
        <f>'Rate Class Load Model'!B7</f>
        <v>441184.35</v>
      </c>
      <c r="C324" s="198">
        <f>'Rate Class Load Model'!D7</f>
        <v>13085.879999999997</v>
      </c>
      <c r="D324" s="198">
        <f>'Rate Class Load Model'!E7</f>
        <v>3041.58</v>
      </c>
      <c r="E324" s="198">
        <f t="shared" si="93"/>
        <v>457311.81</v>
      </c>
      <c r="F324" s="198">
        <f t="shared" si="94"/>
        <v>438121.57137596502</v>
      </c>
      <c r="G324" s="198">
        <f t="shared" si="95"/>
        <v>12995.035541123143</v>
      </c>
      <c r="H324" s="198">
        <f t="shared" si="96"/>
        <v>3020.4648217138883</v>
      </c>
      <c r="I324" s="198">
        <f t="shared" si="97"/>
        <v>454137.07173880201</v>
      </c>
      <c r="J324"/>
      <c r="K324"/>
    </row>
    <row r="325" spans="1:11" x14ac:dyDescent="0.2">
      <c r="A325" s="173">
        <f t="shared" si="92"/>
        <v>2008</v>
      </c>
      <c r="B325" s="198">
        <f>'Rate Class Load Model'!B8</f>
        <v>417425.21</v>
      </c>
      <c r="C325" s="198">
        <f>'Rate Class Load Model'!D8</f>
        <v>13186.060000000001</v>
      </c>
      <c r="D325" s="198">
        <f>'Rate Class Load Model'!E8</f>
        <v>2690.21</v>
      </c>
      <c r="E325" s="198">
        <f t="shared" si="93"/>
        <v>433301.48000000004</v>
      </c>
      <c r="F325" s="198">
        <f t="shared" si="94"/>
        <v>422149.11822622304</v>
      </c>
      <c r="G325" s="198">
        <f t="shared" si="95"/>
        <v>13335.283707177319</v>
      </c>
      <c r="H325" s="198">
        <f t="shared" si="96"/>
        <v>2720.6545080096325</v>
      </c>
      <c r="I325" s="198">
        <f t="shared" si="97"/>
        <v>438205.05644140998</v>
      </c>
      <c r="J325"/>
      <c r="K325"/>
    </row>
    <row r="326" spans="1:11" x14ac:dyDescent="0.2">
      <c r="A326" s="173">
        <f t="shared" si="92"/>
        <v>2009</v>
      </c>
      <c r="B326" s="198">
        <f>'Rate Class Load Model'!B9</f>
        <v>390493.22</v>
      </c>
      <c r="C326" s="198">
        <f>'Rate Class Load Model'!D9</f>
        <v>13091.060000000001</v>
      </c>
      <c r="D326" s="198">
        <f>'Rate Class Load Model'!E9</f>
        <v>3630.8800000000006</v>
      </c>
      <c r="E326" s="198">
        <f t="shared" si="93"/>
        <v>407215.16</v>
      </c>
      <c r="F326" s="198">
        <f t="shared" si="94"/>
        <v>399728.86801251688</v>
      </c>
      <c r="G326" s="198">
        <f t="shared" si="95"/>
        <v>13400.679773349049</v>
      </c>
      <c r="H326" s="198">
        <f t="shared" si="96"/>
        <v>3716.7548063684376</v>
      </c>
      <c r="I326" s="198">
        <f t="shared" si="97"/>
        <v>416846.30259223434</v>
      </c>
      <c r="J326"/>
      <c r="K326"/>
    </row>
    <row r="327" spans="1:11" x14ac:dyDescent="0.2">
      <c r="A327" s="173">
        <f t="shared" si="92"/>
        <v>2010</v>
      </c>
      <c r="B327" s="198">
        <f>'Rate Class Load Model'!B10</f>
        <v>432238.21</v>
      </c>
      <c r="C327" s="198">
        <f>'Rate Class Load Model'!D10</f>
        <v>13118.889999999998</v>
      </c>
      <c r="D327" s="198">
        <f>'Rate Class Load Model'!E10</f>
        <v>2816.28</v>
      </c>
      <c r="E327" s="198">
        <f t="shared" si="93"/>
        <v>448173.38000000006</v>
      </c>
      <c r="F327" s="198">
        <f t="shared" si="94"/>
        <v>433463.56248592195</v>
      </c>
      <c r="G327" s="198">
        <f t="shared" si="95"/>
        <v>13156.080752927732</v>
      </c>
      <c r="H327" s="198">
        <f t="shared" si="96"/>
        <v>2824.2638746765406</v>
      </c>
      <c r="I327" s="198">
        <f t="shared" si="97"/>
        <v>449443.90711352625</v>
      </c>
      <c r="J327"/>
      <c r="K327"/>
    </row>
    <row r="328" spans="1:11" x14ac:dyDescent="0.2">
      <c r="A328" s="173">
        <f t="shared" si="92"/>
        <v>2011</v>
      </c>
      <c r="B328" s="198">
        <f>'Rate Class Load Model'!B11</f>
        <v>417210</v>
      </c>
      <c r="C328" s="198">
        <f>'Rate Class Load Model'!D11</f>
        <v>13148</v>
      </c>
      <c r="D328" s="198">
        <f>'Rate Class Load Model'!E11</f>
        <v>2462</v>
      </c>
      <c r="E328" s="198">
        <f t="shared" si="93"/>
        <v>432820</v>
      </c>
      <c r="F328" s="198">
        <f t="shared" si="94"/>
        <v>416489.9766493481</v>
      </c>
      <c r="G328" s="198">
        <f t="shared" si="95"/>
        <v>13125.309108088561</v>
      </c>
      <c r="H328" s="198">
        <f t="shared" si="96"/>
        <v>2457.7510666347762</v>
      </c>
      <c r="I328" s="198">
        <f t="shared" si="97"/>
        <v>432073.03682407143</v>
      </c>
      <c r="J328"/>
      <c r="K328"/>
    </row>
    <row r="329" spans="1:11" x14ac:dyDescent="0.2">
      <c r="A329" s="173">
        <f t="shared" si="92"/>
        <v>2012</v>
      </c>
      <c r="B329" s="198">
        <f>'Rate Class Load Model'!B12</f>
        <v>387769</v>
      </c>
      <c r="C329" s="198">
        <f>'Rate Class Load Model'!D12</f>
        <v>12420</v>
      </c>
      <c r="D329" s="198">
        <f>'Rate Class Load Model'!E12</f>
        <v>2331</v>
      </c>
      <c r="E329" s="198">
        <f t="shared" si="93"/>
        <v>402520</v>
      </c>
      <c r="F329" s="198">
        <f t="shared" si="94"/>
        <v>391415.54962028959</v>
      </c>
      <c r="G329" s="198">
        <f t="shared" si="95"/>
        <v>12536.79671733428</v>
      </c>
      <c r="H329" s="198">
        <f t="shared" si="96"/>
        <v>2352.9205433257816</v>
      </c>
      <c r="I329" s="198">
        <f t="shared" si="97"/>
        <v>406305.26688094967</v>
      </c>
      <c r="J329"/>
      <c r="K329"/>
    </row>
    <row r="330" spans="1:11" x14ac:dyDescent="0.2">
      <c r="A330" s="173">
        <f t="shared" si="92"/>
        <v>2013</v>
      </c>
      <c r="B330" s="198">
        <f>'Rate Class Load Model'!B13</f>
        <v>389545</v>
      </c>
      <c r="C330" s="198">
        <f>'Rate Class Load Model'!D13</f>
        <v>7923</v>
      </c>
      <c r="D330" s="198">
        <f>'Rate Class Load Model'!E13</f>
        <v>2186</v>
      </c>
      <c r="E330" s="198">
        <f t="shared" si="93"/>
        <v>399654</v>
      </c>
      <c r="F330" s="198">
        <f t="shared" si="94"/>
        <v>391809.23600112455</v>
      </c>
      <c r="G330" s="198">
        <f t="shared" si="95"/>
        <v>7969.0525532015808</v>
      </c>
      <c r="H330" s="198">
        <f t="shared" si="96"/>
        <v>2198.706156922713</v>
      </c>
      <c r="I330" s="198">
        <f t="shared" si="97"/>
        <v>401976.99471124884</v>
      </c>
      <c r="J330"/>
      <c r="K330"/>
    </row>
    <row r="331" spans="1:11" x14ac:dyDescent="0.2">
      <c r="A331" s="173">
        <f t="shared" si="92"/>
        <v>2014</v>
      </c>
      <c r="B331" s="198">
        <f>'Rate Class Load Model'!B14</f>
        <v>402375</v>
      </c>
      <c r="C331" s="198">
        <f>'Rate Class Load Model'!D14</f>
        <v>6992</v>
      </c>
      <c r="D331" s="198">
        <f>'Rate Class Load Model'!E14</f>
        <v>2120</v>
      </c>
      <c r="E331" s="198">
        <f t="shared" si="93"/>
        <v>411487</v>
      </c>
      <c r="F331" s="198">
        <f t="shared" si="94"/>
        <v>406105.56209976407</v>
      </c>
      <c r="G331" s="198">
        <f t="shared" si="95"/>
        <v>7056.825325135881</v>
      </c>
      <c r="H331" s="198">
        <f t="shared" si="96"/>
        <v>2139.6552759279275</v>
      </c>
      <c r="I331" s="198">
        <f t="shared" si="97"/>
        <v>415302.04270082788</v>
      </c>
      <c r="J331"/>
      <c r="K331"/>
    </row>
    <row r="332" spans="1:11" x14ac:dyDescent="0.2">
      <c r="A332" s="173">
        <f t="shared" si="92"/>
        <v>2015</v>
      </c>
      <c r="B332" s="198">
        <f>'Rate Class Load Model'!B15</f>
        <v>402768</v>
      </c>
      <c r="C332" s="198">
        <f>'Rate Class Load Model'!D15</f>
        <v>6476</v>
      </c>
      <c r="D332" s="198">
        <f>'Rate Class Load Model'!E15</f>
        <v>2077</v>
      </c>
      <c r="E332" s="198">
        <f t="shared" si="93"/>
        <v>411321</v>
      </c>
      <c r="F332" s="198">
        <f t="shared" si="94"/>
        <v>405960.41166257835</v>
      </c>
      <c r="G332" s="198">
        <f t="shared" si="95"/>
        <v>6527.3299416211248</v>
      </c>
      <c r="H332" s="198">
        <f t="shared" si="96"/>
        <v>2093.4626758411173</v>
      </c>
      <c r="I332" s="198">
        <f t="shared" si="97"/>
        <v>414581.20428004058</v>
      </c>
      <c r="J332"/>
      <c r="K332"/>
    </row>
    <row r="333" spans="1:11" x14ac:dyDescent="0.2">
      <c r="A333" s="199"/>
      <c r="B333" s="200"/>
      <c r="C333" s="200"/>
      <c r="D333" s="200"/>
    </row>
    <row r="334" spans="1:11" ht="27.75" customHeight="1" x14ac:dyDescent="0.2">
      <c r="A334" s="296" t="s">
        <v>169</v>
      </c>
      <c r="B334" s="297"/>
      <c r="C334" s="297"/>
      <c r="D334" s="297"/>
      <c r="E334" s="218"/>
    </row>
    <row r="335" spans="1:11" ht="51" x14ac:dyDescent="0.2">
      <c r="A335" s="171" t="s">
        <v>96</v>
      </c>
      <c r="B335" s="162" t="str">
        <f>B316</f>
        <v>General Service 
50 to 
4,999 kW</v>
      </c>
      <c r="C335" s="162" t="str">
        <f t="shared" ref="C335:D335" si="98">C316</f>
        <v xml:space="preserve">Street Lights </v>
      </c>
      <c r="D335" s="162" t="str">
        <f t="shared" si="98"/>
        <v>Sentinel Lights</v>
      </c>
    </row>
    <row r="336" spans="1:11" x14ac:dyDescent="0.2">
      <c r="A336" s="295" t="s">
        <v>155</v>
      </c>
      <c r="B336" s="295"/>
      <c r="C336" s="295"/>
      <c r="D336" s="295"/>
    </row>
    <row r="337" spans="1:4" x14ac:dyDescent="0.2">
      <c r="A337" s="212">
        <f t="shared" ref="A337:A350" si="99">A319</f>
        <v>2002</v>
      </c>
      <c r="B337" s="222">
        <f>'Rate Class Load Model'!B20</f>
        <v>2.5021307645115487E-3</v>
      </c>
      <c r="C337" s="222">
        <f>'Rate Class Load Model'!D20</f>
        <v>2.5894038578043424E-3</v>
      </c>
      <c r="D337" s="222">
        <f>'Rate Class Load Model'!E20</f>
        <v>4.1667727802610641E-3</v>
      </c>
    </row>
    <row r="338" spans="1:4" x14ac:dyDescent="0.2">
      <c r="A338" s="173">
        <f t="shared" si="99"/>
        <v>2003</v>
      </c>
      <c r="B338" s="222">
        <f>'Rate Class Load Model'!B21</f>
        <v>3.0214490640024395E-3</v>
      </c>
      <c r="C338" s="222">
        <f>'Rate Class Load Model'!D21</f>
        <v>2.7910235382058906E-3</v>
      </c>
      <c r="D338" s="222">
        <f>'Rate Class Load Model'!E21</f>
        <v>2.8559319076470863E-3</v>
      </c>
    </row>
    <row r="339" spans="1:4" x14ac:dyDescent="0.2">
      <c r="A339" s="173">
        <f t="shared" si="99"/>
        <v>2004</v>
      </c>
      <c r="B339" s="222">
        <f>'Rate Class Load Model'!B22</f>
        <v>2.8694458221107731E-3</v>
      </c>
      <c r="C339" s="222">
        <f>'Rate Class Load Model'!D22</f>
        <v>2.7881443434703058E-3</v>
      </c>
      <c r="D339" s="222">
        <f>'Rate Class Load Model'!E22</f>
        <v>3.1009344146445701E-3</v>
      </c>
    </row>
    <row r="340" spans="1:4" x14ac:dyDescent="0.2">
      <c r="A340" s="173">
        <f t="shared" si="99"/>
        <v>2005</v>
      </c>
      <c r="B340" s="222">
        <f>'Rate Class Load Model'!B23</f>
        <v>2.8215166334069719E-3</v>
      </c>
      <c r="C340" s="222">
        <f>'Rate Class Load Model'!D23</f>
        <v>2.7898179007914601E-3</v>
      </c>
      <c r="D340" s="222">
        <f>'Rate Class Load Model'!E23</f>
        <v>2.843500796180223E-3</v>
      </c>
    </row>
    <row r="341" spans="1:4" x14ac:dyDescent="0.2">
      <c r="A341" s="173">
        <f t="shared" si="99"/>
        <v>2006</v>
      </c>
      <c r="B341" s="222">
        <f>'Rate Class Load Model'!B24</f>
        <v>2.8189766835699623E-3</v>
      </c>
      <c r="C341" s="222">
        <f>'Rate Class Load Model'!D24</f>
        <v>2.7905589922220717E-3</v>
      </c>
      <c r="D341" s="222">
        <f>'Rate Class Load Model'!E24</f>
        <v>2.7815664656754111E-3</v>
      </c>
    </row>
    <row r="342" spans="1:4" x14ac:dyDescent="0.2">
      <c r="A342" s="173">
        <f t="shared" si="99"/>
        <v>2007</v>
      </c>
      <c r="B342" s="222">
        <f>'Rate Class Load Model'!B25</f>
        <v>2.702928491605239E-3</v>
      </c>
      <c r="C342" s="222">
        <f>'Rate Class Load Model'!D25</f>
        <v>2.7894294023391255E-3</v>
      </c>
      <c r="D342" s="222">
        <f>'Rate Class Load Model'!E25</f>
        <v>3.1016556266504746E-3</v>
      </c>
    </row>
    <row r="343" spans="1:4" x14ac:dyDescent="0.2">
      <c r="A343" s="173">
        <f t="shared" si="99"/>
        <v>2008</v>
      </c>
      <c r="B343" s="222">
        <f>'Rate Class Load Model'!B26</f>
        <v>2.8765384169792724E-3</v>
      </c>
      <c r="C343" s="222">
        <f>'Rate Class Load Model'!D26</f>
        <v>2.79090490012602E-3</v>
      </c>
      <c r="D343" s="222">
        <f>'Rate Class Load Model'!E26</f>
        <v>2.8328275112671918E-3</v>
      </c>
    </row>
    <row r="344" spans="1:4" x14ac:dyDescent="0.2">
      <c r="A344" s="173">
        <f t="shared" si="99"/>
        <v>2009</v>
      </c>
      <c r="B344" s="222">
        <f>'Rate Class Load Model'!B27</f>
        <v>2.8843985179313083E-3</v>
      </c>
      <c r="C344" s="222">
        <f>'Rate Class Load Model'!D27</f>
        <v>2.790106558947578E-3</v>
      </c>
      <c r="D344" s="222">
        <f>'Rate Class Load Model'!E27</f>
        <v>3.4490291122876472E-3</v>
      </c>
    </row>
    <row r="345" spans="1:4" x14ac:dyDescent="0.2">
      <c r="A345" s="173">
        <f t="shared" si="99"/>
        <v>2010</v>
      </c>
      <c r="B345" s="222">
        <f>'Rate Class Load Model'!B28</f>
        <v>2.9823419879910096E-3</v>
      </c>
      <c r="C345" s="222">
        <f>'Rate Class Load Model'!D28</f>
        <v>2.7909111564199786E-3</v>
      </c>
      <c r="D345" s="222">
        <f>'Rate Class Load Model'!E28</f>
        <v>3.0983480273868501E-3</v>
      </c>
    </row>
    <row r="346" spans="1:4" x14ac:dyDescent="0.2">
      <c r="A346" s="173">
        <f t="shared" si="99"/>
        <v>2011</v>
      </c>
      <c r="B346" s="222">
        <f>'Rate Class Load Model'!B29</f>
        <v>2.7781743913623275E-3</v>
      </c>
      <c r="C346" s="222">
        <f>'Rate Class Load Model'!D29</f>
        <v>2.779500108554404E-3</v>
      </c>
      <c r="D346" s="222">
        <f>'Rate Class Load Model'!E29</f>
        <v>2.753175881195205E-3</v>
      </c>
    </row>
    <row r="347" spans="1:4" x14ac:dyDescent="0.2">
      <c r="A347" s="173">
        <f t="shared" si="99"/>
        <v>2012</v>
      </c>
      <c r="B347" s="222">
        <f>'Rate Class Load Model'!B30</f>
        <v>2.7415626762043793E-3</v>
      </c>
      <c r="C347" s="222">
        <f>'Rate Class Load Model'!D30</f>
        <v>2.7727429102504197E-3</v>
      </c>
      <c r="D347" s="222">
        <f>'Rate Class Load Model'!E30</f>
        <v>2.7446843083183598E-3</v>
      </c>
    </row>
    <row r="348" spans="1:4" x14ac:dyDescent="0.2">
      <c r="A348" s="173">
        <f t="shared" si="99"/>
        <v>2013</v>
      </c>
      <c r="B348" s="222">
        <f>'Rate Class Load Model'!B31</f>
        <v>2.8197258143192907E-3</v>
      </c>
      <c r="C348" s="222">
        <f>'Rate Class Load Model'!D31</f>
        <v>2.7855701629328259E-3</v>
      </c>
      <c r="D348" s="222">
        <f>'Rate Class Load Model'!E31</f>
        <v>2.7918619650314819E-3</v>
      </c>
    </row>
    <row r="349" spans="1:4" x14ac:dyDescent="0.2">
      <c r="A349" s="173">
        <f t="shared" si="99"/>
        <v>2014</v>
      </c>
      <c r="B349" s="222">
        <f>'Rate Class Load Model'!B32</f>
        <v>2.7905397653945107E-3</v>
      </c>
      <c r="C349" s="222">
        <f>'Rate Class Load Model'!D32</f>
        <v>2.7930260631834265E-3</v>
      </c>
      <c r="D349" s="222">
        <f>'Rate Class Load Model'!E32</f>
        <v>2.7632987008585777E-3</v>
      </c>
    </row>
    <row r="350" spans="1:4" x14ac:dyDescent="0.2">
      <c r="A350" s="212">
        <f t="shared" si="99"/>
        <v>2015</v>
      </c>
      <c r="B350" s="222">
        <f>'Rate Class Load Model'!B33</f>
        <v>2.881092652070651E-3</v>
      </c>
      <c r="C350" s="222">
        <f>'Rate Class Load Model'!D33</f>
        <v>2.8345239413538922E-3</v>
      </c>
      <c r="D350" s="222">
        <f>'Rate Class Load Model'!E33</f>
        <v>2.7547734374585523E-3</v>
      </c>
    </row>
    <row r="351" spans="1:4" x14ac:dyDescent="0.2">
      <c r="A351" s="173" t="s">
        <v>279</v>
      </c>
      <c r="B351" s="222">
        <f>AVERAGE(B337:B350)</f>
        <v>2.8207729772471201E-3</v>
      </c>
      <c r="C351" s="222">
        <f t="shared" ref="C351:D351" si="100">AVERAGE(C337:C350)</f>
        <v>2.7768331311858385E-3</v>
      </c>
      <c r="D351" s="222">
        <f t="shared" si="100"/>
        <v>3.0027400667759067E-3</v>
      </c>
    </row>
    <row r="352" spans="1:4" x14ac:dyDescent="0.2">
      <c r="A352" s="173" t="s">
        <v>62</v>
      </c>
      <c r="B352" s="223">
        <f>AVERAGE(B337:B350)</f>
        <v>2.8207729772471201E-3</v>
      </c>
      <c r="C352" s="223">
        <f t="shared" ref="C352" si="101">AVERAGE(C337:C350)</f>
        <v>2.7768331311858385E-3</v>
      </c>
      <c r="D352" s="223">
        <f>AVERAGE(D346:D350)</f>
        <v>2.7615588585724353E-3</v>
      </c>
    </row>
    <row r="354" spans="1:24" x14ac:dyDescent="0.2">
      <c r="A354" s="224" t="s">
        <v>170</v>
      </c>
      <c r="B354" s="260"/>
      <c r="C354" s="260"/>
      <c r="D354" s="208"/>
      <c r="E354" s="187"/>
    </row>
    <row r="355" spans="1:24" ht="51" x14ac:dyDescent="0.2">
      <c r="A355" s="277" t="s">
        <v>96</v>
      </c>
      <c r="B355" s="162" t="str">
        <f>B316</f>
        <v>General Service 
50 to 
4,999 kW</v>
      </c>
      <c r="C355" s="162" t="str">
        <f t="shared" ref="C355:E355" si="102">C316</f>
        <v xml:space="preserve">Street Lights </v>
      </c>
      <c r="D355" s="162" t="str">
        <f t="shared" si="102"/>
        <v>Sentinel Lights</v>
      </c>
      <c r="E355" s="162" t="str">
        <f t="shared" si="102"/>
        <v>Total</v>
      </c>
    </row>
    <row r="356" spans="1:24" x14ac:dyDescent="0.2">
      <c r="A356" s="295" t="s">
        <v>156</v>
      </c>
      <c r="B356" s="295"/>
      <c r="C356" s="295"/>
      <c r="D356" s="295"/>
      <c r="E356" s="295"/>
    </row>
    <row r="357" spans="1:24" x14ac:dyDescent="0.2">
      <c r="A357" s="212" t="str">
        <f>A312</f>
        <v>2016 Bridge</v>
      </c>
      <c r="B357" s="204">
        <f ca="1">'Rate Class Load Model'!B16</f>
        <v>391552.37561379391</v>
      </c>
      <c r="C357" s="204">
        <f ca="1">'Rate Class Load Model'!D16</f>
        <v>4070.6096700016819</v>
      </c>
      <c r="D357" s="204">
        <f>'Rate Class Load Model'!E16</f>
        <v>2077</v>
      </c>
      <c r="E357" s="136">
        <f ca="1">SUM(B357:D357)</f>
        <v>397699.98528379557</v>
      </c>
    </row>
    <row r="358" spans="1:24" x14ac:dyDescent="0.2">
      <c r="A358" s="173" t="str">
        <f>A313</f>
        <v>2017 Test</v>
      </c>
      <c r="B358" s="204">
        <f ca="1">'Rate Class Load Model'!B17</f>
        <v>381496.00238415803</v>
      </c>
      <c r="C358" s="204">
        <f ca="1">'Rate Class Load Model'!D17</f>
        <v>3560.0861220000338</v>
      </c>
      <c r="D358" s="204">
        <f>'Rate Class Load Model'!E17</f>
        <v>2077</v>
      </c>
      <c r="E358" s="136">
        <f ca="1">SUM(B358:D358)</f>
        <v>387133.08850615803</v>
      </c>
    </row>
    <row r="359" spans="1:24" x14ac:dyDescent="0.2">
      <c r="A359" s="224"/>
      <c r="B359" s="225"/>
      <c r="C359" s="225"/>
      <c r="D359" s="225"/>
      <c r="E359" s="225"/>
    </row>
    <row r="361" spans="1:24" x14ac:dyDescent="0.2">
      <c r="P361" s="183" t="s">
        <v>171</v>
      </c>
      <c r="Q361" s="184"/>
      <c r="R361" s="184"/>
      <c r="S361" s="184"/>
      <c r="T361" s="184"/>
      <c r="U361" s="184"/>
      <c r="V361" s="184"/>
      <c r="W361" s="184"/>
      <c r="X361" s="185"/>
    </row>
    <row r="362" spans="1:24" ht="38.25" x14ac:dyDescent="0.2">
      <c r="P362" s="201"/>
      <c r="Q362" s="226" t="s">
        <v>157</v>
      </c>
      <c r="R362" s="226" t="s">
        <v>242</v>
      </c>
      <c r="S362" s="227" t="s">
        <v>269</v>
      </c>
      <c r="T362" s="226" t="s">
        <v>243</v>
      </c>
      <c r="U362" s="226" t="s">
        <v>244</v>
      </c>
      <c r="V362" s="226" t="s">
        <v>245</v>
      </c>
      <c r="W362" s="172" t="s">
        <v>246</v>
      </c>
      <c r="X362" s="172" t="s">
        <v>247</v>
      </c>
    </row>
    <row r="363" spans="1:24" x14ac:dyDescent="0.2">
      <c r="P363" s="183" t="s">
        <v>7</v>
      </c>
      <c r="Q363" s="184"/>
      <c r="R363" s="184"/>
      <c r="S363" s="184"/>
      <c r="T363" s="184"/>
      <c r="U363" s="184"/>
      <c r="V363" s="184"/>
      <c r="W363" s="184"/>
      <c r="X363" s="185"/>
    </row>
    <row r="364" spans="1:24" x14ac:dyDescent="0.2">
      <c r="P364" s="173" t="s">
        <v>58</v>
      </c>
      <c r="Q364" s="182">
        <f>Summary!K4</f>
        <v>451220848.00000006</v>
      </c>
      <c r="R364" s="182">
        <f>Summary!L4</f>
        <v>421671164.32258064</v>
      </c>
      <c r="S364" s="150"/>
      <c r="T364" s="182">
        <f>Summary!M4</f>
        <v>415369616</v>
      </c>
      <c r="U364" s="182">
        <f>Summary!N4</f>
        <v>391554997.00000006</v>
      </c>
      <c r="V364" s="182">
        <f>Summary!O4</f>
        <v>372480929.99999994</v>
      </c>
      <c r="W364" s="182"/>
      <c r="X364" s="182"/>
    </row>
    <row r="365" spans="1:24" ht="38.25" x14ac:dyDescent="0.2">
      <c r="P365" s="152" t="s">
        <v>248</v>
      </c>
      <c r="Q365" s="182">
        <f>Summary!K5</f>
        <v>445772004.81993032</v>
      </c>
      <c r="R365" s="182">
        <f>Summary!L5</f>
        <v>428204003.91304761</v>
      </c>
      <c r="S365" s="150"/>
      <c r="T365" s="182">
        <f>Summary!M5</f>
        <v>407493643.81737864</v>
      </c>
      <c r="U365" s="182">
        <f>Summary!N5</f>
        <v>383405251.21115166</v>
      </c>
      <c r="V365" s="182">
        <f>Summary!O5</f>
        <v>376496301.999542</v>
      </c>
      <c r="W365" s="182">
        <f ca="1">Summary!P5</f>
        <v>381003460.21543163</v>
      </c>
      <c r="X365" s="182">
        <f ca="1">Summary!Q5</f>
        <v>389341214.19716752</v>
      </c>
    </row>
    <row r="366" spans="1:24" ht="38.25" x14ac:dyDescent="0.2">
      <c r="P366" s="152" t="s">
        <v>249</v>
      </c>
      <c r="Q366" s="229">
        <f>Summary!K6</f>
        <v>-1.2075778865762301E-2</v>
      </c>
      <c r="R366" s="229">
        <f>Summary!K6</f>
        <v>-1.2075778865762301E-2</v>
      </c>
      <c r="S366" s="150"/>
      <c r="T366" s="229">
        <f>Summary!M6</f>
        <v>-1.8961358460608636E-2</v>
      </c>
      <c r="U366" s="229">
        <f>Summary!N6</f>
        <v>-2.081379589403733E-2</v>
      </c>
      <c r="V366" s="229">
        <f>Summary!O6</f>
        <v>1.0780074028332292E-2</v>
      </c>
      <c r="W366" s="229"/>
      <c r="X366" s="229"/>
    </row>
    <row r="367" spans="1:24" x14ac:dyDescent="0.2">
      <c r="P367" s="231"/>
      <c r="Q367" s="150"/>
      <c r="R367" s="230"/>
      <c r="S367" s="232"/>
      <c r="T367" s="230"/>
      <c r="U367" s="233"/>
      <c r="V367" s="233"/>
      <c r="W367" s="233"/>
      <c r="X367" s="150"/>
    </row>
    <row r="368" spans="1:24" x14ac:dyDescent="0.2">
      <c r="P368" s="234" t="s">
        <v>1</v>
      </c>
      <c r="Q368" s="235"/>
      <c r="R368" s="230"/>
      <c r="S368" s="232"/>
      <c r="T368" s="230"/>
      <c r="U368" s="233"/>
      <c r="V368" s="233"/>
      <c r="W368" s="236">
        <f>'Rate Class Energy Model'!F24</f>
        <v>1.0409177298046226</v>
      </c>
      <c r="X368" s="195">
        <f>W368</f>
        <v>1.0409177298046226</v>
      </c>
    </row>
    <row r="369" spans="16:24" x14ac:dyDescent="0.2">
      <c r="P369" s="234"/>
      <c r="Q369" s="235"/>
      <c r="R369" s="230"/>
      <c r="S369" s="232"/>
      <c r="T369" s="230"/>
      <c r="U369" s="233"/>
      <c r="V369" s="233"/>
      <c r="W369" s="233"/>
      <c r="X369" s="150"/>
    </row>
    <row r="370" spans="16:24" ht="25.5" customHeight="1" x14ac:dyDescent="0.2">
      <c r="P370" s="234" t="s">
        <v>250</v>
      </c>
      <c r="Q370" s="182"/>
      <c r="R370" s="182"/>
      <c r="S370" s="150"/>
      <c r="T370" s="182"/>
      <c r="U370" s="182"/>
      <c r="V370" s="182"/>
      <c r="W370" s="182">
        <f ca="1">W365/W368</f>
        <v>366026487.30648959</v>
      </c>
      <c r="X370" s="182">
        <f ca="1">X365/X368</f>
        <v>374036490.15589905</v>
      </c>
    </row>
    <row r="371" spans="16:24" x14ac:dyDescent="0.2">
      <c r="P371" s="234" t="s">
        <v>251</v>
      </c>
      <c r="Q371" s="182"/>
      <c r="R371" s="182"/>
      <c r="S371" s="150"/>
      <c r="T371" s="182"/>
      <c r="U371" s="182"/>
      <c r="V371" s="182"/>
      <c r="W371" s="182">
        <f>-'Rate Class Energy Model'!G86</f>
        <v>2027000</v>
      </c>
      <c r="X371" s="182">
        <f>-'Rate Class Energy Model'!G87</f>
        <v>6229000</v>
      </c>
    </row>
    <row r="372" spans="16:24" ht="25.5" x14ac:dyDescent="0.2">
      <c r="P372" s="234" t="s">
        <v>252</v>
      </c>
      <c r="Q372" s="182">
        <f>Summary!K11</f>
        <v>429972781</v>
      </c>
      <c r="R372" s="182">
        <f>Summary!L11</f>
        <v>405481205.32258064</v>
      </c>
      <c r="T372" s="182">
        <f>Summary!M11</f>
        <v>399002323</v>
      </c>
      <c r="U372" s="182">
        <f>Summary!N11</f>
        <v>380885629</v>
      </c>
      <c r="V372" s="182">
        <f>Summary!O11</f>
        <v>356369056</v>
      </c>
      <c r="W372" s="182">
        <f ca="1">W370-W371</f>
        <v>363999487.30648959</v>
      </c>
      <c r="X372" s="182">
        <f ca="1">X370-X371</f>
        <v>367807490.15589905</v>
      </c>
    </row>
    <row r="373" spans="16:24" x14ac:dyDescent="0.2">
      <c r="P373" s="237"/>
      <c r="Q373" s="237"/>
      <c r="R373" s="230"/>
      <c r="S373" s="188"/>
      <c r="T373" s="233"/>
      <c r="U373" s="233"/>
      <c r="V373" s="233"/>
      <c r="W373" s="233"/>
      <c r="X373" s="150"/>
    </row>
    <row r="374" spans="16:24" x14ac:dyDescent="0.2">
      <c r="P374" s="183" t="s">
        <v>253</v>
      </c>
      <c r="Q374" s="184"/>
      <c r="R374" s="184"/>
      <c r="S374" s="184"/>
      <c r="T374" s="184"/>
      <c r="U374" s="184"/>
      <c r="V374" s="184"/>
      <c r="W374" s="184"/>
      <c r="X374" s="185"/>
    </row>
    <row r="375" spans="16:24" x14ac:dyDescent="0.2">
      <c r="P375" s="238" t="s">
        <v>158</v>
      </c>
      <c r="Q375" s="238"/>
      <c r="R375" s="238"/>
      <c r="S375" s="180"/>
      <c r="T375" s="228"/>
      <c r="U375" s="228"/>
      <c r="V375" s="228"/>
      <c r="W375" s="228"/>
      <c r="X375" s="150"/>
    </row>
    <row r="376" spans="16:24" x14ac:dyDescent="0.2">
      <c r="P376" s="166" t="s">
        <v>47</v>
      </c>
      <c r="Q376" s="180">
        <f>Summary!K15</f>
        <v>19716.902777777785</v>
      </c>
      <c r="R376" s="180">
        <f>Summary!L15</f>
        <v>20109.833333333332</v>
      </c>
      <c r="S376" s="180">
        <f>[13]Summary!M12</f>
        <v>20432.24624822551</v>
      </c>
      <c r="T376" s="180">
        <f>Summary!M15</f>
        <v>20265.75</v>
      </c>
      <c r="U376" s="180">
        <f>Summary!N15</f>
        <v>20472.166666666668</v>
      </c>
      <c r="V376" s="180">
        <f>Summary!O15</f>
        <v>20635.5</v>
      </c>
      <c r="W376" s="180">
        <f>Summary!P15</f>
        <v>20837.76161408551</v>
      </c>
      <c r="X376" s="180">
        <f>Summary!Q15</f>
        <v>21042.005722442176</v>
      </c>
    </row>
    <row r="377" spans="16:24" x14ac:dyDescent="0.2">
      <c r="P377" s="173" t="s">
        <v>48</v>
      </c>
      <c r="Q377" s="180">
        <f>Summary!K16</f>
        <v>158621921</v>
      </c>
      <c r="R377" s="180">
        <f>Summary!L16</f>
        <v>159179968</v>
      </c>
      <c r="S377" s="180">
        <f>[13]Summary!M13</f>
        <v>162565618.49710244</v>
      </c>
      <c r="T377" s="180">
        <f>Summary!M16</f>
        <v>158724607</v>
      </c>
      <c r="U377" s="180">
        <f>Summary!N16</f>
        <v>158185053</v>
      </c>
      <c r="V377" s="180">
        <f>Summary!O16</f>
        <v>157973719</v>
      </c>
      <c r="W377" s="180">
        <f ca="1">Summary!P16</f>
        <v>165467235.58405837</v>
      </c>
      <c r="X377" s="180">
        <f ca="1">Summary!Q16</f>
        <v>171404554.63397124</v>
      </c>
    </row>
    <row r="378" spans="16:24" x14ac:dyDescent="0.2">
      <c r="P378" s="237"/>
      <c r="Q378" s="237"/>
      <c r="R378" s="237"/>
      <c r="S378" s="180"/>
      <c r="T378" s="228"/>
      <c r="U378" s="228"/>
      <c r="V378" s="228"/>
      <c r="W378" s="228"/>
      <c r="X378" s="228"/>
    </row>
    <row r="379" spans="16:24" x14ac:dyDescent="0.2">
      <c r="P379" s="238" t="str">
        <f>C301</f>
        <v>General Service 
&lt; 50 kW</v>
      </c>
      <c r="Q379" s="238"/>
      <c r="R379" s="238"/>
      <c r="S379" s="180"/>
      <c r="T379" s="228"/>
      <c r="U379" s="228"/>
      <c r="V379" s="228"/>
      <c r="W379" s="228"/>
      <c r="X379" s="228"/>
    </row>
    <row r="380" spans="16:24" x14ac:dyDescent="0.2">
      <c r="P380" s="166" t="s">
        <v>47</v>
      </c>
      <c r="Q380" s="180">
        <f>Summary!K19</f>
        <v>1690.8055555555559</v>
      </c>
      <c r="R380" s="180">
        <f>Summary!L19</f>
        <v>1698.8333333333333</v>
      </c>
      <c r="S380" s="180">
        <f>[13]Summary!M16</f>
        <v>1695.799451063576</v>
      </c>
      <c r="T380" s="180">
        <f>Summary!M19</f>
        <v>1698.5</v>
      </c>
      <c r="U380" s="180">
        <f>Summary!N19</f>
        <v>1742.8333333333333</v>
      </c>
      <c r="V380" s="180">
        <f>Summary!O19</f>
        <v>1769.0833333333333</v>
      </c>
      <c r="W380" s="180">
        <f>Summary!P19</f>
        <v>1776.1691097249281</v>
      </c>
      <c r="X380" s="180">
        <f>Summary!Q19</f>
        <v>1783.2832670447278</v>
      </c>
    </row>
    <row r="381" spans="16:24" x14ac:dyDescent="0.2">
      <c r="P381" s="173" t="s">
        <v>48</v>
      </c>
      <c r="Q381" s="180">
        <f>Summary!K20</f>
        <v>54435719</v>
      </c>
      <c r="R381" s="180">
        <f>Summary!L20</f>
        <v>50022065</v>
      </c>
      <c r="S381" s="180">
        <f>[13]Summary!M17</f>
        <v>54784534.147389494</v>
      </c>
      <c r="T381" s="180">
        <f>Summary!M20</f>
        <v>52726527</v>
      </c>
      <c r="U381" s="180">
        <f>Summary!N20</f>
        <v>53903009</v>
      </c>
      <c r="V381" s="180">
        <f>Summary!O20</f>
        <v>54312604</v>
      </c>
      <c r="W381" s="180">
        <f ca="1">Summary!P20</f>
        <v>56544967.769856162</v>
      </c>
      <c r="X381" s="180">
        <f ca="1">Summary!Q20</f>
        <v>58177392.791512817</v>
      </c>
    </row>
    <row r="382" spans="16:24" x14ac:dyDescent="0.2">
      <c r="P382" s="237"/>
      <c r="Q382" s="237"/>
      <c r="R382" s="237"/>
      <c r="S382" s="180"/>
      <c r="T382" s="228"/>
      <c r="U382" s="228"/>
      <c r="V382" s="228"/>
      <c r="W382" s="228"/>
      <c r="X382" s="228"/>
    </row>
    <row r="383" spans="16:24" x14ac:dyDescent="0.2">
      <c r="P383" s="238" t="str">
        <f>Summary!A22</f>
        <v>General Service 
50 to 
4,999 kW</v>
      </c>
      <c r="Q383" s="238"/>
      <c r="R383" s="238"/>
      <c r="S383" s="180"/>
      <c r="T383" s="228"/>
      <c r="U383" s="228"/>
      <c r="V383" s="228"/>
      <c r="W383" s="228"/>
      <c r="X383" s="228"/>
    </row>
    <row r="384" spans="16:24" x14ac:dyDescent="0.2">
      <c r="P384" s="166" t="s">
        <v>47</v>
      </c>
      <c r="Q384" s="180">
        <f>Summary!K23</f>
        <v>169.73611111111106</v>
      </c>
      <c r="R384" s="180">
        <f>Summary!L23</f>
        <v>173.25</v>
      </c>
      <c r="S384" s="180">
        <f>[13]Summary!M20</f>
        <v>169</v>
      </c>
      <c r="T384" s="180">
        <f>Summary!M23</f>
        <v>172.66666666666666</v>
      </c>
      <c r="U384" s="180">
        <f>Summary!N23</f>
        <v>165.41666666666666</v>
      </c>
      <c r="V384" s="180">
        <f>Summary!O23</f>
        <v>158.83333333333334</v>
      </c>
      <c r="W384" s="180">
        <f>Summary!P23</f>
        <v>153.89800099158106</v>
      </c>
      <c r="X384" s="180">
        <f>Summary!Q23</f>
        <v>149.11602125417429</v>
      </c>
    </row>
    <row r="385" spans="16:24" x14ac:dyDescent="0.2">
      <c r="P385" s="173" t="s">
        <v>48</v>
      </c>
      <c r="Q385" s="180">
        <f>Summary!K24</f>
        <v>150174158</v>
      </c>
      <c r="R385" s="180">
        <f>Summary!L24</f>
        <v>141440866.32258064</v>
      </c>
      <c r="S385" s="180">
        <f>[13]Summary!M21</f>
        <v>141530393.74885863</v>
      </c>
      <c r="T385" s="180">
        <f>Summary!M24</f>
        <v>138149957</v>
      </c>
      <c r="U385" s="180">
        <f>Summary!N24</f>
        <v>144192534</v>
      </c>
      <c r="V385" s="180">
        <f>Summary!O24</f>
        <v>139796962</v>
      </c>
      <c r="W385" s="180">
        <f ca="1">Summary!P24</f>
        <v>138810311.48983923</v>
      </c>
      <c r="X385" s="180">
        <f ca="1">Summary!Q24</f>
        <v>135245198.90873027</v>
      </c>
    </row>
    <row r="386" spans="16:24" x14ac:dyDescent="0.2">
      <c r="P386" s="173" t="s">
        <v>49</v>
      </c>
      <c r="Q386" s="180">
        <f>Summary!K25</f>
        <v>417210</v>
      </c>
      <c r="R386" s="180">
        <f>Summary!L25</f>
        <v>387769</v>
      </c>
      <c r="S386" s="180">
        <f>[13]Summary!M22</f>
        <v>396002.04170930648</v>
      </c>
      <c r="T386" s="180">
        <f>Summary!M25</f>
        <v>389545</v>
      </c>
      <c r="U386" s="180">
        <f>Summary!N25</f>
        <v>402375</v>
      </c>
      <c r="V386" s="180">
        <f>Summary!O25</f>
        <v>402768</v>
      </c>
      <c r="W386" s="180">
        <f ca="1">Summary!P25</f>
        <v>391552.37561379391</v>
      </c>
      <c r="X386" s="180">
        <f ca="1">Summary!Q25</f>
        <v>381496.00238415803</v>
      </c>
    </row>
    <row r="387" spans="16:24" x14ac:dyDescent="0.2">
      <c r="P387" s="237"/>
      <c r="Q387" s="237"/>
      <c r="R387" s="237"/>
      <c r="S387" s="180"/>
      <c r="T387" s="180"/>
      <c r="U387" s="180"/>
      <c r="V387" s="180"/>
      <c r="W387" s="180"/>
      <c r="X387" s="180"/>
    </row>
    <row r="388" spans="16:24" x14ac:dyDescent="0.2">
      <c r="P388" s="238" t="str">
        <f>Summary!A27</f>
        <v>Large User</v>
      </c>
      <c r="Q388" s="238"/>
      <c r="R388" s="238"/>
      <c r="S388" s="180"/>
      <c r="T388" s="228"/>
      <c r="U388" s="228"/>
      <c r="V388" s="228"/>
      <c r="W388" s="228"/>
      <c r="X388" s="228"/>
    </row>
    <row r="389" spans="16:24" x14ac:dyDescent="0.2">
      <c r="P389" s="166" t="str">
        <f>Summary!A28</f>
        <v xml:space="preserve">  Customers</v>
      </c>
      <c r="Q389" s="180">
        <f>Summary!K28</f>
        <v>1</v>
      </c>
      <c r="R389" s="180">
        <f>Summary!L28</f>
        <v>1</v>
      </c>
      <c r="S389" s="180">
        <f>[13]Summary!M25</f>
        <v>1</v>
      </c>
      <c r="T389" s="180">
        <f>Summary!M28</f>
        <v>1</v>
      </c>
      <c r="U389" s="180">
        <f>Summary!N28</f>
        <v>1</v>
      </c>
      <c r="V389" s="180">
        <f>Summary!O28</f>
        <v>1</v>
      </c>
      <c r="W389" s="180">
        <f>Summary!P28</f>
        <v>0</v>
      </c>
      <c r="X389" s="180">
        <f>Summary!Q28</f>
        <v>0</v>
      </c>
    </row>
    <row r="390" spans="16:24" x14ac:dyDescent="0.2">
      <c r="P390" s="166" t="str">
        <f>Summary!A29</f>
        <v xml:space="preserve">  kWh</v>
      </c>
      <c r="Q390" s="180">
        <f>Summary!K29</f>
        <v>59993492</v>
      </c>
      <c r="R390" s="180">
        <f>Summary!L29</f>
        <v>48424320</v>
      </c>
      <c r="S390" s="180">
        <f>[13]Summary!M26</f>
        <v>59538700.549472243</v>
      </c>
      <c r="T390" s="180">
        <f>Summary!M29</f>
        <v>44784691</v>
      </c>
      <c r="U390" s="180">
        <f>Summary!N29</f>
        <v>20367511</v>
      </c>
      <c r="V390" s="180">
        <f>Summary!O29</f>
        <v>277079</v>
      </c>
      <c r="W390" s="180">
        <f ca="1">Summary!P29</f>
        <v>0</v>
      </c>
      <c r="X390" s="180">
        <f ca="1">Summary!Q29</f>
        <v>0</v>
      </c>
    </row>
    <row r="391" spans="16:24" x14ac:dyDescent="0.2">
      <c r="P391" s="166" t="str">
        <f>Summary!A30</f>
        <v xml:space="preserve">  kW</v>
      </c>
      <c r="Q391" s="180">
        <f>Summary!K30</f>
        <v>170236</v>
      </c>
      <c r="R391" s="180">
        <f>Summary!L30</f>
        <v>152573</v>
      </c>
      <c r="S391" s="180">
        <f>[13]Summary!M27</f>
        <v>168817.67255906758</v>
      </c>
      <c r="T391" s="180">
        <f>Summary!M30</f>
        <v>153121</v>
      </c>
      <c r="U391" s="180">
        <f>Summary!N30</f>
        <v>59144</v>
      </c>
      <c r="V391" s="180">
        <f>Summary!O30</f>
        <v>479</v>
      </c>
      <c r="W391" s="180">
        <f ca="1">Summary!P30</f>
        <v>0</v>
      </c>
      <c r="X391" s="180">
        <f ca="1">Summary!Q30</f>
        <v>0</v>
      </c>
    </row>
    <row r="392" spans="16:24" x14ac:dyDescent="0.2">
      <c r="P392" s="237"/>
      <c r="Q392" s="237"/>
      <c r="R392" s="237"/>
      <c r="S392" s="180"/>
      <c r="T392" s="180"/>
      <c r="U392" s="180"/>
      <c r="V392" s="180"/>
      <c r="W392" s="180"/>
      <c r="X392" s="180"/>
    </row>
    <row r="393" spans="16:24" x14ac:dyDescent="0.2">
      <c r="P393" s="238" t="s">
        <v>204</v>
      </c>
      <c r="Q393" s="238"/>
      <c r="R393" s="238"/>
      <c r="S393" s="180"/>
      <c r="T393" s="228"/>
      <c r="U393" s="228"/>
      <c r="V393" s="228"/>
      <c r="W393" s="228"/>
      <c r="X393" s="228"/>
    </row>
    <row r="394" spans="16:24" x14ac:dyDescent="0.2">
      <c r="P394" s="166" t="s">
        <v>69</v>
      </c>
      <c r="Q394" s="180">
        <f>Summary!K33</f>
        <v>6739</v>
      </c>
      <c r="R394" s="180">
        <f>Summary!L33</f>
        <v>6749.166666666667</v>
      </c>
      <c r="S394" s="180">
        <f>[13]Summary!M30</f>
        <v>6749.5</v>
      </c>
      <c r="T394" s="180">
        <f>Summary!M33</f>
        <v>6778.916666666667</v>
      </c>
      <c r="U394" s="180">
        <f>Summary!N33</f>
        <v>6784.333333333333</v>
      </c>
      <c r="V394" s="180">
        <f>Summary!O33</f>
        <v>6792.583333333333</v>
      </c>
      <c r="W394" s="180">
        <f>Summary!P33</f>
        <v>6822.798479396517</v>
      </c>
      <c r="X394" s="180">
        <f>Summary!Q33</f>
        <v>6853.1480301488764</v>
      </c>
    </row>
    <row r="395" spans="16:24" x14ac:dyDescent="0.2">
      <c r="P395" s="173" t="s">
        <v>48</v>
      </c>
      <c r="Q395" s="180">
        <f>Summary!K34</f>
        <v>4730347</v>
      </c>
      <c r="R395" s="180">
        <f>Summary!L34</f>
        <v>4479319</v>
      </c>
      <c r="S395" s="180">
        <f>[13]Summary!M31</f>
        <v>1273280.9617749564</v>
      </c>
      <c r="T395" s="180">
        <f>Summary!M34</f>
        <v>2844301</v>
      </c>
      <c r="U395" s="180">
        <f>Summary!N34</f>
        <v>2503378</v>
      </c>
      <c r="V395" s="180">
        <f>Summary!O34</f>
        <v>2284687</v>
      </c>
      <c r="W395" s="180">
        <f ca="1">Summary!P34</f>
        <v>1465918</v>
      </c>
      <c r="X395" s="180">
        <f ca="1">Summary!Q34</f>
        <v>1282066.9999999998</v>
      </c>
    </row>
    <row r="396" spans="16:24" x14ac:dyDescent="0.2">
      <c r="P396" s="173" t="s">
        <v>49</v>
      </c>
      <c r="Q396" s="180">
        <f>Summary!K35</f>
        <v>13148</v>
      </c>
      <c r="R396" s="180">
        <f>Summary!L35</f>
        <v>12420</v>
      </c>
      <c r="S396" s="180">
        <f>[13]Summary!M32</f>
        <v>3552</v>
      </c>
      <c r="T396" s="180">
        <f>Summary!M35</f>
        <v>7923</v>
      </c>
      <c r="U396" s="180">
        <f>Summary!N35</f>
        <v>6992</v>
      </c>
      <c r="V396" s="180">
        <f>Summary!O35</f>
        <v>6476</v>
      </c>
      <c r="W396" s="180">
        <f ca="1">Summary!P35</f>
        <v>4070.6096700016819</v>
      </c>
      <c r="X396" s="180">
        <f ca="1">Summary!Q35</f>
        <v>3560.0861220000338</v>
      </c>
    </row>
    <row r="397" spans="16:24" x14ac:dyDescent="0.2">
      <c r="P397" s="173"/>
      <c r="Q397" s="278"/>
      <c r="R397" s="278"/>
      <c r="S397" s="180"/>
      <c r="T397" s="180"/>
      <c r="U397" s="180"/>
      <c r="V397" s="180"/>
      <c r="W397" s="180"/>
      <c r="X397" s="180"/>
    </row>
    <row r="398" spans="16:24" x14ac:dyDescent="0.2">
      <c r="P398" s="238" t="str">
        <f>Summary!A37</f>
        <v>Sentinel Lights</v>
      </c>
      <c r="Q398" s="238"/>
      <c r="R398" s="238"/>
      <c r="S398" s="180"/>
      <c r="T398" s="228"/>
      <c r="U398" s="228"/>
      <c r="V398" s="228"/>
      <c r="W398" s="228"/>
      <c r="X398" s="228"/>
    </row>
    <row r="399" spans="16:24" x14ac:dyDescent="0.2">
      <c r="P399" s="166" t="s">
        <v>69</v>
      </c>
      <c r="Q399" s="180">
        <f>Summary!K38</f>
        <v>663.28472222222206</v>
      </c>
      <c r="R399" s="180">
        <f>Summary!L38</f>
        <v>626.84577546296293</v>
      </c>
      <c r="S399" s="180">
        <f>[13]Summary!M35</f>
        <v>574</v>
      </c>
      <c r="T399" s="180">
        <f>Summary!M38</f>
        <v>580.25</v>
      </c>
      <c r="U399" s="180">
        <f>Summary!N38</f>
        <v>519.16666666666663</v>
      </c>
      <c r="V399" s="180">
        <f>Summary!O38</f>
        <v>515.08333333333337</v>
      </c>
      <c r="W399" s="180">
        <f>Summary!P38</f>
        <v>515.08333333333337</v>
      </c>
      <c r="X399" s="180">
        <f>Summary!Q38</f>
        <v>515.08333333333337</v>
      </c>
    </row>
    <row r="400" spans="16:24" x14ac:dyDescent="0.2">
      <c r="P400" s="173" t="s">
        <v>48</v>
      </c>
      <c r="Q400" s="180">
        <f>Summary!K39</f>
        <v>894240</v>
      </c>
      <c r="R400" s="180">
        <f>Summary!L39</f>
        <v>849278</v>
      </c>
      <c r="S400" s="180">
        <f>[13]Summary!M36</f>
        <v>831976.87357555667</v>
      </c>
      <c r="T400" s="180">
        <f>Summary!M39</f>
        <v>782990</v>
      </c>
      <c r="U400" s="180">
        <f>Summary!N39</f>
        <v>767199</v>
      </c>
      <c r="V400" s="180">
        <f>Summary!O39</f>
        <v>753964</v>
      </c>
      <c r="W400" s="180">
        <f ca="1">Summary!P39</f>
        <v>753964</v>
      </c>
      <c r="X400" s="180">
        <f ca="1">Summary!Q39</f>
        <v>753964</v>
      </c>
    </row>
    <row r="401" spans="6:30" x14ac:dyDescent="0.2">
      <c r="P401" s="173" t="s">
        <v>49</v>
      </c>
      <c r="Q401" s="180">
        <f>Summary!K40</f>
        <v>2462</v>
      </c>
      <c r="R401" s="180">
        <f>Summary!L40</f>
        <v>2331</v>
      </c>
      <c r="S401" s="180">
        <f>[13]Summary!M37</f>
        <v>2296.8000000000002</v>
      </c>
      <c r="T401" s="180">
        <f>Summary!M40</f>
        <v>2186</v>
      </c>
      <c r="U401" s="180">
        <f>Summary!N40</f>
        <v>2120</v>
      </c>
      <c r="V401" s="180">
        <f>Summary!O40</f>
        <v>2077</v>
      </c>
      <c r="W401" s="180">
        <f>Summary!P40</f>
        <v>2077</v>
      </c>
      <c r="X401" s="180">
        <f>Summary!Q40</f>
        <v>2077</v>
      </c>
    </row>
    <row r="402" spans="6:30" x14ac:dyDescent="0.2">
      <c r="P402" s="173"/>
      <c r="Q402" s="278"/>
      <c r="R402" s="278"/>
      <c r="S402" s="180"/>
      <c r="T402" s="180"/>
      <c r="U402" s="180"/>
      <c r="V402" s="180"/>
      <c r="W402" s="180"/>
      <c r="X402" s="180"/>
    </row>
    <row r="403" spans="6:30" x14ac:dyDescent="0.2">
      <c r="P403" s="238" t="str">
        <f>Summary!A42</f>
        <v xml:space="preserve">Unmetered Scattered Loads </v>
      </c>
      <c r="Q403" s="238"/>
      <c r="R403" s="238"/>
      <c r="S403" s="180"/>
      <c r="T403" s="228"/>
      <c r="U403" s="228"/>
      <c r="V403" s="228"/>
      <c r="W403" s="228"/>
      <c r="X403" s="228"/>
    </row>
    <row r="404" spans="6:30" x14ac:dyDescent="0.2">
      <c r="P404" s="166" t="s">
        <v>69</v>
      </c>
      <c r="Q404" s="180">
        <f>Summary!K43</f>
        <v>226.32291666666671</v>
      </c>
      <c r="R404" s="180">
        <f>Summary!L43</f>
        <v>220.70008680555566</v>
      </c>
      <c r="S404" s="180">
        <f>[13]Summary!M40</f>
        <v>225.35874142083784</v>
      </c>
      <c r="T404" s="180">
        <f>Summary!M43</f>
        <v>235.5</v>
      </c>
      <c r="U404" s="180">
        <f>Summary!N43</f>
        <v>259.33333333333331</v>
      </c>
      <c r="V404" s="180">
        <f>Summary!O43</f>
        <v>256.66666666666669</v>
      </c>
      <c r="W404" s="180">
        <f>Summary!P43</f>
        <v>256.66666666666669</v>
      </c>
      <c r="X404" s="180">
        <f>Summary!Q43</f>
        <v>256.66666666666669</v>
      </c>
    </row>
    <row r="405" spans="6:30" x14ac:dyDescent="0.2">
      <c r="P405" s="173" t="s">
        <v>48</v>
      </c>
      <c r="Q405" s="180">
        <f>Summary!K44</f>
        <v>1122904</v>
      </c>
      <c r="R405" s="180">
        <f>Summary!L44</f>
        <v>1085389</v>
      </c>
      <c r="S405" s="180">
        <f>[13]Summary!M41</f>
        <v>1111229.6191108765</v>
      </c>
      <c r="T405" s="180">
        <f>Summary!M44</f>
        <v>989250</v>
      </c>
      <c r="U405" s="180">
        <f>Summary!N44</f>
        <v>966945</v>
      </c>
      <c r="V405" s="180">
        <f>Summary!O44</f>
        <v>970041</v>
      </c>
      <c r="W405" s="180">
        <f ca="1">Summary!P44</f>
        <v>957090.46273582941</v>
      </c>
      <c r="X405" s="180">
        <f ca="1">Summary!Q44</f>
        <v>944312.82168473722</v>
      </c>
    </row>
    <row r="406" spans="6:30" x14ac:dyDescent="0.2">
      <c r="P406" s="237"/>
      <c r="Q406" s="237"/>
      <c r="R406" s="237"/>
      <c r="S406" s="180"/>
      <c r="T406" s="180"/>
      <c r="U406" s="180"/>
      <c r="V406" s="180"/>
      <c r="W406" s="180"/>
      <c r="X406" s="150"/>
    </row>
    <row r="407" spans="6:30" x14ac:dyDescent="0.2">
      <c r="P407" s="239" t="s">
        <v>16</v>
      </c>
      <c r="Q407" s="239"/>
      <c r="R407" s="239"/>
      <c r="S407" s="180"/>
      <c r="T407" s="180"/>
      <c r="U407" s="180"/>
      <c r="V407" s="180"/>
      <c r="W407" s="180"/>
      <c r="X407" s="150"/>
    </row>
    <row r="408" spans="6:30" x14ac:dyDescent="0.2">
      <c r="P408" s="150" t="s">
        <v>57</v>
      </c>
      <c r="Q408" s="136">
        <f>Q376+Q380+Q384+Q394+Q399+Q404+Q389</f>
        <v>29207.052083333339</v>
      </c>
      <c r="R408" s="136">
        <f t="shared" ref="R408:X408" si="103">R376+R380+R384+R394+R399+R404+R389</f>
        <v>29579.62919560185</v>
      </c>
      <c r="S408" s="136">
        <f t="shared" si="103"/>
        <v>29846.904440709925</v>
      </c>
      <c r="T408" s="136">
        <f t="shared" si="103"/>
        <v>29732.583333333336</v>
      </c>
      <c r="U408" s="136">
        <f t="shared" si="103"/>
        <v>29944.25</v>
      </c>
      <c r="V408" s="136">
        <f t="shared" si="103"/>
        <v>30128.749999999996</v>
      </c>
      <c r="W408" s="136">
        <f t="shared" si="103"/>
        <v>30362.377204198536</v>
      </c>
      <c r="X408" s="136">
        <f t="shared" si="103"/>
        <v>30599.303040889954</v>
      </c>
    </row>
    <row r="409" spans="6:30" x14ac:dyDescent="0.2">
      <c r="P409" s="240" t="s">
        <v>48</v>
      </c>
      <c r="Q409" s="136">
        <f t="shared" ref="Q409:X410" si="104">Q377+Q381+Q385+Q395+Q400+Q405+Q390</f>
        <v>429972781</v>
      </c>
      <c r="R409" s="136">
        <f t="shared" si="104"/>
        <v>405481205.32258064</v>
      </c>
      <c r="S409" s="136">
        <f t="shared" si="104"/>
        <v>421635734.39728427</v>
      </c>
      <c r="T409" s="136">
        <f t="shared" si="104"/>
        <v>399002323</v>
      </c>
      <c r="U409" s="136">
        <f t="shared" si="104"/>
        <v>380885629</v>
      </c>
      <c r="V409" s="136">
        <f t="shared" si="104"/>
        <v>356369056</v>
      </c>
      <c r="W409" s="136">
        <f t="shared" ca="1" si="104"/>
        <v>363999487.30648959</v>
      </c>
      <c r="X409" s="136">
        <f t="shared" ca="1" si="104"/>
        <v>367807490.15589905</v>
      </c>
    </row>
    <row r="410" spans="6:30" ht="25.5" x14ac:dyDescent="0.2">
      <c r="K410"/>
      <c r="L410"/>
      <c r="M410"/>
      <c r="N410"/>
      <c r="O410"/>
      <c r="P410" s="234" t="s">
        <v>254</v>
      </c>
      <c r="Q410" s="136">
        <f t="shared" si="104"/>
        <v>603056</v>
      </c>
      <c r="R410" s="136">
        <f t="shared" si="104"/>
        <v>555093</v>
      </c>
      <c r="S410" s="136">
        <f t="shared" si="104"/>
        <v>570668.51426837407</v>
      </c>
      <c r="T410" s="136">
        <f t="shared" si="104"/>
        <v>552775</v>
      </c>
      <c r="U410" s="136">
        <f t="shared" si="104"/>
        <v>470631</v>
      </c>
      <c r="V410" s="136">
        <f t="shared" si="104"/>
        <v>411800</v>
      </c>
      <c r="W410" s="136">
        <f t="shared" ca="1" si="104"/>
        <v>397699.98528379557</v>
      </c>
      <c r="X410" s="136">
        <f t="shared" ca="1" si="104"/>
        <v>387133.08850615803</v>
      </c>
    </row>
    <row r="411" spans="6:30" x14ac:dyDescent="0.2">
      <c r="F411"/>
      <c r="G411"/>
      <c r="H411"/>
      <c r="I411"/>
      <c r="J411"/>
    </row>
    <row r="412" spans="6:30" x14ac:dyDescent="0.2">
      <c r="Q412" s="101"/>
      <c r="R412" s="101"/>
      <c r="S412" s="101"/>
      <c r="T412" s="101"/>
      <c r="U412" s="101"/>
      <c r="V412" s="101"/>
      <c r="W412" s="101"/>
      <c r="X412" s="101"/>
      <c r="Y412"/>
      <c r="Z412" s="203"/>
      <c r="AA412" s="203"/>
      <c r="AB412" s="203"/>
      <c r="AC412" s="203"/>
    </row>
    <row r="413" spans="6:30" x14ac:dyDescent="0.2">
      <c r="F413" s="116"/>
      <c r="G413" s="116"/>
      <c r="H413" s="116"/>
      <c r="I413" s="116"/>
      <c r="J413" s="116"/>
      <c r="Q413" s="101"/>
      <c r="R413" s="101"/>
      <c r="S413" s="101"/>
      <c r="T413" s="101"/>
      <c r="U413" s="101"/>
      <c r="V413" s="101"/>
      <c r="W413" s="101"/>
      <c r="X413" s="101"/>
      <c r="Y413"/>
      <c r="Z413" s="224" t="s">
        <v>286</v>
      </c>
      <c r="AA413" s="224"/>
      <c r="AB413" s="224"/>
      <c r="AC413" s="203"/>
    </row>
    <row r="414" spans="6:30" ht="25.5" x14ac:dyDescent="0.2">
      <c r="F414" s="116"/>
      <c r="G414" s="116"/>
      <c r="H414" s="116"/>
      <c r="I414" s="116"/>
      <c r="J414" s="116"/>
      <c r="Q414" s="101"/>
      <c r="R414" s="101"/>
      <c r="S414" s="101"/>
      <c r="T414" s="101"/>
      <c r="U414" s="101"/>
      <c r="V414" s="101"/>
      <c r="W414" s="101"/>
      <c r="X414" s="101"/>
      <c r="Y414"/>
      <c r="Z414" s="241" t="s">
        <v>255</v>
      </c>
      <c r="AA414" s="151" t="s">
        <v>285</v>
      </c>
      <c r="AB414" s="242" t="s">
        <v>256</v>
      </c>
      <c r="AC414" s="242" t="s">
        <v>257</v>
      </c>
      <c r="AD414" s="242" t="s">
        <v>258</v>
      </c>
    </row>
    <row r="415" spans="6:30" x14ac:dyDescent="0.2">
      <c r="F415" s="116"/>
      <c r="G415" s="116"/>
      <c r="H415" s="116"/>
      <c r="I415" s="116"/>
      <c r="J415" s="116"/>
      <c r="Z415" s="243" t="str">
        <f t="shared" ref="Z415:AB421" si="105">N5</f>
        <v xml:space="preserve">Residential </v>
      </c>
      <c r="AA415" s="244">
        <f t="shared" si="105"/>
        <v>5629382</v>
      </c>
      <c r="AB415" s="244">
        <f t="shared" si="105"/>
        <v>6218897</v>
      </c>
      <c r="AC415" s="244">
        <f>AB415-AA415</f>
        <v>589515</v>
      </c>
      <c r="AD415" s="245">
        <f>AC415/AA415</f>
        <v>0.10472108661305983</v>
      </c>
    </row>
    <row r="416" spans="6:30" x14ac:dyDescent="0.2">
      <c r="Z416" s="243" t="str">
        <f t="shared" si="105"/>
        <v>General Service &lt; 50 kW</v>
      </c>
      <c r="AA416" s="244">
        <f t="shared" si="105"/>
        <v>943858</v>
      </c>
      <c r="AB416" s="244">
        <f t="shared" si="105"/>
        <v>1002427</v>
      </c>
      <c r="AC416" s="244">
        <f t="shared" ref="AC416:AC421" si="106">AB416-AA416</f>
        <v>58569</v>
      </c>
      <c r="AD416" s="245">
        <f t="shared" ref="AD416:AD421" si="107">AC416/AA416</f>
        <v>6.2052766411896706E-2</v>
      </c>
    </row>
    <row r="417" spans="26:42" x14ac:dyDescent="0.2">
      <c r="Z417" s="243" t="str">
        <f t="shared" si="105"/>
        <v>General Service 50 to 4,999 kW</v>
      </c>
      <c r="AA417" s="244">
        <f t="shared" si="105"/>
        <v>1105710</v>
      </c>
      <c r="AB417" s="244">
        <f t="shared" si="105"/>
        <v>1129645</v>
      </c>
      <c r="AC417" s="244">
        <f t="shared" si="106"/>
        <v>23935</v>
      </c>
      <c r="AD417" s="245">
        <f t="shared" si="107"/>
        <v>2.1646724728907218E-2</v>
      </c>
    </row>
    <row r="418" spans="26:42" x14ac:dyDescent="0.2">
      <c r="Z418" s="243" t="str">
        <f t="shared" si="105"/>
        <v>Large User</v>
      </c>
      <c r="AA418" s="244">
        <f t="shared" si="105"/>
        <v>180230</v>
      </c>
      <c r="AB418" s="244">
        <f t="shared" si="105"/>
        <v>182073</v>
      </c>
      <c r="AC418" s="244">
        <f t="shared" si="106"/>
        <v>1843</v>
      </c>
      <c r="AD418" s="245">
        <f t="shared" si="107"/>
        <v>1.0225822560062143E-2</v>
      </c>
    </row>
    <row r="419" spans="26:42" x14ac:dyDescent="0.2">
      <c r="Z419" s="243" t="str">
        <f t="shared" si="105"/>
        <v xml:space="preserve">Street Lights </v>
      </c>
      <c r="AA419" s="244">
        <f t="shared" si="105"/>
        <v>338294</v>
      </c>
      <c r="AB419" s="244">
        <f t="shared" si="105"/>
        <v>335022</v>
      </c>
      <c r="AC419" s="244">
        <f t="shared" si="106"/>
        <v>-3272</v>
      </c>
      <c r="AD419" s="245">
        <f t="shared" si="107"/>
        <v>-9.6720603971693266E-3</v>
      </c>
    </row>
    <row r="420" spans="26:42" x14ac:dyDescent="0.2">
      <c r="Z420" s="243" t="str">
        <f t="shared" si="105"/>
        <v>Sentinel Lights</v>
      </c>
      <c r="AA420" s="244">
        <f t="shared" si="105"/>
        <v>33668</v>
      </c>
      <c r="AB420" s="244">
        <f t="shared" si="105"/>
        <v>32443</v>
      </c>
      <c r="AC420" s="244">
        <f t="shared" si="106"/>
        <v>-1225</v>
      </c>
      <c r="AD420" s="245">
        <f t="shared" si="107"/>
        <v>-3.63846976357372E-2</v>
      </c>
    </row>
    <row r="421" spans="26:42" x14ac:dyDescent="0.2">
      <c r="Z421" s="243" t="str">
        <f t="shared" si="105"/>
        <v xml:space="preserve">Unmetered Scattered Loads </v>
      </c>
      <c r="AA421" s="244">
        <f t="shared" si="105"/>
        <v>46052</v>
      </c>
      <c r="AB421" s="244">
        <f t="shared" si="105"/>
        <v>45575</v>
      </c>
      <c r="AC421" s="244">
        <f t="shared" si="106"/>
        <v>-477</v>
      </c>
      <c r="AD421" s="245">
        <f t="shared" si="107"/>
        <v>-1.0357856336315469E-2</v>
      </c>
    </row>
    <row r="422" spans="26:42" x14ac:dyDescent="0.2">
      <c r="Z422" s="246" t="s">
        <v>16</v>
      </c>
      <c r="AA422" s="244">
        <f>SUM(AA415:AA421)</f>
        <v>8277194</v>
      </c>
      <c r="AB422" s="244">
        <f t="shared" ref="AB422:AC422" si="108">SUM(AB415:AB421)</f>
        <v>8946082</v>
      </c>
      <c r="AC422" s="244">
        <f t="shared" si="108"/>
        <v>668888</v>
      </c>
      <c r="AD422" s="245">
        <f t="shared" ref="AD422" si="109">AC422/AA422</f>
        <v>8.0810960815948019E-2</v>
      </c>
    </row>
    <row r="423" spans="26:42" x14ac:dyDescent="0.2">
      <c r="AE423" s="203"/>
      <c r="AF423" s="203"/>
      <c r="AG423" s="247"/>
      <c r="AH423" s="247"/>
      <c r="AI423" s="247"/>
    </row>
    <row r="424" spans="26:42" x14ac:dyDescent="0.2">
      <c r="AE424" s="224" t="s">
        <v>287</v>
      </c>
      <c r="AF424" s="224"/>
      <c r="AG424" s="224"/>
      <c r="AH424" s="203"/>
      <c r="AI424" s="247"/>
    </row>
    <row r="425" spans="26:42" ht="54.75" customHeight="1" x14ac:dyDescent="0.2">
      <c r="AE425" s="248" t="s">
        <v>259</v>
      </c>
      <c r="AF425" s="307" t="s">
        <v>260</v>
      </c>
      <c r="AG425" s="307"/>
      <c r="AH425" s="163" t="s">
        <v>261</v>
      </c>
      <c r="AI425" s="293" t="s">
        <v>262</v>
      </c>
      <c r="AJ425" s="293"/>
      <c r="AK425" s="308" t="s">
        <v>263</v>
      </c>
      <c r="AL425" s="308"/>
      <c r="AM425" s="308" t="s">
        <v>264</v>
      </c>
      <c r="AN425" s="308"/>
      <c r="AO425" s="308" t="s">
        <v>265</v>
      </c>
      <c r="AP425" s="308"/>
    </row>
    <row r="426" spans="26:42" ht="19.5" customHeight="1" x14ac:dyDescent="0.2">
      <c r="AE426" s="315" t="str">
        <f>F157</f>
        <v>Weather 
Normal Conversion 
Factor</v>
      </c>
      <c r="AF426" s="315"/>
      <c r="AG426" s="315"/>
      <c r="AH426" s="315"/>
      <c r="AI426" s="315"/>
      <c r="AJ426" s="315"/>
      <c r="AK426" s="250">
        <f>F168</f>
        <v>0.99827419440892617</v>
      </c>
      <c r="AL426" s="250">
        <f>F169</f>
        <v>1.0094039224906828</v>
      </c>
      <c r="AM426" s="308"/>
      <c r="AN426" s="308"/>
      <c r="AO426" s="308"/>
      <c r="AP426" s="308"/>
    </row>
    <row r="427" spans="26:42" ht="25.5" x14ac:dyDescent="0.2">
      <c r="AE427" s="251"/>
      <c r="AF427" s="151" t="str">
        <f>AA414</f>
        <v>2011 Actual</v>
      </c>
      <c r="AG427" s="151" t="str">
        <f>AB414</f>
        <v>2012 Actual</v>
      </c>
      <c r="AH427" s="252"/>
      <c r="AI427" s="151" t="str">
        <f>AF427</f>
        <v>2011 Actual</v>
      </c>
      <c r="AJ427" s="151" t="str">
        <f>AG427</f>
        <v>2012 Actual</v>
      </c>
      <c r="AK427" s="151" t="str">
        <f t="shared" ref="AK427:AP427" si="110">AI427</f>
        <v>2011 Actual</v>
      </c>
      <c r="AL427" s="151" t="str">
        <f t="shared" si="110"/>
        <v>2012 Actual</v>
      </c>
      <c r="AM427" s="151" t="str">
        <f t="shared" si="110"/>
        <v>2011 Actual</v>
      </c>
      <c r="AN427" s="151" t="str">
        <f t="shared" si="110"/>
        <v>2012 Actual</v>
      </c>
      <c r="AO427" s="151" t="str">
        <f t="shared" si="110"/>
        <v>2011 Actual</v>
      </c>
      <c r="AP427" s="151" t="str">
        <f t="shared" si="110"/>
        <v>2012 Actual</v>
      </c>
    </row>
    <row r="428" spans="26:42" x14ac:dyDescent="0.2">
      <c r="AE428" s="243" t="str">
        <f>Z415</f>
        <v xml:space="preserve">Residential </v>
      </c>
      <c r="AF428" s="136">
        <f>Q376</f>
        <v>19716.902777777785</v>
      </c>
      <c r="AG428" s="136">
        <f>R376</f>
        <v>20109.833333333332</v>
      </c>
      <c r="AH428" s="242" t="s">
        <v>149</v>
      </c>
      <c r="AI428" s="242">
        <f>Q377</f>
        <v>158621921</v>
      </c>
      <c r="AJ428" s="242">
        <f>R377</f>
        <v>159179968</v>
      </c>
      <c r="AK428" s="242">
        <f>AI428*$AK$426</f>
        <v>158348170.40187132</v>
      </c>
      <c r="AL428" s="242">
        <f>AJ428*$AL$426</f>
        <v>160676884.08114135</v>
      </c>
      <c r="AM428" s="242">
        <f>AI428/AF428</f>
        <v>8044.9715042860125</v>
      </c>
      <c r="AN428" s="242">
        <f>AJ428/AG428</f>
        <v>7915.5289534970461</v>
      </c>
      <c r="AO428" s="242">
        <f>AK428/AF428</f>
        <v>8031.0874474838856</v>
      </c>
      <c r="AP428" s="242">
        <f>AL428/AG428</f>
        <v>7989.9659742484864</v>
      </c>
    </row>
    <row r="429" spans="26:42" x14ac:dyDescent="0.2">
      <c r="AE429" s="243" t="str">
        <f t="shared" ref="AE429:AE434" si="111">Z416</f>
        <v>General Service &lt; 50 kW</v>
      </c>
      <c r="AF429" s="136">
        <f>Q380</f>
        <v>1690.8055555555559</v>
      </c>
      <c r="AG429" s="136">
        <f>R380</f>
        <v>1698.8333333333333</v>
      </c>
      <c r="AH429" s="242" t="s">
        <v>149</v>
      </c>
      <c r="AI429" s="253">
        <f>Q381</f>
        <v>54435719</v>
      </c>
      <c r="AJ429" s="253">
        <f>R381</f>
        <v>50022065</v>
      </c>
      <c r="AK429" s="242">
        <f t="shared" ref="AK429:AK434" si="112">AI429*$AK$426</f>
        <v>54341773.531795673</v>
      </c>
      <c r="AL429" s="242">
        <f t="shared" ref="AL429:AL434" si="113">AJ429*$AL$426</f>
        <v>50492468.622083895</v>
      </c>
      <c r="AM429" s="242">
        <f t="shared" ref="AM429:AM434" si="114">AI429/AF429</f>
        <v>32195.13847771443</v>
      </c>
      <c r="AN429" s="242">
        <f t="shared" ref="AN429:AN434" si="115">AJ429/AG429</f>
        <v>29444.951437260868</v>
      </c>
      <c r="AO429" s="242">
        <f t="shared" ref="AO429:AO434" si="116">AK429/AF429</f>
        <v>32139.575927724192</v>
      </c>
      <c r="AP429" s="242">
        <f t="shared" ref="AP429:AP434" si="117">AL429/AG429</f>
        <v>29721.849478318785</v>
      </c>
    </row>
    <row r="430" spans="26:42" x14ac:dyDescent="0.2">
      <c r="AE430" s="243" t="str">
        <f t="shared" si="111"/>
        <v>General Service 50 to 4,999 kW</v>
      </c>
      <c r="AF430" s="136">
        <f>Q384</f>
        <v>169.73611111111106</v>
      </c>
      <c r="AG430" s="136">
        <f>R384</f>
        <v>173.25</v>
      </c>
      <c r="AH430" s="242" t="s">
        <v>266</v>
      </c>
      <c r="AI430" s="253">
        <f>Q386</f>
        <v>417210</v>
      </c>
      <c r="AJ430" s="253">
        <f>R386</f>
        <v>387769</v>
      </c>
      <c r="AK430" s="242">
        <f t="shared" si="112"/>
        <v>416489.9766493481</v>
      </c>
      <c r="AL430" s="242">
        <f t="shared" si="113"/>
        <v>391415.54962028959</v>
      </c>
      <c r="AM430" s="242">
        <f t="shared" si="114"/>
        <v>2457.9919810162842</v>
      </c>
      <c r="AN430" s="242">
        <f t="shared" si="115"/>
        <v>2238.2049062049064</v>
      </c>
      <c r="AO430" s="242">
        <f t="shared" si="116"/>
        <v>2453.7499647126319</v>
      </c>
      <c r="AP430" s="242">
        <f t="shared" si="117"/>
        <v>2259.2528116611234</v>
      </c>
    </row>
    <row r="431" spans="26:42" x14ac:dyDescent="0.2">
      <c r="AE431" s="243" t="str">
        <f t="shared" si="111"/>
        <v>Large User</v>
      </c>
      <c r="AF431" s="136">
        <f>Q389</f>
        <v>1</v>
      </c>
      <c r="AG431" s="136">
        <f>R389</f>
        <v>1</v>
      </c>
      <c r="AH431" s="242" t="s">
        <v>266</v>
      </c>
      <c r="AI431" s="253">
        <f>Q391</f>
        <v>170236</v>
      </c>
      <c r="AJ431" s="253">
        <f>R391</f>
        <v>152573</v>
      </c>
      <c r="AK431" s="242">
        <f t="shared" si="112"/>
        <v>169942.20575939797</v>
      </c>
      <c r="AL431" s="242">
        <f t="shared" si="113"/>
        <v>154007.78466617095</v>
      </c>
      <c r="AM431" s="242">
        <f t="shared" si="114"/>
        <v>170236</v>
      </c>
      <c r="AN431" s="242">
        <f t="shared" si="115"/>
        <v>152573</v>
      </c>
      <c r="AO431" s="242">
        <f t="shared" si="116"/>
        <v>169942.20575939797</v>
      </c>
      <c r="AP431" s="242">
        <f t="shared" si="117"/>
        <v>154007.78466617095</v>
      </c>
    </row>
    <row r="432" spans="26:42" x14ac:dyDescent="0.2">
      <c r="AE432" s="243" t="str">
        <f t="shared" si="111"/>
        <v xml:space="preserve">Street Lights </v>
      </c>
      <c r="AF432" s="136">
        <f>Q394</f>
        <v>6739</v>
      </c>
      <c r="AG432" s="136">
        <f>R394</f>
        <v>6749.166666666667</v>
      </c>
      <c r="AH432" s="242" t="s">
        <v>266</v>
      </c>
      <c r="AI432" s="253">
        <f>Q396</f>
        <v>13148</v>
      </c>
      <c r="AJ432" s="253">
        <f>R396</f>
        <v>12420</v>
      </c>
      <c r="AK432" s="242">
        <f t="shared" si="112"/>
        <v>13125.309108088561</v>
      </c>
      <c r="AL432" s="242">
        <f t="shared" si="113"/>
        <v>12536.79671733428</v>
      </c>
      <c r="AM432" s="242">
        <f t="shared" si="114"/>
        <v>1.9510313102834249</v>
      </c>
      <c r="AN432" s="242">
        <f t="shared" si="115"/>
        <v>1.8402271885417951</v>
      </c>
      <c r="AO432" s="242">
        <f t="shared" si="116"/>
        <v>1.9476642095397776</v>
      </c>
      <c r="AP432" s="242">
        <f t="shared" si="117"/>
        <v>1.8575325423880893</v>
      </c>
    </row>
    <row r="433" spans="26:42" x14ac:dyDescent="0.2">
      <c r="AE433" s="243" t="str">
        <f t="shared" si="111"/>
        <v>Sentinel Lights</v>
      </c>
      <c r="AF433" s="136">
        <f>Q399</f>
        <v>663.28472222222206</v>
      </c>
      <c r="AG433" s="136">
        <f>R399</f>
        <v>626.84577546296293</v>
      </c>
      <c r="AH433" s="242" t="s">
        <v>266</v>
      </c>
      <c r="AI433" s="253">
        <f>Q401</f>
        <v>2462</v>
      </c>
      <c r="AJ433" s="253">
        <f>R401</f>
        <v>2331</v>
      </c>
      <c r="AK433" s="242">
        <f t="shared" si="112"/>
        <v>2457.7510666347762</v>
      </c>
      <c r="AL433" s="242">
        <f t="shared" si="113"/>
        <v>2352.9205433257816</v>
      </c>
      <c r="AM433" s="242">
        <f t="shared" si="114"/>
        <v>3.7118298032728538</v>
      </c>
      <c r="AN433" s="242">
        <f t="shared" si="115"/>
        <v>3.7186180257471109</v>
      </c>
      <c r="AO433" s="242">
        <f t="shared" si="116"/>
        <v>3.705423906645251</v>
      </c>
      <c r="AP433" s="242">
        <f t="shared" si="117"/>
        <v>3.7535876214336925</v>
      </c>
    </row>
    <row r="434" spans="26:42" x14ac:dyDescent="0.2">
      <c r="AE434" s="243" t="str">
        <f t="shared" si="111"/>
        <v xml:space="preserve">Unmetered Scattered Loads </v>
      </c>
      <c r="AF434" s="136">
        <f>Q404</f>
        <v>226.32291666666671</v>
      </c>
      <c r="AG434" s="136">
        <f>R404</f>
        <v>220.70008680555566</v>
      </c>
      <c r="AH434" s="242" t="s">
        <v>149</v>
      </c>
      <c r="AI434" s="253">
        <f>Q405</f>
        <v>1122904</v>
      </c>
      <c r="AJ434" s="253">
        <f>R405</f>
        <v>1085389</v>
      </c>
      <c r="AK434" s="242">
        <f t="shared" si="112"/>
        <v>1120966.0859985608</v>
      </c>
      <c r="AL434" s="242">
        <f t="shared" si="113"/>
        <v>1095595.9140282397</v>
      </c>
      <c r="AM434" s="242">
        <f t="shared" si="114"/>
        <v>4961.5125880241167</v>
      </c>
      <c r="AN434" s="242">
        <f t="shared" si="115"/>
        <v>4917.9364435695261</v>
      </c>
      <c r="AO434" s="242">
        <f t="shared" si="116"/>
        <v>4952.9499818595214</v>
      </c>
      <c r="AP434" s="242">
        <f t="shared" si="117"/>
        <v>4964.1843366989578</v>
      </c>
    </row>
    <row r="435" spans="26:42" x14ac:dyDescent="0.2">
      <c r="AE435" s="243" t="s">
        <v>10</v>
      </c>
      <c r="AF435" s="136">
        <f>SUM(AF428:AF434)</f>
        <v>29207.052083333339</v>
      </c>
      <c r="AG435" s="136">
        <f>SUM(AG428:AG434)</f>
        <v>29579.62919560185</v>
      </c>
      <c r="AH435" s="242"/>
      <c r="AI435" s="253"/>
      <c r="AJ435" s="253"/>
      <c r="AK435" s="253"/>
      <c r="AL435" s="253"/>
      <c r="AM435" s="253"/>
      <c r="AN435" s="253"/>
      <c r="AO435" s="253"/>
      <c r="AP435" s="253"/>
    </row>
    <row r="436" spans="26:42" x14ac:dyDescent="0.2">
      <c r="AE436" s="150"/>
      <c r="AF436" s="309" t="s">
        <v>267</v>
      </c>
      <c r="AG436" s="309"/>
      <c r="AH436" s="150"/>
      <c r="AI436" s="309" t="s">
        <v>267</v>
      </c>
      <c r="AJ436" s="309"/>
      <c r="AK436" s="316" t="s">
        <v>267</v>
      </c>
      <c r="AL436" s="316"/>
      <c r="AM436" s="316" t="s">
        <v>267</v>
      </c>
      <c r="AN436" s="316"/>
      <c r="AO436" s="316" t="s">
        <v>267</v>
      </c>
      <c r="AP436" s="316"/>
    </row>
    <row r="437" spans="26:42" x14ac:dyDescent="0.2">
      <c r="AE437" s="254" t="str">
        <f>AE428</f>
        <v xml:space="preserve">Residential </v>
      </c>
      <c r="AF437" s="292">
        <f t="shared" ref="AF437:AF443" si="118">AG428-AF428</f>
        <v>392.93055555554747</v>
      </c>
      <c r="AG437" s="292"/>
      <c r="AH437" s="242" t="str">
        <f>AH428</f>
        <v>kWh</v>
      </c>
      <c r="AI437" s="292">
        <f>AJ428-AI428</f>
        <v>558047</v>
      </c>
      <c r="AJ437" s="292"/>
      <c r="AK437" s="292">
        <f>AL428-AK428</f>
        <v>2328713.6792700291</v>
      </c>
      <c r="AL437" s="292"/>
      <c r="AM437" s="292">
        <f>AN428-AM428</f>
        <v>-129.4425507889664</v>
      </c>
      <c r="AN437" s="292"/>
      <c r="AO437" s="292">
        <f>AP428-AO428</f>
        <v>-41.121473235399208</v>
      </c>
      <c r="AP437" s="292"/>
    </row>
    <row r="438" spans="26:42" x14ac:dyDescent="0.2">
      <c r="AE438" s="254" t="str">
        <f t="shared" ref="AE438:AE443" si="119">AE429</f>
        <v>General Service &lt; 50 kW</v>
      </c>
      <c r="AF438" s="292">
        <f t="shared" si="118"/>
        <v>8.0277777777773736</v>
      </c>
      <c r="AG438" s="292"/>
      <c r="AH438" s="242" t="str">
        <f t="shared" ref="AH438:AH443" si="120">AH429</f>
        <v>kWh</v>
      </c>
      <c r="AI438" s="292">
        <f>AJ429-AI429</f>
        <v>-4413654</v>
      </c>
      <c r="AJ438" s="292"/>
      <c r="AK438" s="292">
        <f>AL429-AK429</f>
        <v>-3849304.9097117782</v>
      </c>
      <c r="AL438" s="292"/>
      <c r="AM438" s="292">
        <f>AN429-AM429</f>
        <v>-2750.1870404535621</v>
      </c>
      <c r="AN438" s="292"/>
      <c r="AO438" s="292">
        <f>AP429-AO429</f>
        <v>-2417.726449405407</v>
      </c>
      <c r="AP438" s="292"/>
    </row>
    <row r="439" spans="26:42" x14ac:dyDescent="0.2">
      <c r="AE439" s="254" t="str">
        <f t="shared" si="119"/>
        <v>General Service 50 to 4,999 kW</v>
      </c>
      <c r="AF439" s="292">
        <f t="shared" si="118"/>
        <v>3.5138888888889426</v>
      </c>
      <c r="AG439" s="292"/>
      <c r="AH439" s="242" t="str">
        <f t="shared" si="120"/>
        <v>kW</v>
      </c>
      <c r="AI439" s="292">
        <f>AJ430-AI430</f>
        <v>-29441</v>
      </c>
      <c r="AJ439" s="292"/>
      <c r="AK439" s="292">
        <f>AL430-AK430</f>
        <v>-25074.427029058512</v>
      </c>
      <c r="AL439" s="292"/>
      <c r="AM439" s="292">
        <f>AN430-AM430</f>
        <v>-219.78707481137781</v>
      </c>
      <c r="AN439" s="292"/>
      <c r="AO439" s="292">
        <f>AP430-AO430</f>
        <v>-194.49715305150858</v>
      </c>
      <c r="AP439" s="292"/>
    </row>
    <row r="440" spans="26:42" x14ac:dyDescent="0.2">
      <c r="Z440" s="203"/>
      <c r="AA440" s="203"/>
      <c r="AB440" s="203"/>
      <c r="AC440" s="203"/>
      <c r="AD440" s="203"/>
      <c r="AE440" s="254" t="str">
        <f t="shared" si="119"/>
        <v>Large User</v>
      </c>
      <c r="AF440" s="292">
        <f t="shared" si="118"/>
        <v>0</v>
      </c>
      <c r="AG440" s="292"/>
      <c r="AH440" s="242" t="str">
        <f t="shared" si="120"/>
        <v>kW</v>
      </c>
      <c r="AI440" s="292">
        <f>AJ431-AI431</f>
        <v>-17663</v>
      </c>
      <c r="AJ440" s="292"/>
      <c r="AK440" s="292">
        <f>AL431-AK431</f>
        <v>-15934.421093227022</v>
      </c>
      <c r="AL440" s="292"/>
      <c r="AM440" s="292">
        <f>AN431-AM431</f>
        <v>-17663</v>
      </c>
      <c r="AN440" s="292"/>
      <c r="AO440" s="292">
        <f>AP431-AO431</f>
        <v>-15934.421093227022</v>
      </c>
      <c r="AP440" s="292"/>
    </row>
    <row r="441" spans="26:42" x14ac:dyDescent="0.2">
      <c r="Z441" s="203"/>
      <c r="AA441" s="203"/>
      <c r="AB441" s="203"/>
      <c r="AC441" s="203"/>
      <c r="AD441" s="203"/>
      <c r="AE441" s="254" t="str">
        <f t="shared" si="119"/>
        <v xml:space="preserve">Street Lights </v>
      </c>
      <c r="AF441" s="292">
        <f t="shared" si="118"/>
        <v>10.16666666666697</v>
      </c>
      <c r="AG441" s="292"/>
      <c r="AH441" s="242" t="str">
        <f t="shared" si="120"/>
        <v>kW</v>
      </c>
      <c r="AI441" s="292">
        <f t="shared" ref="AI441:AI443" si="121">AJ432-AI432</f>
        <v>-728</v>
      </c>
      <c r="AJ441" s="292"/>
      <c r="AK441" s="292">
        <f t="shared" ref="AK441:AK443" si="122">AL432-AK432</f>
        <v>-588.5123907542802</v>
      </c>
      <c r="AL441" s="292"/>
      <c r="AM441" s="292">
        <f t="shared" ref="AM441:AM443" si="123">AN432-AM432</f>
        <v>-0.11080412174162979</v>
      </c>
      <c r="AN441" s="292"/>
      <c r="AO441" s="292">
        <f t="shared" ref="AO441:AO443" si="124">AP432-AO432</f>
        <v>-9.0131667151688299E-2</v>
      </c>
      <c r="AP441" s="292"/>
    </row>
    <row r="442" spans="26:42" x14ac:dyDescent="0.2">
      <c r="Z442" s="203"/>
      <c r="AA442" s="203"/>
      <c r="AB442" s="203"/>
      <c r="AC442" s="203"/>
      <c r="AD442" s="203"/>
      <c r="AE442" s="254" t="str">
        <f t="shared" si="119"/>
        <v>Sentinel Lights</v>
      </c>
      <c r="AF442" s="292">
        <f t="shared" si="118"/>
        <v>-36.438946759259125</v>
      </c>
      <c r="AG442" s="292"/>
      <c r="AH442" s="242" t="str">
        <f t="shared" si="120"/>
        <v>kW</v>
      </c>
      <c r="AI442" s="292">
        <f t="shared" si="121"/>
        <v>-131</v>
      </c>
      <c r="AJ442" s="292"/>
      <c r="AK442" s="292">
        <f t="shared" si="122"/>
        <v>-104.83052330899454</v>
      </c>
      <c r="AL442" s="292"/>
      <c r="AM442" s="292">
        <f t="shared" si="123"/>
        <v>6.788222474257033E-3</v>
      </c>
      <c r="AN442" s="292"/>
      <c r="AO442" s="292">
        <f t="shared" si="124"/>
        <v>4.8163714788441503E-2</v>
      </c>
      <c r="AP442" s="292"/>
    </row>
    <row r="443" spans="26:42" x14ac:dyDescent="0.2">
      <c r="Z443" s="203"/>
      <c r="AA443" s="203"/>
      <c r="AB443" s="203"/>
      <c r="AC443" s="203"/>
      <c r="AD443" s="203"/>
      <c r="AE443" s="254" t="str">
        <f t="shared" si="119"/>
        <v xml:space="preserve">Unmetered Scattered Loads </v>
      </c>
      <c r="AF443" s="292">
        <f t="shared" si="118"/>
        <v>-5.6228298611110574</v>
      </c>
      <c r="AG443" s="292"/>
      <c r="AH443" s="242" t="str">
        <f t="shared" si="120"/>
        <v>kWh</v>
      </c>
      <c r="AI443" s="292">
        <f t="shared" si="121"/>
        <v>-37515</v>
      </c>
      <c r="AJ443" s="292"/>
      <c r="AK443" s="292">
        <f t="shared" si="122"/>
        <v>-25370.171970321098</v>
      </c>
      <c r="AL443" s="292"/>
      <c r="AM443" s="292">
        <f t="shared" si="123"/>
        <v>-43.576144454590576</v>
      </c>
      <c r="AN443" s="292"/>
      <c r="AO443" s="292">
        <f t="shared" si="124"/>
        <v>11.234354839436492</v>
      </c>
      <c r="AP443" s="292"/>
    </row>
    <row r="444" spans="26:42" x14ac:dyDescent="0.2">
      <c r="Z444" s="224" t="s">
        <v>288</v>
      </c>
      <c r="AA444" s="224"/>
      <c r="AB444" s="224"/>
      <c r="AC444" s="203"/>
      <c r="AD444" s="203"/>
    </row>
    <row r="445" spans="26:42" ht="25.5" x14ac:dyDescent="0.2">
      <c r="Z445" s="241" t="s">
        <v>255</v>
      </c>
      <c r="AA445" s="242" t="str">
        <f>AB414</f>
        <v>2012 Actual</v>
      </c>
      <c r="AB445" s="242" t="s">
        <v>243</v>
      </c>
      <c r="AC445" s="242" t="s">
        <v>257</v>
      </c>
      <c r="AD445" s="242" t="s">
        <v>258</v>
      </c>
    </row>
    <row r="446" spans="26:42" x14ac:dyDescent="0.2">
      <c r="Z446" s="243" t="str">
        <f>Z415</f>
        <v xml:space="preserve">Residential </v>
      </c>
      <c r="AA446" s="244">
        <f>AB415</f>
        <v>6218897</v>
      </c>
      <c r="AB446" s="244">
        <f t="shared" ref="AB446:AB452" si="125">R5</f>
        <v>6035509</v>
      </c>
      <c r="AC446" s="244">
        <f>AB446-AA446</f>
        <v>-183388</v>
      </c>
      <c r="AD446" s="245">
        <f>AC446/AA446</f>
        <v>-2.9488830575582776E-2</v>
      </c>
    </row>
    <row r="447" spans="26:42" x14ac:dyDescent="0.2">
      <c r="Z447" s="243" t="str">
        <f t="shared" ref="Z447:Z452" si="126">Z416</f>
        <v>General Service &lt; 50 kW</v>
      </c>
      <c r="AA447" s="244">
        <f t="shared" ref="AA447:AA452" si="127">AB416</f>
        <v>1002427</v>
      </c>
      <c r="AB447" s="244">
        <f t="shared" si="125"/>
        <v>1001165</v>
      </c>
      <c r="AC447" s="244">
        <f t="shared" ref="AC447:AC452" si="128">AB447-AA447</f>
        <v>-1262</v>
      </c>
      <c r="AD447" s="245">
        <f t="shared" ref="AD447:AD453" si="129">AC447/AA447</f>
        <v>-1.2589445415975428E-3</v>
      </c>
    </row>
    <row r="448" spans="26:42" x14ac:dyDescent="0.2">
      <c r="Z448" s="243" t="str">
        <f t="shared" si="126"/>
        <v>General Service 50 to 4,999 kW</v>
      </c>
      <c r="AA448" s="244">
        <f t="shared" si="127"/>
        <v>1129645</v>
      </c>
      <c r="AB448" s="244">
        <f t="shared" si="125"/>
        <v>1278326</v>
      </c>
      <c r="AC448" s="244">
        <f t="shared" si="128"/>
        <v>148681</v>
      </c>
      <c r="AD448" s="245">
        <f t="shared" si="129"/>
        <v>0.13161745504118549</v>
      </c>
    </row>
    <row r="449" spans="26:42" x14ac:dyDescent="0.2">
      <c r="Z449" s="243" t="str">
        <f t="shared" si="126"/>
        <v>Large User</v>
      </c>
      <c r="AA449" s="244">
        <f t="shared" si="127"/>
        <v>182073</v>
      </c>
      <c r="AB449" s="244">
        <f t="shared" si="125"/>
        <v>131373</v>
      </c>
      <c r="AC449" s="244">
        <f t="shared" si="128"/>
        <v>-50700</v>
      </c>
      <c r="AD449" s="245">
        <f t="shared" si="129"/>
        <v>-0.27845973867624524</v>
      </c>
    </row>
    <row r="450" spans="26:42" x14ac:dyDescent="0.2">
      <c r="Z450" s="243" t="str">
        <f t="shared" si="126"/>
        <v xml:space="preserve">Street Lights </v>
      </c>
      <c r="AA450" s="244">
        <f t="shared" si="127"/>
        <v>335022</v>
      </c>
      <c r="AB450" s="244">
        <f t="shared" si="125"/>
        <v>237088</v>
      </c>
      <c r="AC450" s="244">
        <f t="shared" si="128"/>
        <v>-97934</v>
      </c>
      <c r="AD450" s="245">
        <f t="shared" si="129"/>
        <v>-0.29232110130081007</v>
      </c>
    </row>
    <row r="451" spans="26:42" x14ac:dyDescent="0.2">
      <c r="Z451" s="243" t="str">
        <f t="shared" si="126"/>
        <v>Sentinel Lights</v>
      </c>
      <c r="AA451" s="244">
        <f t="shared" si="127"/>
        <v>32443</v>
      </c>
      <c r="AB451" s="244">
        <f t="shared" si="125"/>
        <v>29471</v>
      </c>
      <c r="AC451" s="244">
        <f t="shared" si="128"/>
        <v>-2972</v>
      </c>
      <c r="AD451" s="245">
        <f t="shared" si="129"/>
        <v>-9.1606818111765256E-2</v>
      </c>
    </row>
    <row r="452" spans="26:42" x14ac:dyDescent="0.2">
      <c r="Z452" s="243" t="str">
        <f t="shared" si="126"/>
        <v xml:space="preserve">Unmetered Scattered Loads </v>
      </c>
      <c r="AA452" s="244">
        <f t="shared" si="127"/>
        <v>45575</v>
      </c>
      <c r="AB452" s="244">
        <f t="shared" si="125"/>
        <v>41460</v>
      </c>
      <c r="AC452" s="244">
        <f t="shared" si="128"/>
        <v>-4115</v>
      </c>
      <c r="AD452" s="245">
        <f t="shared" si="129"/>
        <v>-9.0290729566648381E-2</v>
      </c>
    </row>
    <row r="453" spans="26:42" x14ac:dyDescent="0.2">
      <c r="Z453" s="246" t="s">
        <v>16</v>
      </c>
      <c r="AA453" s="244">
        <f>SUM(AA446:AA452)</f>
        <v>8946082</v>
      </c>
      <c r="AB453" s="244">
        <f>SUM(AB446:AB452)</f>
        <v>8754392</v>
      </c>
      <c r="AC453" s="244">
        <f>AB453-AA453</f>
        <v>-191690</v>
      </c>
      <c r="AD453" s="245">
        <f t="shared" si="129"/>
        <v>-2.1427257206003702E-2</v>
      </c>
    </row>
    <row r="455" spans="26:42" x14ac:dyDescent="0.2">
      <c r="AE455" s="224" t="s">
        <v>289</v>
      </c>
      <c r="AF455" s="224"/>
      <c r="AG455" s="224"/>
      <c r="AH455" s="203"/>
      <c r="AI455" s="247"/>
    </row>
    <row r="456" spans="26:42" x14ac:dyDescent="0.2">
      <c r="AE456" s="248" t="s">
        <v>259</v>
      </c>
      <c r="AF456" s="307" t="s">
        <v>260</v>
      </c>
      <c r="AG456" s="307"/>
      <c r="AH456" s="163" t="s">
        <v>261</v>
      </c>
      <c r="AI456" s="293" t="s">
        <v>262</v>
      </c>
      <c r="AJ456" s="293"/>
      <c r="AK456" s="308" t="s">
        <v>263</v>
      </c>
      <c r="AL456" s="308"/>
      <c r="AM456" s="308" t="s">
        <v>264</v>
      </c>
      <c r="AN456" s="308"/>
      <c r="AO456" s="308" t="s">
        <v>265</v>
      </c>
      <c r="AP456" s="308"/>
    </row>
    <row r="457" spans="26:42" x14ac:dyDescent="0.2">
      <c r="AE457" s="315" t="str">
        <f>AE426</f>
        <v>Weather 
Normal Conversion 
Factor</v>
      </c>
      <c r="AF457" s="315"/>
      <c r="AG457" s="315"/>
      <c r="AH457" s="315"/>
      <c r="AI457" s="315"/>
      <c r="AJ457" s="315"/>
      <c r="AK457" s="250">
        <f>AL426</f>
        <v>1.0094039224906828</v>
      </c>
      <c r="AL457" s="250">
        <f>F170</f>
        <v>1.0058125146032539</v>
      </c>
      <c r="AM457" s="308"/>
      <c r="AN457" s="308"/>
      <c r="AO457" s="308"/>
      <c r="AP457" s="308"/>
    </row>
    <row r="458" spans="26:42" ht="25.5" x14ac:dyDescent="0.2">
      <c r="AE458" s="251"/>
      <c r="AF458" s="151" t="str">
        <f>AA445</f>
        <v>2012 Actual</v>
      </c>
      <c r="AG458" s="151" t="str">
        <f>AB445</f>
        <v>2013 
Actual</v>
      </c>
      <c r="AH458" s="252"/>
      <c r="AI458" s="151" t="str">
        <f>AF458</f>
        <v>2012 Actual</v>
      </c>
      <c r="AJ458" s="151" t="str">
        <f>AG458</f>
        <v>2013 
Actual</v>
      </c>
      <c r="AK458" s="151" t="str">
        <f>AI458</f>
        <v>2012 Actual</v>
      </c>
      <c r="AL458" s="151" t="str">
        <f>AJ458</f>
        <v>2013 
Actual</v>
      </c>
      <c r="AM458" s="151" t="str">
        <f>AI458</f>
        <v>2012 Actual</v>
      </c>
      <c r="AN458" s="151" t="str">
        <f>AJ458</f>
        <v>2013 
Actual</v>
      </c>
      <c r="AO458" s="151" t="str">
        <f>AK458</f>
        <v>2012 Actual</v>
      </c>
      <c r="AP458" s="151" t="str">
        <f>AL458</f>
        <v>2013 
Actual</v>
      </c>
    </row>
    <row r="459" spans="26:42" x14ac:dyDescent="0.2">
      <c r="AE459" s="243" t="str">
        <f>AE428</f>
        <v xml:space="preserve">Residential </v>
      </c>
      <c r="AF459" s="136">
        <f>AG428</f>
        <v>20109.833333333332</v>
      </c>
      <c r="AG459" s="136">
        <f>T376</f>
        <v>20265.75</v>
      </c>
      <c r="AH459" s="242" t="str">
        <f>AH428</f>
        <v>kWh</v>
      </c>
      <c r="AI459" s="136">
        <f>AJ428</f>
        <v>159179968</v>
      </c>
      <c r="AJ459" s="136">
        <f>T377</f>
        <v>158724607</v>
      </c>
      <c r="AK459" s="242">
        <f>AI459*$AK$457</f>
        <v>160676884.08114135</v>
      </c>
      <c r="AL459" s="136">
        <f>AJ459*$AL$457</f>
        <v>159647196.09608325</v>
      </c>
      <c r="AM459" s="242">
        <f>AI459/AF459</f>
        <v>7915.5289534970461</v>
      </c>
      <c r="AN459" s="242">
        <f>AJ459/AG459</f>
        <v>7832.1605171286528</v>
      </c>
      <c r="AO459" s="242">
        <f>AK459/AF459</f>
        <v>7989.9659742484864</v>
      </c>
      <c r="AP459" s="242">
        <f>AL459/AG459</f>
        <v>7877.6850645094928</v>
      </c>
    </row>
    <row r="460" spans="26:42" x14ac:dyDescent="0.2">
      <c r="AE460" s="243" t="str">
        <f t="shared" ref="AE460:AE465" si="130">AE429</f>
        <v>General Service &lt; 50 kW</v>
      </c>
      <c r="AF460" s="136">
        <f t="shared" ref="AF460:AF465" si="131">AG429</f>
        <v>1698.8333333333333</v>
      </c>
      <c r="AG460" s="136">
        <f>T380</f>
        <v>1698.5</v>
      </c>
      <c r="AH460" s="242" t="str">
        <f t="shared" ref="AH460:AH474" si="132">AH429</f>
        <v>kWh</v>
      </c>
      <c r="AI460" s="136">
        <f t="shared" ref="AI460:AI465" si="133">AJ429</f>
        <v>50022065</v>
      </c>
      <c r="AJ460" s="136">
        <f>T381</f>
        <v>52726527</v>
      </c>
      <c r="AK460" s="242">
        <f t="shared" ref="AK460:AK465" si="134">AI460*$AK$457</f>
        <v>50492468.622083895</v>
      </c>
      <c r="AL460" s="136">
        <f t="shared" ref="AL460:AL465" si="135">AJ460*$AL$457</f>
        <v>53033000.708166361</v>
      </c>
      <c r="AM460" s="242">
        <f t="shared" ref="AM460:AM465" si="136">AI460/AF460</f>
        <v>29444.951437260868</v>
      </c>
      <c r="AN460" s="242">
        <f t="shared" ref="AN460:AN465" si="137">AJ460/AG460</f>
        <v>31042.99499558434</v>
      </c>
      <c r="AO460" s="242">
        <f t="shared" ref="AO460:AO465" si="138">AK460/AF460</f>
        <v>29721.849478318785</v>
      </c>
      <c r="AP460" s="242">
        <f t="shared" ref="AP460:AP465" si="139">AL460/AG460</f>
        <v>31223.432857324911</v>
      </c>
    </row>
    <row r="461" spans="26:42" x14ac:dyDescent="0.2">
      <c r="AE461" s="243" t="str">
        <f t="shared" si="130"/>
        <v>General Service 50 to 4,999 kW</v>
      </c>
      <c r="AF461" s="136">
        <f t="shared" si="131"/>
        <v>173.25</v>
      </c>
      <c r="AG461" s="136">
        <f>T384</f>
        <v>172.66666666666666</v>
      </c>
      <c r="AH461" s="242" t="str">
        <f t="shared" si="132"/>
        <v>kW</v>
      </c>
      <c r="AI461" s="136">
        <f t="shared" si="133"/>
        <v>387769</v>
      </c>
      <c r="AJ461" s="136">
        <f>T386</f>
        <v>389545</v>
      </c>
      <c r="AK461" s="242">
        <f t="shared" si="134"/>
        <v>391415.54962028959</v>
      </c>
      <c r="AL461" s="136">
        <f t="shared" si="135"/>
        <v>391809.23600112455</v>
      </c>
      <c r="AM461" s="242">
        <f t="shared" si="136"/>
        <v>2238.2049062049064</v>
      </c>
      <c r="AN461" s="242">
        <f t="shared" si="137"/>
        <v>2256.0521235521237</v>
      </c>
      <c r="AO461" s="242">
        <f t="shared" si="138"/>
        <v>2259.2528116611234</v>
      </c>
      <c r="AP461" s="242">
        <f t="shared" si="139"/>
        <v>2269.1654594659726</v>
      </c>
    </row>
    <row r="462" spans="26:42" x14ac:dyDescent="0.2">
      <c r="AE462" s="243" t="str">
        <f t="shared" si="130"/>
        <v>Large User</v>
      </c>
      <c r="AF462" s="136">
        <f t="shared" si="131"/>
        <v>1</v>
      </c>
      <c r="AG462" s="136">
        <f>T389</f>
        <v>1</v>
      </c>
      <c r="AH462" s="242" t="str">
        <f t="shared" si="132"/>
        <v>kW</v>
      </c>
      <c r="AI462" s="136">
        <f t="shared" si="133"/>
        <v>152573</v>
      </c>
      <c r="AJ462" s="136">
        <f>T391</f>
        <v>153121</v>
      </c>
      <c r="AK462" s="242">
        <f t="shared" si="134"/>
        <v>154007.78466617095</v>
      </c>
      <c r="AL462" s="136">
        <f t="shared" si="135"/>
        <v>154011.01804856485</v>
      </c>
      <c r="AM462" s="242">
        <f t="shared" si="136"/>
        <v>152573</v>
      </c>
      <c r="AN462" s="242">
        <f t="shared" si="137"/>
        <v>153121</v>
      </c>
      <c r="AO462" s="242">
        <f t="shared" si="138"/>
        <v>154007.78466617095</v>
      </c>
      <c r="AP462" s="242">
        <f t="shared" si="139"/>
        <v>154011.01804856485</v>
      </c>
    </row>
    <row r="463" spans="26:42" x14ac:dyDescent="0.2">
      <c r="AE463" s="243" t="str">
        <f t="shared" si="130"/>
        <v xml:space="preserve">Street Lights </v>
      </c>
      <c r="AF463" s="136">
        <f t="shared" si="131"/>
        <v>6749.166666666667</v>
      </c>
      <c r="AG463" s="136">
        <f>T394</f>
        <v>6778.916666666667</v>
      </c>
      <c r="AH463" s="242" t="str">
        <f t="shared" si="132"/>
        <v>kW</v>
      </c>
      <c r="AI463" s="136">
        <f t="shared" si="133"/>
        <v>12420</v>
      </c>
      <c r="AJ463" s="136">
        <f>T396</f>
        <v>7923</v>
      </c>
      <c r="AK463" s="242">
        <f t="shared" si="134"/>
        <v>12536.79671733428</v>
      </c>
      <c r="AL463" s="136">
        <f t="shared" si="135"/>
        <v>7969.0525532015808</v>
      </c>
      <c r="AM463" s="242">
        <f t="shared" si="136"/>
        <v>1.8402271885417951</v>
      </c>
      <c r="AN463" s="242">
        <f t="shared" si="137"/>
        <v>1.1687708212964214</v>
      </c>
      <c r="AO463" s="242">
        <f t="shared" si="138"/>
        <v>1.8575325423880893</v>
      </c>
      <c r="AP463" s="242">
        <f t="shared" si="139"/>
        <v>1.175564318763064</v>
      </c>
    </row>
    <row r="464" spans="26:42" x14ac:dyDescent="0.2">
      <c r="AE464" s="243" t="str">
        <f t="shared" si="130"/>
        <v>Sentinel Lights</v>
      </c>
      <c r="AF464" s="136">
        <f t="shared" si="131"/>
        <v>626.84577546296293</v>
      </c>
      <c r="AG464" s="136">
        <f>T399</f>
        <v>580.25</v>
      </c>
      <c r="AH464" s="242" t="str">
        <f t="shared" si="132"/>
        <v>kW</v>
      </c>
      <c r="AI464" s="136">
        <f t="shared" si="133"/>
        <v>2331</v>
      </c>
      <c r="AJ464" s="136">
        <f>T401</f>
        <v>2186</v>
      </c>
      <c r="AK464" s="242">
        <f t="shared" si="134"/>
        <v>2352.9205433257816</v>
      </c>
      <c r="AL464" s="136">
        <f t="shared" si="135"/>
        <v>2198.706156922713</v>
      </c>
      <c r="AM464" s="242">
        <f t="shared" si="136"/>
        <v>3.7186180257471109</v>
      </c>
      <c r="AN464" s="242">
        <f t="shared" si="137"/>
        <v>3.7673416630762602</v>
      </c>
      <c r="AO464" s="242">
        <f t="shared" si="138"/>
        <v>3.7535876214336925</v>
      </c>
      <c r="AP464" s="242">
        <f t="shared" si="139"/>
        <v>3.789239391508338</v>
      </c>
    </row>
    <row r="465" spans="26:42" x14ac:dyDescent="0.2">
      <c r="AE465" s="243" t="str">
        <f t="shared" si="130"/>
        <v xml:space="preserve">Unmetered Scattered Loads </v>
      </c>
      <c r="AF465" s="136">
        <f t="shared" si="131"/>
        <v>220.70008680555566</v>
      </c>
      <c r="AG465" s="136">
        <f>T404</f>
        <v>235.5</v>
      </c>
      <c r="AH465" s="242" t="str">
        <f t="shared" si="132"/>
        <v>kWh</v>
      </c>
      <c r="AI465" s="136">
        <f t="shared" si="133"/>
        <v>1085389</v>
      </c>
      <c r="AJ465" s="136">
        <f>T405</f>
        <v>989250</v>
      </c>
      <c r="AK465" s="242">
        <f t="shared" si="134"/>
        <v>1095595.9140282397</v>
      </c>
      <c r="AL465" s="136">
        <f t="shared" si="135"/>
        <v>995000.03007126891</v>
      </c>
      <c r="AM465" s="242">
        <f t="shared" si="136"/>
        <v>4917.9364435695261</v>
      </c>
      <c r="AN465" s="242">
        <f t="shared" si="137"/>
        <v>4200.6369426751589</v>
      </c>
      <c r="AO465" s="242">
        <f t="shared" si="138"/>
        <v>4964.1843366989578</v>
      </c>
      <c r="AP465" s="242">
        <f t="shared" si="139"/>
        <v>4225.0532062474267</v>
      </c>
    </row>
    <row r="466" spans="26:42" x14ac:dyDescent="0.2">
      <c r="AE466" s="243" t="s">
        <v>10</v>
      </c>
      <c r="AF466" s="136">
        <f>SUM(AF459:AF462)</f>
        <v>21982.916666666664</v>
      </c>
      <c r="AG466" s="136">
        <f>SUM(AG459:AG462)</f>
        <v>22137.916666666668</v>
      </c>
      <c r="AH466" s="242"/>
      <c r="AI466" s="253"/>
      <c r="AJ466" s="253"/>
      <c r="AK466" s="253"/>
      <c r="AL466" s="253"/>
      <c r="AM466" s="253"/>
      <c r="AN466" s="253"/>
      <c r="AO466" s="253"/>
      <c r="AP466" s="253"/>
    </row>
    <row r="467" spans="26:42" x14ac:dyDescent="0.2">
      <c r="AE467" s="150"/>
      <c r="AF467" s="309" t="s">
        <v>267</v>
      </c>
      <c r="AG467" s="309"/>
      <c r="AH467" s="242"/>
      <c r="AI467" s="309" t="s">
        <v>267</v>
      </c>
      <c r="AJ467" s="309"/>
      <c r="AK467" s="309" t="s">
        <v>267</v>
      </c>
      <c r="AL467" s="309"/>
      <c r="AM467" s="309" t="s">
        <v>267</v>
      </c>
      <c r="AN467" s="309"/>
      <c r="AO467" s="309" t="s">
        <v>267</v>
      </c>
      <c r="AP467" s="309"/>
    </row>
    <row r="468" spans="26:42" x14ac:dyDescent="0.2">
      <c r="AE468" s="254" t="str">
        <f>AE459</f>
        <v xml:space="preserve">Residential </v>
      </c>
      <c r="AF468" s="292">
        <f>AG459-AF459</f>
        <v>155.91666666666788</v>
      </c>
      <c r="AG468" s="292"/>
      <c r="AH468" s="242" t="str">
        <f t="shared" si="132"/>
        <v>kWh</v>
      </c>
      <c r="AI468" s="292">
        <f>AJ459-AI459</f>
        <v>-455361</v>
      </c>
      <c r="AJ468" s="292"/>
      <c r="AK468" s="292">
        <f>AL459-AK459</f>
        <v>-1029687.985058099</v>
      </c>
      <c r="AL468" s="292"/>
      <c r="AM468" s="292">
        <f>AN459-AM459</f>
        <v>-83.368436368393304</v>
      </c>
      <c r="AN468" s="292"/>
      <c r="AO468" s="292">
        <f>AP459-AO459</f>
        <v>-112.28090973899361</v>
      </c>
      <c r="AP468" s="292"/>
    </row>
    <row r="469" spans="26:42" x14ac:dyDescent="0.2">
      <c r="AE469" s="254" t="str">
        <f t="shared" ref="AE469:AE474" si="140">AE460</f>
        <v>General Service &lt; 50 kW</v>
      </c>
      <c r="AF469" s="292">
        <f>AG460-AF460</f>
        <v>-0.33333333333325754</v>
      </c>
      <c r="AG469" s="292"/>
      <c r="AH469" s="242" t="str">
        <f t="shared" si="132"/>
        <v>kWh</v>
      </c>
      <c r="AI469" s="292">
        <f>AJ460-AI460</f>
        <v>2704462</v>
      </c>
      <c r="AJ469" s="292"/>
      <c r="AK469" s="292">
        <f>AL460-AK460</f>
        <v>2540532.0860824659</v>
      </c>
      <c r="AL469" s="292"/>
      <c r="AM469" s="292">
        <f>AN460-AM460</f>
        <v>1598.0435583234721</v>
      </c>
      <c r="AN469" s="292"/>
      <c r="AO469" s="292">
        <f>AP460-AO460</f>
        <v>1501.5833790061261</v>
      </c>
      <c r="AP469" s="292"/>
    </row>
    <row r="470" spans="26:42" x14ac:dyDescent="0.2">
      <c r="AE470" s="254" t="str">
        <f t="shared" si="140"/>
        <v>General Service 50 to 4,999 kW</v>
      </c>
      <c r="AF470" s="292">
        <f>AG461-AF461</f>
        <v>-0.58333333333334281</v>
      </c>
      <c r="AG470" s="292"/>
      <c r="AH470" s="242" t="str">
        <f t="shared" si="132"/>
        <v>kW</v>
      </c>
      <c r="AI470" s="292">
        <f>AJ461-AI461</f>
        <v>1776</v>
      </c>
      <c r="AJ470" s="292"/>
      <c r="AK470" s="292">
        <f>AL461-AK461</f>
        <v>393.68638083495898</v>
      </c>
      <c r="AL470" s="292"/>
      <c r="AM470" s="292">
        <f>AN461-AM461</f>
        <v>17.847217347217338</v>
      </c>
      <c r="AN470" s="292"/>
      <c r="AO470" s="292">
        <f>AP461-AO461</f>
        <v>9.9126478048492572</v>
      </c>
      <c r="AP470" s="292"/>
    </row>
    <row r="471" spans="26:42" x14ac:dyDescent="0.2">
      <c r="AE471" s="254" t="str">
        <f t="shared" si="140"/>
        <v>Large User</v>
      </c>
      <c r="AF471" s="292">
        <f>AG462-AF462</f>
        <v>0</v>
      </c>
      <c r="AG471" s="292"/>
      <c r="AH471" s="242" t="str">
        <f t="shared" si="132"/>
        <v>kW</v>
      </c>
      <c r="AI471" s="292">
        <f>AJ462-AI462</f>
        <v>548</v>
      </c>
      <c r="AJ471" s="292"/>
      <c r="AK471" s="292">
        <f>AL462-AK462</f>
        <v>3.2333823938970454</v>
      </c>
      <c r="AL471" s="292"/>
      <c r="AM471" s="292">
        <f>AN462-AM462</f>
        <v>548</v>
      </c>
      <c r="AN471" s="292"/>
      <c r="AO471" s="292">
        <f>AP462-AO462</f>
        <v>3.2333823938970454</v>
      </c>
      <c r="AP471" s="292"/>
    </row>
    <row r="472" spans="26:42" x14ac:dyDescent="0.2">
      <c r="AE472" s="254" t="str">
        <f t="shared" si="140"/>
        <v xml:space="preserve">Street Lights </v>
      </c>
      <c r="AF472" s="292">
        <f t="shared" ref="AF472:AF474" si="141">AG463-AF463</f>
        <v>29.75</v>
      </c>
      <c r="AG472" s="292"/>
      <c r="AH472" s="242" t="str">
        <f t="shared" si="132"/>
        <v>kW</v>
      </c>
      <c r="AI472" s="292">
        <f t="shared" ref="AI472:AI474" si="142">AJ463-AI463</f>
        <v>-4497</v>
      </c>
      <c r="AJ472" s="292"/>
      <c r="AK472" s="292">
        <f t="shared" ref="AK472:AK474" si="143">AL463-AK463</f>
        <v>-4567.7441641326996</v>
      </c>
      <c r="AL472" s="292"/>
      <c r="AM472" s="292">
        <f t="shared" ref="AM472:AM474" si="144">AN463-AM463</f>
        <v>-0.67145636724537372</v>
      </c>
      <c r="AN472" s="292"/>
      <c r="AO472" s="292">
        <f t="shared" ref="AO472:AO474" si="145">AP463-AO463</f>
        <v>-0.68196822362502529</v>
      </c>
      <c r="AP472" s="292"/>
    </row>
    <row r="473" spans="26:42" x14ac:dyDescent="0.2">
      <c r="AE473" s="254" t="str">
        <f t="shared" si="140"/>
        <v>Sentinel Lights</v>
      </c>
      <c r="AF473" s="292">
        <f t="shared" si="141"/>
        <v>-46.595775462962933</v>
      </c>
      <c r="AG473" s="292"/>
      <c r="AH473" s="242" t="str">
        <f t="shared" si="132"/>
        <v>kW</v>
      </c>
      <c r="AI473" s="292">
        <f t="shared" si="142"/>
        <v>-145</v>
      </c>
      <c r="AJ473" s="292"/>
      <c r="AK473" s="292">
        <f t="shared" si="143"/>
        <v>-154.2143864030686</v>
      </c>
      <c r="AL473" s="292"/>
      <c r="AM473" s="292">
        <f t="shared" si="144"/>
        <v>4.8723637329149305E-2</v>
      </c>
      <c r="AN473" s="292"/>
      <c r="AO473" s="292">
        <f t="shared" si="145"/>
        <v>3.5651770074645484E-2</v>
      </c>
      <c r="AP473" s="292"/>
    </row>
    <row r="474" spans="26:42" x14ac:dyDescent="0.2">
      <c r="AE474" s="254" t="str">
        <f t="shared" si="140"/>
        <v xml:space="preserve">Unmetered Scattered Loads </v>
      </c>
      <c r="AF474" s="292">
        <f t="shared" si="141"/>
        <v>14.799913194444343</v>
      </c>
      <c r="AG474" s="292"/>
      <c r="AH474" s="242" t="str">
        <f t="shared" si="132"/>
        <v>kWh</v>
      </c>
      <c r="AI474" s="292">
        <f t="shared" si="142"/>
        <v>-96139</v>
      </c>
      <c r="AJ474" s="292"/>
      <c r="AK474" s="292">
        <f t="shared" si="143"/>
        <v>-100595.88395697076</v>
      </c>
      <c r="AL474" s="292"/>
      <c r="AM474" s="292">
        <f t="shared" si="144"/>
        <v>-717.29950089436716</v>
      </c>
      <c r="AN474" s="292"/>
      <c r="AO474" s="292">
        <f t="shared" si="145"/>
        <v>-739.13113045153113</v>
      </c>
      <c r="AP474" s="292"/>
    </row>
    <row r="475" spans="26:42" x14ac:dyDescent="0.2">
      <c r="Z475" s="224" t="s">
        <v>290</v>
      </c>
      <c r="AA475" s="224"/>
      <c r="AB475" s="224"/>
      <c r="AC475" s="203"/>
      <c r="AD475" s="203"/>
    </row>
    <row r="476" spans="26:42" ht="38.25" x14ac:dyDescent="0.2">
      <c r="Z476" s="241" t="s">
        <v>255</v>
      </c>
      <c r="AA476" s="242" t="s">
        <v>269</v>
      </c>
      <c r="AB476" s="242" t="s">
        <v>243</v>
      </c>
      <c r="AC476" s="242" t="s">
        <v>257</v>
      </c>
      <c r="AD476" s="242" t="s">
        <v>258</v>
      </c>
    </row>
    <row r="477" spans="26:42" x14ac:dyDescent="0.2">
      <c r="Z477" s="243" t="str">
        <f>Z446</f>
        <v xml:space="preserve">Residential </v>
      </c>
      <c r="AA477" s="244">
        <f t="shared" ref="AA477:AA483" si="146">Q5</f>
        <v>6007417</v>
      </c>
      <c r="AB477" s="244">
        <f>AB446</f>
        <v>6035509</v>
      </c>
      <c r="AC477" s="244">
        <f>AB477-AA477</f>
        <v>28092</v>
      </c>
      <c r="AD477" s="245">
        <f>AC477/AA477</f>
        <v>4.6762194134350923E-3</v>
      </c>
    </row>
    <row r="478" spans="26:42" x14ac:dyDescent="0.2">
      <c r="Z478" s="243" t="str">
        <f t="shared" ref="Z478:Z483" si="147">Z447</f>
        <v>General Service &lt; 50 kW</v>
      </c>
      <c r="AA478" s="244">
        <f t="shared" si="146"/>
        <v>1005811</v>
      </c>
      <c r="AB478" s="244">
        <f t="shared" ref="AB478:AB483" si="148">AB447</f>
        <v>1001165</v>
      </c>
      <c r="AC478" s="244">
        <f t="shared" ref="AC478:AC484" si="149">AB478-AA478</f>
        <v>-4646</v>
      </c>
      <c r="AD478" s="245">
        <f t="shared" ref="AD478:AD484" si="150">AC478/AA478</f>
        <v>-4.6191580724410453E-3</v>
      </c>
    </row>
    <row r="479" spans="26:42" x14ac:dyDescent="0.2">
      <c r="Z479" s="243" t="str">
        <f t="shared" si="147"/>
        <v>General Service 50 to 4,999 kW</v>
      </c>
      <c r="AA479" s="244">
        <f t="shared" si="146"/>
        <v>1342766</v>
      </c>
      <c r="AB479" s="244">
        <f t="shared" si="148"/>
        <v>1278326</v>
      </c>
      <c r="AC479" s="244">
        <f t="shared" si="149"/>
        <v>-64440</v>
      </c>
      <c r="AD479" s="245">
        <f t="shared" si="150"/>
        <v>-4.7990491269513824E-2</v>
      </c>
    </row>
    <row r="480" spans="26:42" x14ac:dyDescent="0.2">
      <c r="Z480" s="243" t="str">
        <f t="shared" si="147"/>
        <v>Large User</v>
      </c>
      <c r="AA480" s="244">
        <f t="shared" si="146"/>
        <v>108118</v>
      </c>
      <c r="AB480" s="244">
        <f t="shared" si="148"/>
        <v>131373</v>
      </c>
      <c r="AC480" s="244">
        <f t="shared" si="149"/>
        <v>23255</v>
      </c>
      <c r="AD480" s="245">
        <f t="shared" si="150"/>
        <v>0.21508906935015445</v>
      </c>
    </row>
    <row r="481" spans="26:42" x14ac:dyDescent="0.2">
      <c r="Z481" s="243" t="str">
        <f t="shared" si="147"/>
        <v xml:space="preserve">Street Lights </v>
      </c>
      <c r="AA481" s="244">
        <f t="shared" si="146"/>
        <v>181212</v>
      </c>
      <c r="AB481" s="244">
        <f t="shared" si="148"/>
        <v>237088</v>
      </c>
      <c r="AC481" s="244">
        <f t="shared" si="149"/>
        <v>55876</v>
      </c>
      <c r="AD481" s="245">
        <f t="shared" si="150"/>
        <v>0.30834602564951546</v>
      </c>
    </row>
    <row r="482" spans="26:42" x14ac:dyDescent="0.2">
      <c r="Z482" s="243" t="str">
        <f t="shared" si="147"/>
        <v>Sentinel Lights</v>
      </c>
      <c r="AA482" s="244">
        <f t="shared" si="146"/>
        <v>30776</v>
      </c>
      <c r="AB482" s="244">
        <f t="shared" si="148"/>
        <v>29471</v>
      </c>
      <c r="AC482" s="244">
        <f t="shared" si="149"/>
        <v>-1305</v>
      </c>
      <c r="AD482" s="245">
        <f t="shared" si="150"/>
        <v>-4.240317130231349E-2</v>
      </c>
    </row>
    <row r="483" spans="26:42" x14ac:dyDescent="0.2">
      <c r="Z483" s="243" t="str">
        <f t="shared" si="147"/>
        <v xml:space="preserve">Unmetered Scattered Loads </v>
      </c>
      <c r="AA483" s="244">
        <f t="shared" si="146"/>
        <v>38940</v>
      </c>
      <c r="AB483" s="244">
        <f t="shared" si="148"/>
        <v>41460</v>
      </c>
      <c r="AC483" s="244">
        <f t="shared" si="149"/>
        <v>2520</v>
      </c>
      <c r="AD483" s="245">
        <f t="shared" si="150"/>
        <v>6.4714946070878271E-2</v>
      </c>
    </row>
    <row r="484" spans="26:42" x14ac:dyDescent="0.2">
      <c r="Z484" s="246" t="s">
        <v>16</v>
      </c>
      <c r="AA484" s="244">
        <f>SUM(AA477:AA483)</f>
        <v>8715040</v>
      </c>
      <c r="AB484" s="244">
        <f>SUM(AB477:AB483)</f>
        <v>8754392</v>
      </c>
      <c r="AC484" s="244">
        <f t="shared" si="149"/>
        <v>39352</v>
      </c>
      <c r="AD484" s="245">
        <f t="shared" si="150"/>
        <v>4.5154124364317318E-3</v>
      </c>
    </row>
    <row r="485" spans="26:42" x14ac:dyDescent="0.2">
      <c r="Z485" s="283"/>
      <c r="AA485" s="284"/>
      <c r="AB485" s="284"/>
      <c r="AC485" s="284"/>
      <c r="AD485" s="285"/>
    </row>
    <row r="486" spans="26:42" x14ac:dyDescent="0.2">
      <c r="AE486" s="224" t="s">
        <v>291</v>
      </c>
      <c r="AF486" s="224"/>
      <c r="AG486" s="224"/>
      <c r="AH486" s="203"/>
      <c r="AI486" s="247"/>
    </row>
    <row r="487" spans="26:42" ht="12.75" customHeight="1" x14ac:dyDescent="0.2">
      <c r="AE487" s="249" t="s">
        <v>259</v>
      </c>
      <c r="AF487" s="307" t="s">
        <v>260</v>
      </c>
      <c r="AG487" s="307"/>
      <c r="AH487" s="221" t="s">
        <v>261</v>
      </c>
      <c r="AI487" s="293" t="s">
        <v>262</v>
      </c>
      <c r="AJ487" s="293"/>
      <c r="AK487" s="308" t="s">
        <v>263</v>
      </c>
      <c r="AL487" s="308"/>
      <c r="AM487" s="308" t="s">
        <v>264</v>
      </c>
      <c r="AN487" s="308"/>
      <c r="AO487" s="308" t="s">
        <v>265</v>
      </c>
      <c r="AP487" s="308"/>
    </row>
    <row r="488" spans="26:42" x14ac:dyDescent="0.2">
      <c r="AE488" s="315" t="str">
        <f>AE457</f>
        <v>Weather 
Normal Conversion 
Factor</v>
      </c>
      <c r="AF488" s="315"/>
      <c r="AG488" s="315"/>
      <c r="AH488" s="315"/>
      <c r="AI488" s="315"/>
      <c r="AJ488" s="315"/>
      <c r="AK488" s="250">
        <v>1</v>
      </c>
      <c r="AL488" s="250">
        <f>AL457</f>
        <v>1.0058125146032539</v>
      </c>
      <c r="AM488" s="308"/>
      <c r="AN488" s="308"/>
      <c r="AO488" s="308"/>
      <c r="AP488" s="308"/>
    </row>
    <row r="489" spans="26:42" ht="38.25" x14ac:dyDescent="0.2">
      <c r="AE489" s="251"/>
      <c r="AF489" s="151" t="str">
        <f>AA476</f>
        <v>2013 Board Approved</v>
      </c>
      <c r="AG489" s="151" t="str">
        <f>AB476</f>
        <v>2013 
Actual</v>
      </c>
      <c r="AH489" s="252"/>
      <c r="AI489" s="151" t="str">
        <f>AF489</f>
        <v>2013 Board Approved</v>
      </c>
      <c r="AJ489" s="151" t="str">
        <f>AG489</f>
        <v>2013 
Actual</v>
      </c>
      <c r="AK489" s="151" t="str">
        <f>AI489</f>
        <v>2013 Board Approved</v>
      </c>
      <c r="AL489" s="151" t="str">
        <f>AJ489</f>
        <v>2013 
Actual</v>
      </c>
      <c r="AM489" s="151" t="str">
        <f>AI489</f>
        <v>2013 Board Approved</v>
      </c>
      <c r="AN489" s="151" t="str">
        <f>AJ489</f>
        <v>2013 
Actual</v>
      </c>
      <c r="AO489" s="151" t="str">
        <f>AK489</f>
        <v>2013 Board Approved</v>
      </c>
      <c r="AP489" s="151" t="str">
        <f>AL489</f>
        <v>2013 
Actual</v>
      </c>
    </row>
    <row r="490" spans="26:42" x14ac:dyDescent="0.2">
      <c r="AE490" s="243" t="str">
        <f t="shared" ref="AE490:AE496" si="151">AE459</f>
        <v xml:space="preserve">Residential </v>
      </c>
      <c r="AF490" s="136">
        <f>S376</f>
        <v>20432.24624822551</v>
      </c>
      <c r="AG490" s="136">
        <f>AG459</f>
        <v>20265.75</v>
      </c>
      <c r="AH490" s="242" t="str">
        <f>AH459</f>
        <v>kWh</v>
      </c>
      <c r="AI490" s="136">
        <f>S377</f>
        <v>162565618.49710244</v>
      </c>
      <c r="AJ490" s="136">
        <f>AJ459</f>
        <v>158724607</v>
      </c>
      <c r="AK490" s="242">
        <f>AI490*$AK$488</f>
        <v>162565618.49710244</v>
      </c>
      <c r="AL490" s="136">
        <f>AJ490*$AL$488</f>
        <v>159647196.09608325</v>
      </c>
      <c r="AM490" s="242">
        <f>AI490/AF490</f>
        <v>7956.3263148916312</v>
      </c>
      <c r="AN490" s="242">
        <f>AJ490/AG490</f>
        <v>7832.1605171286528</v>
      </c>
      <c r="AO490" s="242">
        <f>AK490/AF490</f>
        <v>7956.3263148916312</v>
      </c>
      <c r="AP490" s="242">
        <f>AL490/AG490</f>
        <v>7877.6850645094928</v>
      </c>
    </row>
    <row r="491" spans="26:42" x14ac:dyDescent="0.2">
      <c r="AE491" s="243" t="str">
        <f t="shared" si="151"/>
        <v>General Service &lt; 50 kW</v>
      </c>
      <c r="AF491" s="136">
        <f>S380</f>
        <v>1695.799451063576</v>
      </c>
      <c r="AG491" s="136">
        <f t="shared" ref="AG491:AG496" si="152">AG460</f>
        <v>1698.5</v>
      </c>
      <c r="AH491" s="242" t="str">
        <f t="shared" ref="AH491:AH505" si="153">AH460</f>
        <v>kWh</v>
      </c>
      <c r="AI491" s="136">
        <f>S381</f>
        <v>54784534.147389494</v>
      </c>
      <c r="AJ491" s="136">
        <f t="shared" ref="AJ491:AJ496" si="154">AJ460</f>
        <v>52726527</v>
      </c>
      <c r="AK491" s="242">
        <f t="shared" ref="AK491:AK496" si="155">AI491*$AK$488</f>
        <v>54784534.147389494</v>
      </c>
      <c r="AL491" s="136">
        <f t="shared" ref="AL491:AL496" si="156">AJ491*$AL$488</f>
        <v>53033000.708166361</v>
      </c>
      <c r="AM491" s="242">
        <f t="shared" ref="AM491:AM496" si="157">AI491/AF491</f>
        <v>32306.021866577197</v>
      </c>
      <c r="AN491" s="242">
        <f t="shared" ref="AN491:AN496" si="158">AJ491/AG491</f>
        <v>31042.99499558434</v>
      </c>
      <c r="AO491" s="242">
        <f t="shared" ref="AO491:AO496" si="159">AK491/AF491</f>
        <v>32306.021866577197</v>
      </c>
      <c r="AP491" s="242">
        <f t="shared" ref="AP491:AP496" si="160">AL491/AG491</f>
        <v>31223.432857324911</v>
      </c>
    </row>
    <row r="492" spans="26:42" x14ac:dyDescent="0.2">
      <c r="AE492" s="243" t="str">
        <f t="shared" si="151"/>
        <v>General Service 50 to 4,999 kW</v>
      </c>
      <c r="AF492" s="136">
        <f>S384</f>
        <v>169</v>
      </c>
      <c r="AG492" s="136">
        <f t="shared" si="152"/>
        <v>172.66666666666666</v>
      </c>
      <c r="AH492" s="242" t="str">
        <f t="shared" si="153"/>
        <v>kW</v>
      </c>
      <c r="AI492" s="136">
        <f>S386</f>
        <v>396002.04170930648</v>
      </c>
      <c r="AJ492" s="136">
        <f t="shared" si="154"/>
        <v>389545</v>
      </c>
      <c r="AK492" s="242">
        <f t="shared" si="155"/>
        <v>396002.04170930648</v>
      </c>
      <c r="AL492" s="136">
        <f t="shared" si="156"/>
        <v>391809.23600112455</v>
      </c>
      <c r="AM492" s="242">
        <f t="shared" si="157"/>
        <v>2343.207347392346</v>
      </c>
      <c r="AN492" s="242">
        <f t="shared" si="158"/>
        <v>2256.0521235521237</v>
      </c>
      <c r="AO492" s="242">
        <f t="shared" si="159"/>
        <v>2343.207347392346</v>
      </c>
      <c r="AP492" s="242">
        <f t="shared" si="160"/>
        <v>2269.1654594659726</v>
      </c>
    </row>
    <row r="493" spans="26:42" x14ac:dyDescent="0.2">
      <c r="AE493" s="243" t="str">
        <f t="shared" si="151"/>
        <v>Large User</v>
      </c>
      <c r="AF493" s="136">
        <f>S389</f>
        <v>1</v>
      </c>
      <c r="AG493" s="136">
        <f t="shared" si="152"/>
        <v>1</v>
      </c>
      <c r="AH493" s="242" t="str">
        <f t="shared" si="153"/>
        <v>kW</v>
      </c>
      <c r="AI493" s="136">
        <f>S391</f>
        <v>168817.67255906758</v>
      </c>
      <c r="AJ493" s="136">
        <f t="shared" si="154"/>
        <v>153121</v>
      </c>
      <c r="AK493" s="242">
        <f t="shared" si="155"/>
        <v>168817.67255906758</v>
      </c>
      <c r="AL493" s="136">
        <f t="shared" si="156"/>
        <v>154011.01804856485</v>
      </c>
      <c r="AM493" s="242">
        <f t="shared" si="157"/>
        <v>168817.67255906758</v>
      </c>
      <c r="AN493" s="242">
        <f t="shared" si="158"/>
        <v>153121</v>
      </c>
      <c r="AO493" s="242">
        <f t="shared" si="159"/>
        <v>168817.67255906758</v>
      </c>
      <c r="AP493" s="242">
        <f t="shared" si="160"/>
        <v>154011.01804856485</v>
      </c>
    </row>
    <row r="494" spans="26:42" x14ac:dyDescent="0.2">
      <c r="AE494" s="243" t="str">
        <f t="shared" si="151"/>
        <v xml:space="preserve">Street Lights </v>
      </c>
      <c r="AF494" s="136">
        <f>S394</f>
        <v>6749.5</v>
      </c>
      <c r="AG494" s="136">
        <f t="shared" si="152"/>
        <v>6778.916666666667</v>
      </c>
      <c r="AH494" s="242" t="str">
        <f t="shared" si="153"/>
        <v>kW</v>
      </c>
      <c r="AI494" s="136">
        <f>S396</f>
        <v>3552</v>
      </c>
      <c r="AJ494" s="136">
        <f t="shared" si="154"/>
        <v>7923</v>
      </c>
      <c r="AK494" s="242">
        <f t="shared" si="155"/>
        <v>3552</v>
      </c>
      <c r="AL494" s="136">
        <f t="shared" si="156"/>
        <v>7969.0525532015808</v>
      </c>
      <c r="AM494" s="242">
        <f t="shared" si="157"/>
        <v>0.5262612045336692</v>
      </c>
      <c r="AN494" s="242">
        <f t="shared" si="158"/>
        <v>1.1687708212964214</v>
      </c>
      <c r="AO494" s="242">
        <f t="shared" si="159"/>
        <v>0.5262612045336692</v>
      </c>
      <c r="AP494" s="242">
        <f t="shared" si="160"/>
        <v>1.175564318763064</v>
      </c>
    </row>
    <row r="495" spans="26:42" x14ac:dyDescent="0.2">
      <c r="AE495" s="243" t="str">
        <f t="shared" si="151"/>
        <v>Sentinel Lights</v>
      </c>
      <c r="AF495" s="136">
        <f>S399</f>
        <v>574</v>
      </c>
      <c r="AG495" s="136">
        <f t="shared" si="152"/>
        <v>580.25</v>
      </c>
      <c r="AH495" s="242" t="str">
        <f t="shared" si="153"/>
        <v>kW</v>
      </c>
      <c r="AI495" s="136">
        <f>S401</f>
        <v>2296.8000000000002</v>
      </c>
      <c r="AJ495" s="136">
        <f t="shared" si="154"/>
        <v>2186</v>
      </c>
      <c r="AK495" s="242">
        <f t="shared" si="155"/>
        <v>2296.8000000000002</v>
      </c>
      <c r="AL495" s="136">
        <f t="shared" si="156"/>
        <v>2198.706156922713</v>
      </c>
      <c r="AM495" s="242">
        <f t="shared" si="157"/>
        <v>4.0013937282229968</v>
      </c>
      <c r="AN495" s="242">
        <f t="shared" si="158"/>
        <v>3.7673416630762602</v>
      </c>
      <c r="AO495" s="242">
        <f t="shared" si="159"/>
        <v>4.0013937282229968</v>
      </c>
      <c r="AP495" s="242">
        <f t="shared" si="160"/>
        <v>3.789239391508338</v>
      </c>
    </row>
    <row r="496" spans="26:42" x14ac:dyDescent="0.2">
      <c r="AE496" s="243" t="str">
        <f t="shared" si="151"/>
        <v xml:space="preserve">Unmetered Scattered Loads </v>
      </c>
      <c r="AF496" s="136">
        <f>S404</f>
        <v>225.35874142083784</v>
      </c>
      <c r="AG496" s="136">
        <f t="shared" si="152"/>
        <v>235.5</v>
      </c>
      <c r="AH496" s="242" t="str">
        <f t="shared" si="153"/>
        <v>kWh</v>
      </c>
      <c r="AI496" s="136">
        <f>S405</f>
        <v>1111229.6191108765</v>
      </c>
      <c r="AJ496" s="136">
        <f t="shared" si="154"/>
        <v>989250</v>
      </c>
      <c r="AK496" s="242">
        <f t="shared" si="155"/>
        <v>1111229.6191108765</v>
      </c>
      <c r="AL496" s="136">
        <f t="shared" si="156"/>
        <v>995000.03007126891</v>
      </c>
      <c r="AM496" s="242">
        <f t="shared" si="157"/>
        <v>4930.9363910395286</v>
      </c>
      <c r="AN496" s="242">
        <f t="shared" si="158"/>
        <v>4200.6369426751589</v>
      </c>
      <c r="AO496" s="242">
        <f t="shared" si="159"/>
        <v>4930.9363910395286</v>
      </c>
      <c r="AP496" s="242">
        <f t="shared" si="160"/>
        <v>4225.0532062474267</v>
      </c>
    </row>
    <row r="497" spans="26:42" x14ac:dyDescent="0.2">
      <c r="AE497" s="243" t="s">
        <v>10</v>
      </c>
      <c r="AF497" s="136">
        <f>SUM(AF490:AF496)</f>
        <v>29846.904440709925</v>
      </c>
      <c r="AG497" s="136">
        <f>SUM(AG490:AG496)</f>
        <v>29732.583333333336</v>
      </c>
      <c r="AH497" s="242"/>
      <c r="AI497" s="253"/>
      <c r="AJ497" s="253"/>
      <c r="AK497" s="253"/>
      <c r="AL497" s="253"/>
      <c r="AM497" s="253"/>
      <c r="AN497" s="253"/>
      <c r="AO497" s="253"/>
      <c r="AP497" s="253"/>
    </row>
    <row r="498" spans="26:42" x14ac:dyDescent="0.2">
      <c r="AE498" s="150"/>
      <c r="AF498" s="309" t="s">
        <v>267</v>
      </c>
      <c r="AG498" s="309"/>
      <c r="AH498" s="242"/>
      <c r="AI498" s="309" t="s">
        <v>267</v>
      </c>
      <c r="AJ498" s="309"/>
      <c r="AK498" s="309" t="s">
        <v>267</v>
      </c>
      <c r="AL498" s="309"/>
      <c r="AM498" s="309" t="s">
        <v>267</v>
      </c>
      <c r="AN498" s="309"/>
      <c r="AO498" s="309" t="s">
        <v>267</v>
      </c>
      <c r="AP498" s="309"/>
    </row>
    <row r="499" spans="26:42" x14ac:dyDescent="0.2">
      <c r="AE499" s="254" t="str">
        <f>AE490</f>
        <v xml:space="preserve">Residential </v>
      </c>
      <c r="AF499" s="292">
        <f>AG490-AF490</f>
        <v>-166.4962482255105</v>
      </c>
      <c r="AG499" s="292"/>
      <c r="AH499" s="242" t="str">
        <f t="shared" si="153"/>
        <v>kWh</v>
      </c>
      <c r="AI499" s="292">
        <f>AJ490-AI490</f>
        <v>-3841011.4971024394</v>
      </c>
      <c r="AJ499" s="292"/>
      <c r="AK499" s="292">
        <f>AL490-AK490</f>
        <v>-2918422.4010191858</v>
      </c>
      <c r="AL499" s="292"/>
      <c r="AM499" s="292">
        <f>AN490-AM490</f>
        <v>-124.1657977629784</v>
      </c>
      <c r="AN499" s="292"/>
      <c r="AO499" s="292">
        <f>AP490-AO490</f>
        <v>-78.641250382138423</v>
      </c>
      <c r="AP499" s="292"/>
    </row>
    <row r="500" spans="26:42" x14ac:dyDescent="0.2">
      <c r="AE500" s="254" t="str">
        <f t="shared" ref="AE500:AE505" si="161">AE491</f>
        <v>General Service &lt; 50 kW</v>
      </c>
      <c r="AF500" s="292">
        <f>AG491-AF491</f>
        <v>2.7005489364239565</v>
      </c>
      <c r="AG500" s="292"/>
      <c r="AH500" s="242" t="str">
        <f t="shared" si="153"/>
        <v>kWh</v>
      </c>
      <c r="AI500" s="292">
        <f>AJ491-AI491</f>
        <v>-2058007.1473894939</v>
      </c>
      <c r="AJ500" s="292"/>
      <c r="AK500" s="292">
        <f>AL491-AK491</f>
        <v>-1751533.439223133</v>
      </c>
      <c r="AL500" s="292"/>
      <c r="AM500" s="292">
        <f>AN491-AM491</f>
        <v>-1263.0268709928569</v>
      </c>
      <c r="AN500" s="292"/>
      <c r="AO500" s="292">
        <f>AP491-AO491</f>
        <v>-1082.5890092522859</v>
      </c>
      <c r="AP500" s="292"/>
    </row>
    <row r="501" spans="26:42" x14ac:dyDescent="0.2">
      <c r="AE501" s="254" t="str">
        <f t="shared" si="161"/>
        <v>General Service 50 to 4,999 kW</v>
      </c>
      <c r="AF501" s="292">
        <f>AG492-AF492</f>
        <v>3.6666666666666572</v>
      </c>
      <c r="AG501" s="292"/>
      <c r="AH501" s="242" t="str">
        <f t="shared" si="153"/>
        <v>kW</v>
      </c>
      <c r="AI501" s="292">
        <f>AJ492-AI492</f>
        <v>-6457.0417093064752</v>
      </c>
      <c r="AJ501" s="292"/>
      <c r="AK501" s="292">
        <f>AL492-AK492</f>
        <v>-4192.8057081819279</v>
      </c>
      <c r="AL501" s="292"/>
      <c r="AM501" s="292">
        <f>AN492-AM492</f>
        <v>-87.155223840222334</v>
      </c>
      <c r="AN501" s="292"/>
      <c r="AO501" s="292">
        <f>AP492-AO492</f>
        <v>-74.04188792637342</v>
      </c>
      <c r="AP501" s="292"/>
    </row>
    <row r="502" spans="26:42" x14ac:dyDescent="0.2">
      <c r="AE502" s="254" t="str">
        <f t="shared" si="161"/>
        <v>Large User</v>
      </c>
      <c r="AF502" s="292">
        <f>AG493-AF493</f>
        <v>0</v>
      </c>
      <c r="AG502" s="292"/>
      <c r="AH502" s="242" t="str">
        <f t="shared" si="153"/>
        <v>kW</v>
      </c>
      <c r="AI502" s="292">
        <f>AJ493-AI493</f>
        <v>-15696.672559067578</v>
      </c>
      <c r="AJ502" s="292"/>
      <c r="AK502" s="292">
        <f>AL493-AK493</f>
        <v>-14806.654510502733</v>
      </c>
      <c r="AL502" s="292"/>
      <c r="AM502" s="292">
        <f>AN493-AM493</f>
        <v>-15696.672559067578</v>
      </c>
      <c r="AN502" s="292"/>
      <c r="AO502" s="292">
        <f>AP493-AO493</f>
        <v>-14806.654510502733</v>
      </c>
      <c r="AP502" s="292"/>
    </row>
    <row r="503" spans="26:42" x14ac:dyDescent="0.2">
      <c r="AE503" s="254" t="str">
        <f t="shared" si="161"/>
        <v xml:space="preserve">Street Lights </v>
      </c>
      <c r="AF503" s="292">
        <f t="shared" ref="AF503:AF505" si="162">AG494-AF494</f>
        <v>29.41666666666697</v>
      </c>
      <c r="AG503" s="292"/>
      <c r="AH503" s="242" t="str">
        <f t="shared" si="153"/>
        <v>kW</v>
      </c>
      <c r="AI503" s="292">
        <f t="shared" ref="AI503:AI505" si="163">AJ494-AI494</f>
        <v>4371</v>
      </c>
      <c r="AJ503" s="292"/>
      <c r="AK503" s="292">
        <f t="shared" ref="AK503:AK505" si="164">AL494-AK494</f>
        <v>4417.0525532015808</v>
      </c>
      <c r="AL503" s="292"/>
      <c r="AM503" s="292">
        <f t="shared" ref="AM503:AM505" si="165">AN494-AM494</f>
        <v>0.6425096167627522</v>
      </c>
      <c r="AN503" s="292"/>
      <c r="AO503" s="292">
        <f t="shared" ref="AO503:AO505" si="166">AP494-AO494</f>
        <v>0.6493031142293948</v>
      </c>
      <c r="AP503" s="292"/>
    </row>
    <row r="504" spans="26:42" x14ac:dyDescent="0.2">
      <c r="AE504" s="254" t="str">
        <f t="shared" si="161"/>
        <v>Sentinel Lights</v>
      </c>
      <c r="AF504" s="292">
        <f t="shared" si="162"/>
        <v>6.25</v>
      </c>
      <c r="AG504" s="292"/>
      <c r="AH504" s="242" t="str">
        <f t="shared" si="153"/>
        <v>kW</v>
      </c>
      <c r="AI504" s="292">
        <f t="shared" si="163"/>
        <v>-110.80000000000018</v>
      </c>
      <c r="AJ504" s="292"/>
      <c r="AK504" s="292">
        <f t="shared" si="164"/>
        <v>-98.093843077287147</v>
      </c>
      <c r="AL504" s="292"/>
      <c r="AM504" s="292">
        <f t="shared" si="165"/>
        <v>-0.2340520651467366</v>
      </c>
      <c r="AN504" s="292"/>
      <c r="AO504" s="292">
        <f t="shared" si="166"/>
        <v>-0.21215433671465878</v>
      </c>
      <c r="AP504" s="292"/>
    </row>
    <row r="505" spans="26:42" x14ac:dyDescent="0.2">
      <c r="AE505" s="254" t="str">
        <f t="shared" si="161"/>
        <v xml:space="preserve">Unmetered Scattered Loads </v>
      </c>
      <c r="AF505" s="292">
        <f t="shared" si="162"/>
        <v>10.141258579162155</v>
      </c>
      <c r="AG505" s="292"/>
      <c r="AH505" s="242" t="str">
        <f t="shared" si="153"/>
        <v>kWh</v>
      </c>
      <c r="AI505" s="292">
        <f t="shared" si="163"/>
        <v>-121979.61911087646</v>
      </c>
      <c r="AJ505" s="292"/>
      <c r="AK505" s="292">
        <f t="shared" si="164"/>
        <v>-116229.58903960756</v>
      </c>
      <c r="AL505" s="292"/>
      <c r="AM505" s="292">
        <f t="shared" si="165"/>
        <v>-730.29944836436971</v>
      </c>
      <c r="AN505" s="292"/>
      <c r="AO505" s="292">
        <f t="shared" si="166"/>
        <v>-705.88318479210193</v>
      </c>
      <c r="AP505" s="292"/>
    </row>
    <row r="506" spans="26:42" x14ac:dyDescent="0.2">
      <c r="Z506" s="224" t="s">
        <v>293</v>
      </c>
      <c r="AA506" s="224"/>
      <c r="AB506" s="224"/>
      <c r="AC506" s="203"/>
      <c r="AD506" s="203"/>
    </row>
    <row r="507" spans="26:42" ht="25.5" x14ac:dyDescent="0.2">
      <c r="Z507" s="241" t="s">
        <v>255</v>
      </c>
      <c r="AA507" s="242" t="s">
        <v>243</v>
      </c>
      <c r="AB507" s="242" t="s">
        <v>292</v>
      </c>
      <c r="AC507" s="242" t="s">
        <v>257</v>
      </c>
      <c r="AD507" s="242" t="s">
        <v>258</v>
      </c>
      <c r="AE507" s="280"/>
      <c r="AF507" s="281"/>
      <c r="AG507" s="281"/>
      <c r="AH507" s="282"/>
      <c r="AI507" s="281"/>
      <c r="AJ507" s="281"/>
      <c r="AK507" s="281"/>
      <c r="AL507" s="281"/>
      <c r="AM507" s="281"/>
      <c r="AN507" s="281"/>
      <c r="AO507" s="281"/>
      <c r="AP507" s="281"/>
    </row>
    <row r="508" spans="26:42" x14ac:dyDescent="0.2">
      <c r="Z508" s="243" t="str">
        <f>Z477</f>
        <v xml:space="preserve">Residential </v>
      </c>
      <c r="AA508" s="244">
        <f>AB477</f>
        <v>6035509</v>
      </c>
      <c r="AB508" s="244">
        <f t="shared" ref="AB508:AB514" si="167">S5</f>
        <v>6008631</v>
      </c>
      <c r="AC508" s="244">
        <f>AB508-AA508</f>
        <v>-26878</v>
      </c>
      <c r="AD508" s="245">
        <f>AC508/AA508</f>
        <v>-4.4533112285972901E-3</v>
      </c>
      <c r="AE508" s="280"/>
      <c r="AF508" s="281"/>
      <c r="AG508" s="281"/>
      <c r="AH508" s="282"/>
      <c r="AI508" s="281"/>
      <c r="AJ508" s="281"/>
      <c r="AK508" s="281"/>
      <c r="AL508" s="281"/>
      <c r="AM508" s="281"/>
      <c r="AN508" s="281"/>
      <c r="AO508" s="281"/>
      <c r="AP508" s="281"/>
    </row>
    <row r="509" spans="26:42" x14ac:dyDescent="0.2">
      <c r="Z509" s="243" t="str">
        <f t="shared" ref="Z509:Z514" si="168">Z478</f>
        <v>General Service &lt; 50 kW</v>
      </c>
      <c r="AA509" s="244">
        <f t="shared" ref="AA509:AA514" si="169">AB478</f>
        <v>1001165</v>
      </c>
      <c r="AB509" s="244">
        <f t="shared" si="167"/>
        <v>1024771</v>
      </c>
      <c r="AC509" s="244">
        <f t="shared" ref="AC509:AC515" si="170">AB509-AA509</f>
        <v>23606</v>
      </c>
      <c r="AD509" s="245">
        <f t="shared" ref="AD509:AD515" si="171">AC509/AA509</f>
        <v>2.3578531011371751E-2</v>
      </c>
      <c r="AE509" s="280"/>
      <c r="AF509" s="281"/>
      <c r="AG509" s="281"/>
      <c r="AH509" s="282"/>
      <c r="AI509" s="281"/>
      <c r="AJ509" s="281"/>
      <c r="AK509" s="281"/>
      <c r="AL509" s="281"/>
      <c r="AM509" s="281"/>
      <c r="AN509" s="281"/>
      <c r="AO509" s="281"/>
      <c r="AP509" s="281"/>
    </row>
    <row r="510" spans="26:42" x14ac:dyDescent="0.2">
      <c r="Z510" s="243" t="str">
        <f t="shared" si="168"/>
        <v>General Service 50 to 4,999 kW</v>
      </c>
      <c r="AA510" s="244">
        <f t="shared" si="169"/>
        <v>1278326</v>
      </c>
      <c r="AB510" s="244">
        <f t="shared" si="167"/>
        <v>1351549</v>
      </c>
      <c r="AC510" s="244">
        <f t="shared" si="170"/>
        <v>73223</v>
      </c>
      <c r="AD510" s="245">
        <f t="shared" si="171"/>
        <v>5.7280380747946925E-2</v>
      </c>
      <c r="AE510" s="280"/>
      <c r="AF510" s="281"/>
      <c r="AG510" s="281"/>
      <c r="AH510" s="282"/>
      <c r="AI510" s="281"/>
      <c r="AJ510" s="281"/>
      <c r="AK510" s="281"/>
      <c r="AL510" s="281"/>
      <c r="AM510" s="281"/>
      <c r="AN510" s="281"/>
      <c r="AO510" s="281"/>
      <c r="AP510" s="281"/>
    </row>
    <row r="511" spans="26:42" x14ac:dyDescent="0.2">
      <c r="Z511" s="243" t="str">
        <f t="shared" si="168"/>
        <v>Large User</v>
      </c>
      <c r="AA511" s="244">
        <f t="shared" si="169"/>
        <v>131373</v>
      </c>
      <c r="AB511" s="244">
        <f t="shared" si="167"/>
        <v>98517</v>
      </c>
      <c r="AC511" s="244">
        <f t="shared" si="170"/>
        <v>-32856</v>
      </c>
      <c r="AD511" s="245">
        <f t="shared" si="171"/>
        <v>-0.25009705190564269</v>
      </c>
      <c r="AE511" s="280"/>
      <c r="AF511" s="281"/>
      <c r="AG511" s="281"/>
      <c r="AH511" s="282"/>
      <c r="AI511" s="281"/>
      <c r="AJ511" s="281"/>
      <c r="AK511" s="281"/>
      <c r="AL511" s="281"/>
      <c r="AM511" s="281"/>
      <c r="AN511" s="281"/>
      <c r="AO511" s="281"/>
      <c r="AP511" s="281"/>
    </row>
    <row r="512" spans="26:42" x14ac:dyDescent="0.2">
      <c r="Z512" s="243" t="str">
        <f t="shared" si="168"/>
        <v xml:space="preserve">Street Lights </v>
      </c>
      <c r="AA512" s="244">
        <f t="shared" si="169"/>
        <v>237088</v>
      </c>
      <c r="AB512" s="244">
        <f t="shared" si="167"/>
        <v>211712</v>
      </c>
      <c r="AC512" s="244">
        <f t="shared" si="170"/>
        <v>-25376</v>
      </c>
      <c r="AD512" s="245">
        <f t="shared" si="171"/>
        <v>-0.10703198812255366</v>
      </c>
      <c r="AE512" s="280"/>
      <c r="AF512" s="281"/>
      <c r="AG512" s="281"/>
      <c r="AH512" s="282"/>
      <c r="AI512" s="281"/>
      <c r="AJ512" s="281"/>
      <c r="AK512" s="281"/>
      <c r="AL512" s="281"/>
      <c r="AM512" s="281"/>
      <c r="AN512" s="281"/>
      <c r="AO512" s="281"/>
      <c r="AP512" s="281"/>
    </row>
    <row r="513" spans="26:42" x14ac:dyDescent="0.2">
      <c r="Z513" s="243" t="str">
        <f t="shared" si="168"/>
        <v>Sentinel Lights</v>
      </c>
      <c r="AA513" s="244">
        <f t="shared" si="169"/>
        <v>29471</v>
      </c>
      <c r="AB513" s="244">
        <f t="shared" si="167"/>
        <v>28483</v>
      </c>
      <c r="AC513" s="244">
        <f t="shared" si="170"/>
        <v>-988</v>
      </c>
      <c r="AD513" s="245">
        <f t="shared" si="171"/>
        <v>-3.3524481693868548E-2</v>
      </c>
      <c r="AE513" s="280"/>
      <c r="AF513" s="281"/>
      <c r="AG513" s="281"/>
      <c r="AH513" s="282"/>
      <c r="AI513" s="281"/>
      <c r="AJ513" s="281"/>
      <c r="AK513" s="281"/>
      <c r="AL513" s="281"/>
      <c r="AM513" s="281"/>
      <c r="AN513" s="281"/>
      <c r="AO513" s="281"/>
      <c r="AP513" s="281"/>
    </row>
    <row r="514" spans="26:42" x14ac:dyDescent="0.2">
      <c r="Z514" s="243" t="str">
        <f t="shared" si="168"/>
        <v xml:space="preserve">Unmetered Scattered Loads </v>
      </c>
      <c r="AA514" s="244">
        <f t="shared" si="169"/>
        <v>41460</v>
      </c>
      <c r="AB514" s="244">
        <f t="shared" si="167"/>
        <v>42241</v>
      </c>
      <c r="AC514" s="244">
        <f t="shared" si="170"/>
        <v>781</v>
      </c>
      <c r="AD514" s="245">
        <f t="shared" si="171"/>
        <v>1.8837433671008201E-2</v>
      </c>
      <c r="AE514" s="280"/>
      <c r="AF514" s="281"/>
      <c r="AG514" s="281"/>
      <c r="AH514" s="282"/>
      <c r="AI514" s="281"/>
      <c r="AJ514" s="281"/>
      <c r="AK514" s="281"/>
      <c r="AL514" s="281"/>
      <c r="AM514" s="281"/>
      <c r="AN514" s="281"/>
      <c r="AO514" s="281"/>
      <c r="AP514" s="281"/>
    </row>
    <row r="515" spans="26:42" x14ac:dyDescent="0.2">
      <c r="Z515" s="246" t="s">
        <v>16</v>
      </c>
      <c r="AA515" s="244">
        <f>SUM(AA508:AA514)</f>
        <v>8754392</v>
      </c>
      <c r="AB515" s="244">
        <f>SUM(AB508:AB514)</f>
        <v>8765904</v>
      </c>
      <c r="AC515" s="244">
        <f t="shared" si="170"/>
        <v>11512</v>
      </c>
      <c r="AD515" s="245">
        <f t="shared" si="171"/>
        <v>1.3149970894609244E-3</v>
      </c>
      <c r="AE515" s="280"/>
      <c r="AF515" s="281"/>
      <c r="AG515" s="281"/>
      <c r="AH515" s="282"/>
      <c r="AI515" s="281"/>
      <c r="AJ515" s="281"/>
      <c r="AK515" s="281"/>
      <c r="AL515" s="281"/>
      <c r="AM515" s="281"/>
      <c r="AN515" s="281"/>
      <c r="AO515" s="281"/>
      <c r="AP515" s="281"/>
    </row>
    <row r="516" spans="26:42" customFormat="1" x14ac:dyDescent="0.2"/>
    <row r="517" spans="26:42" customFormat="1" x14ac:dyDescent="0.2">
      <c r="AE517" s="224" t="s">
        <v>294</v>
      </c>
      <c r="AF517" s="224"/>
      <c r="AG517" s="224"/>
    </row>
    <row r="518" spans="26:42" customFormat="1" x14ac:dyDescent="0.2">
      <c r="AE518" s="248" t="s">
        <v>259</v>
      </c>
      <c r="AF518" s="307" t="s">
        <v>260</v>
      </c>
      <c r="AG518" s="307"/>
      <c r="AH518" s="163" t="s">
        <v>261</v>
      </c>
      <c r="AI518" s="293" t="s">
        <v>262</v>
      </c>
      <c r="AJ518" s="293"/>
      <c r="AK518" s="308" t="s">
        <v>263</v>
      </c>
      <c r="AL518" s="308"/>
      <c r="AM518" s="308" t="s">
        <v>264</v>
      </c>
      <c r="AN518" s="308"/>
      <c r="AO518" s="308" t="s">
        <v>265</v>
      </c>
      <c r="AP518" s="308"/>
    </row>
    <row r="519" spans="26:42" x14ac:dyDescent="0.2">
      <c r="AE519" s="310" t="str">
        <f>AE457</f>
        <v>Weather 
Normal Conversion 
Factor</v>
      </c>
      <c r="AF519" s="311"/>
      <c r="AG519" s="311"/>
      <c r="AH519" s="311"/>
      <c r="AI519" s="311"/>
      <c r="AJ519" s="312"/>
      <c r="AK519" s="250">
        <f>AL457</f>
        <v>1.0058125146032539</v>
      </c>
      <c r="AL519" s="250">
        <f>F171</f>
        <v>1.0092713565697771</v>
      </c>
      <c r="AM519" s="313"/>
      <c r="AN519" s="314"/>
      <c r="AO519" s="313"/>
      <c r="AP519" s="314"/>
    </row>
    <row r="520" spans="26:42" ht="25.5" x14ac:dyDescent="0.2">
      <c r="AE520" s="251"/>
      <c r="AF520" s="242" t="str">
        <f>AA507</f>
        <v>2013 
Actual</v>
      </c>
      <c r="AG520" s="242" t="str">
        <f>AB507</f>
        <v>2014 Actual</v>
      </c>
      <c r="AH520" s="252"/>
      <c r="AI520" s="151" t="str">
        <f>AF520</f>
        <v>2013 
Actual</v>
      </c>
      <c r="AJ520" s="151" t="str">
        <f>AG520</f>
        <v>2014 Actual</v>
      </c>
      <c r="AK520" s="151" t="str">
        <f>AI520</f>
        <v>2013 
Actual</v>
      </c>
      <c r="AL520" s="151" t="str">
        <f>AJ520</f>
        <v>2014 Actual</v>
      </c>
      <c r="AM520" s="151" t="str">
        <f>AI520</f>
        <v>2013 
Actual</v>
      </c>
      <c r="AN520" s="151" t="str">
        <f>AJ520</f>
        <v>2014 Actual</v>
      </c>
      <c r="AO520" s="151" t="str">
        <f>AK520</f>
        <v>2013 
Actual</v>
      </c>
      <c r="AP520" s="151" t="str">
        <f>AL520</f>
        <v>2014 Actual</v>
      </c>
    </row>
    <row r="521" spans="26:42" x14ac:dyDescent="0.2">
      <c r="AE521" s="243" t="str">
        <f>AE459</f>
        <v xml:space="preserve">Residential </v>
      </c>
      <c r="AF521" s="136">
        <f>AG490</f>
        <v>20265.75</v>
      </c>
      <c r="AG521" s="136">
        <f>U376</f>
        <v>20472.166666666668</v>
      </c>
      <c r="AH521" s="242" t="str">
        <f>AH490</f>
        <v>kWh</v>
      </c>
      <c r="AI521" s="136">
        <f>AJ490</f>
        <v>158724607</v>
      </c>
      <c r="AJ521" s="136">
        <f>U377</f>
        <v>158185053</v>
      </c>
      <c r="AK521" s="242">
        <f>AI521*$AK$519</f>
        <v>159647196.09608325</v>
      </c>
      <c r="AL521" s="136">
        <f>AJ521*$AL$519</f>
        <v>159651643.03037208</v>
      </c>
      <c r="AM521" s="242">
        <f>AI521/AF521</f>
        <v>7832.1605171286528</v>
      </c>
      <c r="AN521" s="242">
        <f>AJ521/AG521</f>
        <v>7726.8349547759963</v>
      </c>
      <c r="AO521" s="242">
        <f>AK521/AF521</f>
        <v>7877.6850645094928</v>
      </c>
      <c r="AP521" s="242">
        <f>AL521/AG521</f>
        <v>7798.4731967975413</v>
      </c>
    </row>
    <row r="522" spans="26:42" x14ac:dyDescent="0.2">
      <c r="AE522" s="243" t="str">
        <f t="shared" ref="AE522:AE527" si="172">AE460</f>
        <v>General Service &lt; 50 kW</v>
      </c>
      <c r="AF522" s="136">
        <f t="shared" ref="AF522:AF527" si="173">AG491</f>
        <v>1698.5</v>
      </c>
      <c r="AG522" s="136">
        <f>U380</f>
        <v>1742.8333333333333</v>
      </c>
      <c r="AH522" s="242" t="str">
        <f t="shared" ref="AH522:AH527" si="174">AH491</f>
        <v>kWh</v>
      </c>
      <c r="AI522" s="136">
        <f t="shared" ref="AI522:AI527" si="175">AJ491</f>
        <v>52726527</v>
      </c>
      <c r="AJ522" s="136">
        <f>U381</f>
        <v>53903009</v>
      </c>
      <c r="AK522" s="242">
        <f t="shared" ref="AK522:AK527" si="176">AI522*$AK$519</f>
        <v>53033000.708166361</v>
      </c>
      <c r="AL522" s="136">
        <f t="shared" ref="AL522:AL527" si="177">AJ522*$AL$519</f>
        <v>54402763.016622901</v>
      </c>
      <c r="AM522" s="242">
        <f t="shared" ref="AM522:AM527" si="178">AI522/AF522</f>
        <v>31042.99499558434</v>
      </c>
      <c r="AN522" s="242">
        <f t="shared" ref="AN522:AN527" si="179">AJ522/AG522</f>
        <v>30928.378502438558</v>
      </c>
      <c r="AO522" s="242">
        <f t="shared" ref="AO522:AO527" si="180">AK522/AF522</f>
        <v>31223.432857324911</v>
      </c>
      <c r="AP522" s="242">
        <f t="shared" ref="AP522:AP527" si="181">AL522/AG522</f>
        <v>31215.126527659693</v>
      </c>
    </row>
    <row r="523" spans="26:42" x14ac:dyDescent="0.2">
      <c r="AE523" s="243" t="str">
        <f t="shared" si="172"/>
        <v>General Service 50 to 4,999 kW</v>
      </c>
      <c r="AF523" s="136">
        <f t="shared" si="173"/>
        <v>172.66666666666666</v>
      </c>
      <c r="AG523" s="136">
        <f>U384</f>
        <v>165.41666666666666</v>
      </c>
      <c r="AH523" s="242" t="str">
        <f t="shared" si="174"/>
        <v>kW</v>
      </c>
      <c r="AI523" s="136">
        <f t="shared" si="175"/>
        <v>389545</v>
      </c>
      <c r="AJ523" s="136">
        <f>U386</f>
        <v>402375</v>
      </c>
      <c r="AK523" s="242">
        <f t="shared" si="176"/>
        <v>391809.23600112455</v>
      </c>
      <c r="AL523" s="136">
        <f t="shared" si="177"/>
        <v>406105.56209976407</v>
      </c>
      <c r="AM523" s="242">
        <f t="shared" si="178"/>
        <v>2256.0521235521237</v>
      </c>
      <c r="AN523" s="242">
        <f t="shared" si="179"/>
        <v>2432.4937027707811</v>
      </c>
      <c r="AO523" s="242">
        <f t="shared" si="180"/>
        <v>2269.1654594659726</v>
      </c>
      <c r="AP523" s="242">
        <f t="shared" si="181"/>
        <v>2455.0462192429063</v>
      </c>
    </row>
    <row r="524" spans="26:42" x14ac:dyDescent="0.2">
      <c r="AE524" s="243" t="str">
        <f t="shared" si="172"/>
        <v>Large User</v>
      </c>
      <c r="AF524" s="136">
        <f t="shared" si="173"/>
        <v>1</v>
      </c>
      <c r="AG524" s="136">
        <f>U389</f>
        <v>1</v>
      </c>
      <c r="AH524" s="242" t="str">
        <f t="shared" si="174"/>
        <v>kW</v>
      </c>
      <c r="AI524" s="136">
        <f t="shared" si="175"/>
        <v>153121</v>
      </c>
      <c r="AJ524" s="136">
        <f>U391</f>
        <v>59144</v>
      </c>
      <c r="AK524" s="242">
        <f t="shared" si="176"/>
        <v>154011.01804856485</v>
      </c>
      <c r="AL524" s="136">
        <f t="shared" si="177"/>
        <v>59692.345112962896</v>
      </c>
      <c r="AM524" s="242">
        <f t="shared" si="178"/>
        <v>153121</v>
      </c>
      <c r="AN524" s="242">
        <f t="shared" si="179"/>
        <v>59144</v>
      </c>
      <c r="AO524" s="242">
        <f t="shared" si="180"/>
        <v>154011.01804856485</v>
      </c>
      <c r="AP524" s="242">
        <f t="shared" si="181"/>
        <v>59692.345112962896</v>
      </c>
    </row>
    <row r="525" spans="26:42" x14ac:dyDescent="0.2">
      <c r="AE525" s="243" t="str">
        <f t="shared" si="172"/>
        <v xml:space="preserve">Street Lights </v>
      </c>
      <c r="AF525" s="136">
        <f t="shared" si="173"/>
        <v>6778.916666666667</v>
      </c>
      <c r="AG525" s="136">
        <f>U394</f>
        <v>6784.333333333333</v>
      </c>
      <c r="AH525" s="242" t="str">
        <f t="shared" si="174"/>
        <v>kW</v>
      </c>
      <c r="AI525" s="136">
        <f t="shared" si="175"/>
        <v>7923</v>
      </c>
      <c r="AJ525" s="136">
        <f>U396</f>
        <v>6992</v>
      </c>
      <c r="AK525" s="242">
        <f t="shared" si="176"/>
        <v>7969.0525532015808</v>
      </c>
      <c r="AL525" s="136">
        <f t="shared" si="177"/>
        <v>7056.825325135881</v>
      </c>
      <c r="AM525" s="242">
        <f t="shared" si="178"/>
        <v>1.1687708212964214</v>
      </c>
      <c r="AN525" s="242">
        <f t="shared" si="179"/>
        <v>1.0306097381221442</v>
      </c>
      <c r="AO525" s="242">
        <f t="shared" si="180"/>
        <v>1.175564318763064</v>
      </c>
      <c r="AP525" s="242">
        <f t="shared" si="181"/>
        <v>1.040164888488559</v>
      </c>
    </row>
    <row r="526" spans="26:42" x14ac:dyDescent="0.2">
      <c r="AE526" s="243" t="str">
        <f t="shared" si="172"/>
        <v>Sentinel Lights</v>
      </c>
      <c r="AF526" s="136">
        <f t="shared" si="173"/>
        <v>580.25</v>
      </c>
      <c r="AG526" s="136">
        <f>U399</f>
        <v>519.16666666666663</v>
      </c>
      <c r="AH526" s="242" t="str">
        <f t="shared" si="174"/>
        <v>kW</v>
      </c>
      <c r="AI526" s="136">
        <f t="shared" si="175"/>
        <v>2186</v>
      </c>
      <c r="AJ526" s="136">
        <f>U401</f>
        <v>2120</v>
      </c>
      <c r="AK526" s="242">
        <f t="shared" si="176"/>
        <v>2198.706156922713</v>
      </c>
      <c r="AL526" s="136">
        <f t="shared" si="177"/>
        <v>2139.6552759279275</v>
      </c>
      <c r="AM526" s="242">
        <f>AI526/AF526</f>
        <v>3.7673416630762602</v>
      </c>
      <c r="AN526" s="242">
        <f>AJ526/AG526</f>
        <v>4.0834670947030505</v>
      </c>
      <c r="AO526" s="242">
        <f>AK526/AF526</f>
        <v>3.789239391508338</v>
      </c>
      <c r="AP526" s="242">
        <f>AL526/AG526</f>
        <v>4.1213263741789943</v>
      </c>
    </row>
    <row r="527" spans="26:42" x14ac:dyDescent="0.2">
      <c r="AE527" s="243" t="str">
        <f t="shared" si="172"/>
        <v xml:space="preserve">Unmetered Scattered Loads </v>
      </c>
      <c r="AF527" s="136">
        <f t="shared" si="173"/>
        <v>235.5</v>
      </c>
      <c r="AG527" s="136">
        <f>U404</f>
        <v>259.33333333333331</v>
      </c>
      <c r="AH527" s="242" t="str">
        <f t="shared" si="174"/>
        <v>kWh</v>
      </c>
      <c r="AI527" s="136">
        <f t="shared" si="175"/>
        <v>989250</v>
      </c>
      <c r="AJ527" s="136">
        <f>U405</f>
        <v>966945</v>
      </c>
      <c r="AK527" s="242">
        <f t="shared" si="176"/>
        <v>995000.03007126891</v>
      </c>
      <c r="AL527" s="136">
        <f t="shared" si="177"/>
        <v>975909.89187836309</v>
      </c>
      <c r="AM527" s="242">
        <f t="shared" si="178"/>
        <v>4200.6369426751589</v>
      </c>
      <c r="AN527" s="242">
        <f t="shared" si="179"/>
        <v>3728.5796915167098</v>
      </c>
      <c r="AO527" s="242">
        <f t="shared" si="180"/>
        <v>4225.0532062474267</v>
      </c>
      <c r="AP527" s="242">
        <f t="shared" si="181"/>
        <v>3763.1486833355907</v>
      </c>
    </row>
    <row r="528" spans="26:42" x14ac:dyDescent="0.2">
      <c r="AE528" s="243" t="s">
        <v>10</v>
      </c>
      <c r="AF528" s="136">
        <f>SUM(AF521:AF527)</f>
        <v>29732.583333333336</v>
      </c>
      <c r="AG528" s="136">
        <f>SUM(AG521:AG527)</f>
        <v>29944.25</v>
      </c>
      <c r="AH528" s="242"/>
      <c r="AI528" s="253"/>
      <c r="AJ528" s="253"/>
      <c r="AK528" s="253"/>
      <c r="AL528" s="253"/>
      <c r="AM528" s="253"/>
      <c r="AN528" s="253"/>
      <c r="AO528" s="253"/>
      <c r="AP528" s="253"/>
    </row>
    <row r="529" spans="26:54" x14ac:dyDescent="0.2">
      <c r="AE529" s="150"/>
      <c r="AF529" s="309" t="s">
        <v>267</v>
      </c>
      <c r="AG529" s="309"/>
      <c r="AH529" s="150"/>
      <c r="AI529" s="309" t="s">
        <v>267</v>
      </c>
      <c r="AJ529" s="309"/>
      <c r="AK529" s="309" t="s">
        <v>267</v>
      </c>
      <c r="AL529" s="309"/>
      <c r="AM529" s="309" t="s">
        <v>267</v>
      </c>
      <c r="AN529" s="309"/>
      <c r="AO529" s="309" t="s">
        <v>267</v>
      </c>
      <c r="AP529" s="309"/>
    </row>
    <row r="530" spans="26:54" x14ac:dyDescent="0.2">
      <c r="AE530" s="254" t="str">
        <f>AE521</f>
        <v xml:space="preserve">Residential </v>
      </c>
      <c r="AF530" s="305">
        <f>AG521-AF521</f>
        <v>206.41666666666788</v>
      </c>
      <c r="AG530" s="306"/>
      <c r="AH530" s="242" t="str">
        <f>AH521</f>
        <v>kWh</v>
      </c>
      <c r="AI530" s="305">
        <f>AJ521-AI521</f>
        <v>-539554</v>
      </c>
      <c r="AJ530" s="306"/>
      <c r="AK530" s="305">
        <f>AL521-AK521</f>
        <v>4446.934288829565</v>
      </c>
      <c r="AL530" s="306"/>
      <c r="AM530" s="305">
        <f>AN521-AM521</f>
        <v>-105.32556235265656</v>
      </c>
      <c r="AN530" s="306"/>
      <c r="AO530" s="305">
        <f>AP521-AO521</f>
        <v>-79.211867711951527</v>
      </c>
      <c r="AP530" s="306"/>
    </row>
    <row r="531" spans="26:54" x14ac:dyDescent="0.2">
      <c r="AE531" s="254" t="str">
        <f t="shared" ref="AE531:AE536" si="182">AE522</f>
        <v>General Service &lt; 50 kW</v>
      </c>
      <c r="AF531" s="305">
        <f>AG522-AF522</f>
        <v>44.333333333333258</v>
      </c>
      <c r="AG531" s="306"/>
      <c r="AH531" s="242" t="str">
        <f t="shared" ref="AH531:AH536" si="183">AH522</f>
        <v>kWh</v>
      </c>
      <c r="AI531" s="305">
        <f>AJ522-AI522</f>
        <v>1176482</v>
      </c>
      <c r="AJ531" s="306"/>
      <c r="AK531" s="305">
        <f>AL522-AK522</f>
        <v>1369762.3084565401</v>
      </c>
      <c r="AL531" s="306"/>
      <c r="AM531" s="305">
        <f>AN522-AM522</f>
        <v>-114.61649314578244</v>
      </c>
      <c r="AN531" s="306"/>
      <c r="AO531" s="305">
        <f>AP522-AO522</f>
        <v>-8.3063296652180725</v>
      </c>
      <c r="AP531" s="306"/>
    </row>
    <row r="532" spans="26:54" x14ac:dyDescent="0.2">
      <c r="AE532" s="254" t="str">
        <f t="shared" si="182"/>
        <v>General Service 50 to 4,999 kW</v>
      </c>
      <c r="AF532" s="305">
        <f>AG523-AF523</f>
        <v>-7.25</v>
      </c>
      <c r="AG532" s="306"/>
      <c r="AH532" s="242" t="str">
        <f t="shared" si="183"/>
        <v>kW</v>
      </c>
      <c r="AI532" s="305">
        <f>AJ523-AI523</f>
        <v>12830</v>
      </c>
      <c r="AJ532" s="306"/>
      <c r="AK532" s="305">
        <f>AL523-AK523</f>
        <v>14296.326098639518</v>
      </c>
      <c r="AL532" s="306"/>
      <c r="AM532" s="305">
        <f>AN523-AM523</f>
        <v>176.44157921865735</v>
      </c>
      <c r="AN532" s="306"/>
      <c r="AO532" s="305">
        <f>AP523-AO523</f>
        <v>185.8807597769337</v>
      </c>
      <c r="AP532" s="306"/>
    </row>
    <row r="533" spans="26:54" x14ac:dyDescent="0.2">
      <c r="AE533" s="254" t="str">
        <f t="shared" si="182"/>
        <v>Large User</v>
      </c>
      <c r="AF533" s="305">
        <f>AG524-AF524</f>
        <v>0</v>
      </c>
      <c r="AG533" s="306"/>
      <c r="AH533" s="242" t="str">
        <f t="shared" si="183"/>
        <v>kW</v>
      </c>
      <c r="AI533" s="305">
        <f>AJ524-AI524</f>
        <v>-93977</v>
      </c>
      <c r="AJ533" s="306"/>
      <c r="AK533" s="305">
        <f>AL524-AK524</f>
        <v>-94318.67293560195</v>
      </c>
      <c r="AL533" s="306"/>
      <c r="AM533" s="305">
        <f>AN524-AM524</f>
        <v>-93977</v>
      </c>
      <c r="AN533" s="306"/>
      <c r="AO533" s="305">
        <f>AP524-AO524</f>
        <v>-94318.67293560195</v>
      </c>
      <c r="AP533" s="306"/>
      <c r="AQ533"/>
      <c r="AR533"/>
      <c r="AS533"/>
      <c r="AT533"/>
      <c r="AU533"/>
      <c r="AV533"/>
      <c r="AW533"/>
      <c r="AX533"/>
      <c r="AY533"/>
      <c r="AZ533"/>
      <c r="BA533"/>
      <c r="BB533"/>
    </row>
    <row r="534" spans="26:54" x14ac:dyDescent="0.2">
      <c r="AE534" s="254" t="str">
        <f t="shared" si="182"/>
        <v xml:space="preserve">Street Lights </v>
      </c>
      <c r="AF534" s="305">
        <f t="shared" ref="AF534:AF536" si="184">AG525-AF525</f>
        <v>5.4166666666660603</v>
      </c>
      <c r="AG534" s="306"/>
      <c r="AH534" s="242" t="str">
        <f t="shared" si="183"/>
        <v>kW</v>
      </c>
      <c r="AI534" s="305">
        <f t="shared" ref="AI534:AI536" si="185">AJ525-AI525</f>
        <v>-931</v>
      </c>
      <c r="AJ534" s="306"/>
      <c r="AK534" s="305">
        <f t="shared" ref="AK534:AK536" si="186">AL525-AK525</f>
        <v>-912.22722806569982</v>
      </c>
      <c r="AL534" s="306"/>
      <c r="AM534" s="305">
        <f t="shared" ref="AM534:AM536" si="187">AN525-AM525</f>
        <v>-0.13816108317427722</v>
      </c>
      <c r="AN534" s="306"/>
      <c r="AO534" s="305">
        <f t="shared" ref="AO534:AO536" si="188">AP525-AO525</f>
        <v>-0.13539943027450496</v>
      </c>
      <c r="AP534" s="306"/>
      <c r="AQ534"/>
      <c r="AR534"/>
      <c r="AS534"/>
      <c r="AT534"/>
      <c r="AU534"/>
      <c r="AV534"/>
      <c r="AW534"/>
      <c r="AX534"/>
      <c r="AY534"/>
      <c r="AZ534"/>
      <c r="BA534"/>
      <c r="BB534"/>
    </row>
    <row r="535" spans="26:54" x14ac:dyDescent="0.2">
      <c r="AE535" s="254" t="str">
        <f t="shared" si="182"/>
        <v>Sentinel Lights</v>
      </c>
      <c r="AF535" s="305">
        <f t="shared" si="184"/>
        <v>-61.083333333333371</v>
      </c>
      <c r="AG535" s="306"/>
      <c r="AH535" s="242" t="str">
        <f t="shared" si="183"/>
        <v>kW</v>
      </c>
      <c r="AI535" s="305">
        <f t="shared" si="185"/>
        <v>-66</v>
      </c>
      <c r="AJ535" s="306"/>
      <c r="AK535" s="305">
        <f t="shared" si="186"/>
        <v>-59.05088099478553</v>
      </c>
      <c r="AL535" s="306"/>
      <c r="AM535" s="305">
        <f t="shared" si="187"/>
        <v>0.3161254316267903</v>
      </c>
      <c r="AN535" s="306"/>
      <c r="AO535" s="305">
        <f t="shared" si="188"/>
        <v>0.33208698267065628</v>
      </c>
      <c r="AP535" s="306"/>
      <c r="AQ535"/>
      <c r="AR535"/>
      <c r="AS535"/>
      <c r="AT535"/>
      <c r="AU535"/>
      <c r="AV535"/>
      <c r="AW535"/>
      <c r="AX535"/>
      <c r="AY535"/>
      <c r="AZ535"/>
      <c r="BA535"/>
      <c r="BB535"/>
    </row>
    <row r="536" spans="26:54" x14ac:dyDescent="0.2">
      <c r="AE536" s="254" t="str">
        <f t="shared" si="182"/>
        <v xml:space="preserve">Unmetered Scattered Loads </v>
      </c>
      <c r="AF536" s="305">
        <f t="shared" si="184"/>
        <v>23.833333333333314</v>
      </c>
      <c r="AG536" s="306"/>
      <c r="AH536" s="242" t="str">
        <f t="shared" si="183"/>
        <v>kWh</v>
      </c>
      <c r="AI536" s="305">
        <f t="shared" si="185"/>
        <v>-22305</v>
      </c>
      <c r="AJ536" s="306"/>
      <c r="AK536" s="305">
        <f t="shared" si="186"/>
        <v>-19090.138192905812</v>
      </c>
      <c r="AL536" s="306"/>
      <c r="AM536" s="305">
        <f t="shared" si="187"/>
        <v>-472.05725115844916</v>
      </c>
      <c r="AN536" s="306"/>
      <c r="AO536" s="305">
        <f t="shared" si="188"/>
        <v>-461.90452291183601</v>
      </c>
      <c r="AP536" s="306"/>
      <c r="AQ536"/>
      <c r="AR536"/>
      <c r="AS536"/>
      <c r="AT536"/>
      <c r="AU536"/>
      <c r="AV536"/>
      <c r="AW536"/>
      <c r="AX536"/>
      <c r="AY536"/>
      <c r="AZ536"/>
      <c r="BA536"/>
      <c r="BB536"/>
    </row>
    <row r="537" spans="26:54" x14ac:dyDescent="0.2">
      <c r="Z537" s="224" t="s">
        <v>295</v>
      </c>
      <c r="AA537" s="224"/>
      <c r="AB537" s="224"/>
      <c r="AC537" s="203"/>
      <c r="AD537" s="203"/>
      <c r="AQ537"/>
      <c r="AR537"/>
      <c r="AS537"/>
      <c r="AT537"/>
      <c r="AU537"/>
      <c r="AV537"/>
      <c r="AW537"/>
      <c r="AX537"/>
      <c r="AY537"/>
      <c r="AZ537"/>
      <c r="BA537"/>
      <c r="BB537"/>
    </row>
    <row r="538" spans="26:54" ht="25.5" x14ac:dyDescent="0.2">
      <c r="Z538" s="241" t="s">
        <v>255</v>
      </c>
      <c r="AA538" s="242" t="str">
        <f>AB507</f>
        <v>2014 Actual</v>
      </c>
      <c r="AB538" s="242" t="s">
        <v>245</v>
      </c>
      <c r="AC538" s="242" t="s">
        <v>257</v>
      </c>
      <c r="AD538" s="242" t="s">
        <v>258</v>
      </c>
      <c r="AQ538"/>
      <c r="AR538"/>
      <c r="AS538"/>
      <c r="AT538"/>
      <c r="AU538"/>
      <c r="AV538"/>
      <c r="AW538"/>
      <c r="AX538"/>
      <c r="AY538"/>
      <c r="AZ538"/>
      <c r="BA538"/>
      <c r="BB538"/>
    </row>
    <row r="539" spans="26:54" x14ac:dyDescent="0.2">
      <c r="Z539" s="243" t="str">
        <f>Z508</f>
        <v xml:space="preserve">Residential </v>
      </c>
      <c r="AA539" s="244">
        <f>S5</f>
        <v>6008631</v>
      </c>
      <c r="AB539" s="244">
        <f t="shared" ref="AB539:AB545" si="189">T5</f>
        <v>6086712</v>
      </c>
      <c r="AC539" s="244">
        <f>AB539-AA539</f>
        <v>78081</v>
      </c>
      <c r="AD539" s="245">
        <f>AC539/AA539</f>
        <v>1.2994806970173406E-2</v>
      </c>
      <c r="AQ539"/>
      <c r="AR539"/>
      <c r="AS539"/>
      <c r="AT539"/>
      <c r="AU539"/>
      <c r="AV539"/>
      <c r="AW539"/>
      <c r="AX539"/>
      <c r="AY539"/>
      <c r="AZ539"/>
      <c r="BA539"/>
      <c r="BB539"/>
    </row>
    <row r="540" spans="26:54" x14ac:dyDescent="0.2">
      <c r="Z540" s="243" t="str">
        <f t="shared" ref="Z540:Z545" si="190">Z509</f>
        <v>General Service &lt; 50 kW</v>
      </c>
      <c r="AA540" s="244">
        <f t="shared" ref="AA540:AA545" si="191">S6</f>
        <v>1024771</v>
      </c>
      <c r="AB540" s="244">
        <f t="shared" si="189"/>
        <v>1054960</v>
      </c>
      <c r="AC540" s="244">
        <f t="shared" ref="AC540:AC545" si="192">AB540-AA540</f>
        <v>30189</v>
      </c>
      <c r="AD540" s="245">
        <f t="shared" ref="AD540:AD546" si="193">AC540/AA540</f>
        <v>2.9459264557642636E-2</v>
      </c>
    </row>
    <row r="541" spans="26:54" x14ac:dyDescent="0.2">
      <c r="Z541" s="243" t="str">
        <f t="shared" si="190"/>
        <v>General Service 50 to 4,999 kW</v>
      </c>
      <c r="AA541" s="244">
        <f t="shared" si="191"/>
        <v>1351549</v>
      </c>
      <c r="AB541" s="244">
        <f t="shared" si="189"/>
        <v>1379368</v>
      </c>
      <c r="AC541" s="244">
        <f t="shared" si="192"/>
        <v>27819</v>
      </c>
      <c r="AD541" s="245">
        <f t="shared" si="193"/>
        <v>2.0583049523176741E-2</v>
      </c>
    </row>
    <row r="542" spans="26:54" x14ac:dyDescent="0.2">
      <c r="Z542" s="243" t="str">
        <f t="shared" si="190"/>
        <v>Large User</v>
      </c>
      <c r="AA542" s="244">
        <f t="shared" si="191"/>
        <v>98517</v>
      </c>
      <c r="AB542" s="244">
        <f t="shared" si="189"/>
        <v>-264</v>
      </c>
      <c r="AC542" s="244">
        <f t="shared" si="192"/>
        <v>-98781</v>
      </c>
      <c r="AD542" s="245">
        <f t="shared" si="193"/>
        <v>-1.002679740552392</v>
      </c>
    </row>
    <row r="543" spans="26:54" x14ac:dyDescent="0.2">
      <c r="Z543" s="243" t="str">
        <f t="shared" si="190"/>
        <v xml:space="preserve">Street Lights </v>
      </c>
      <c r="AA543" s="244">
        <f t="shared" si="191"/>
        <v>211712</v>
      </c>
      <c r="AB543" s="244">
        <f t="shared" si="189"/>
        <v>208452</v>
      </c>
      <c r="AC543" s="244">
        <f t="shared" si="192"/>
        <v>-3260</v>
      </c>
      <c r="AD543" s="245">
        <f t="shared" si="193"/>
        <v>-1.5398276904474002E-2</v>
      </c>
    </row>
    <row r="544" spans="26:54" x14ac:dyDescent="0.2">
      <c r="Z544" s="243" t="str">
        <f t="shared" si="190"/>
        <v>Sentinel Lights</v>
      </c>
      <c r="AA544" s="244">
        <f t="shared" si="191"/>
        <v>28483</v>
      </c>
      <c r="AB544" s="244">
        <f t="shared" si="189"/>
        <v>27921</v>
      </c>
      <c r="AC544" s="244">
        <f t="shared" si="192"/>
        <v>-562</v>
      </c>
      <c r="AD544" s="245">
        <f t="shared" si="193"/>
        <v>-1.9731067654390338E-2</v>
      </c>
    </row>
    <row r="545" spans="26:42" x14ac:dyDescent="0.2">
      <c r="Z545" s="243" t="str">
        <f t="shared" si="190"/>
        <v xml:space="preserve">Unmetered Scattered Loads </v>
      </c>
      <c r="AA545" s="244">
        <f t="shared" si="191"/>
        <v>42241</v>
      </c>
      <c r="AB545" s="244">
        <f t="shared" si="189"/>
        <v>43074</v>
      </c>
      <c r="AC545" s="244">
        <f t="shared" si="192"/>
        <v>833</v>
      </c>
      <c r="AD545" s="245">
        <f t="shared" si="193"/>
        <v>1.9720177079141119E-2</v>
      </c>
    </row>
    <row r="546" spans="26:42" x14ac:dyDescent="0.2">
      <c r="Z546" s="246" t="s">
        <v>16</v>
      </c>
      <c r="AA546" s="244">
        <f>SUM(AA539:AA545)</f>
        <v>8765904</v>
      </c>
      <c r="AB546" s="244">
        <f>SUM(AB539:AB545)</f>
        <v>8800223</v>
      </c>
      <c r="AC546" s="244">
        <f t="shared" ref="AC546" si="194">AB546-AA546</f>
        <v>34319</v>
      </c>
      <c r="AD546" s="245">
        <f t="shared" si="193"/>
        <v>3.91505542383307E-3</v>
      </c>
    </row>
    <row r="548" spans="26:42" x14ac:dyDescent="0.2">
      <c r="AE548" s="224" t="s">
        <v>296</v>
      </c>
      <c r="AF548" s="224"/>
      <c r="AG548" s="224"/>
      <c r="AH548" s="203"/>
      <c r="AI548" s="247"/>
    </row>
    <row r="549" spans="26:42" x14ac:dyDescent="0.2">
      <c r="AE549" s="248" t="s">
        <v>259</v>
      </c>
      <c r="AF549" s="307" t="s">
        <v>260</v>
      </c>
      <c r="AG549" s="307"/>
      <c r="AH549" s="163" t="s">
        <v>261</v>
      </c>
      <c r="AI549" s="293" t="s">
        <v>262</v>
      </c>
      <c r="AJ549" s="293"/>
      <c r="AK549" s="308" t="s">
        <v>263</v>
      </c>
      <c r="AL549" s="308"/>
      <c r="AM549" s="308" t="s">
        <v>264</v>
      </c>
      <c r="AN549" s="308"/>
      <c r="AO549" s="308" t="s">
        <v>265</v>
      </c>
      <c r="AP549" s="308"/>
    </row>
    <row r="550" spans="26:42" x14ac:dyDescent="0.2">
      <c r="AE550" s="310" t="str">
        <f>AE519</f>
        <v>Weather 
Normal Conversion 
Factor</v>
      </c>
      <c r="AF550" s="311"/>
      <c r="AG550" s="311"/>
      <c r="AH550" s="311"/>
      <c r="AI550" s="311"/>
      <c r="AJ550" s="312"/>
      <c r="AK550" s="250">
        <f>AL519</f>
        <v>1.0092713565697771</v>
      </c>
      <c r="AL550" s="250">
        <f>F172</f>
        <v>1.0079261799909087</v>
      </c>
      <c r="AM550" s="313"/>
      <c r="AN550" s="314"/>
      <c r="AO550" s="313"/>
      <c r="AP550" s="314"/>
    </row>
    <row r="551" spans="26:42" ht="25.5" x14ac:dyDescent="0.2">
      <c r="AE551" s="251"/>
      <c r="AF551" s="151" t="str">
        <f>AA538</f>
        <v>2014 Actual</v>
      </c>
      <c r="AG551" s="151" t="str">
        <f>AB538</f>
        <v>2015 
Actual</v>
      </c>
      <c r="AH551" s="252"/>
      <c r="AI551" s="151" t="str">
        <f>AF551</f>
        <v>2014 Actual</v>
      </c>
      <c r="AJ551" s="151" t="str">
        <f>AG551</f>
        <v>2015 
Actual</v>
      </c>
      <c r="AK551" s="151" t="str">
        <f>AI551</f>
        <v>2014 Actual</v>
      </c>
      <c r="AL551" s="151" t="str">
        <f>AJ551</f>
        <v>2015 
Actual</v>
      </c>
      <c r="AM551" s="151" t="str">
        <f>AI551</f>
        <v>2014 Actual</v>
      </c>
      <c r="AN551" s="151" t="str">
        <f>AJ551</f>
        <v>2015 
Actual</v>
      </c>
      <c r="AO551" s="151" t="str">
        <f>AK551</f>
        <v>2014 Actual</v>
      </c>
      <c r="AP551" s="151" t="str">
        <f>AL551</f>
        <v>2015 
Actual</v>
      </c>
    </row>
    <row r="552" spans="26:42" x14ac:dyDescent="0.2">
      <c r="AE552" s="243" t="str">
        <f>AE521</f>
        <v xml:space="preserve">Residential </v>
      </c>
      <c r="AF552" s="136">
        <f>AG521</f>
        <v>20472.166666666668</v>
      </c>
      <c r="AG552" s="136">
        <f>V376</f>
        <v>20635.5</v>
      </c>
      <c r="AH552" s="242" t="str">
        <f>AH530</f>
        <v>kWh</v>
      </c>
      <c r="AI552" s="136">
        <f>AJ521</f>
        <v>158185053</v>
      </c>
      <c r="AJ552" s="136">
        <f>V377</f>
        <v>157973719</v>
      </c>
      <c r="AK552" s="242">
        <f>AI552*$AK$550</f>
        <v>159651643.03037208</v>
      </c>
      <c r="AL552" s="136">
        <f>AJ552*$AL$550</f>
        <v>159225847.13062724</v>
      </c>
      <c r="AM552" s="242">
        <f>AI552/AF552</f>
        <v>7726.8349547759963</v>
      </c>
      <c r="AN552" s="242">
        <f>AJ552/AG552</f>
        <v>7655.434518184682</v>
      </c>
      <c r="AO552" s="242">
        <f>AK552/AF552</f>
        <v>7798.4731967975413</v>
      </c>
      <c r="AP552" s="242">
        <f>AL552/AG552</f>
        <v>7716.1128700844292</v>
      </c>
    </row>
    <row r="553" spans="26:42" x14ac:dyDescent="0.2">
      <c r="AE553" s="243" t="str">
        <f t="shared" ref="AE553:AE558" si="195">AE522</f>
        <v>General Service &lt; 50 kW</v>
      </c>
      <c r="AF553" s="136">
        <f t="shared" ref="AF553:AF558" si="196">AG522</f>
        <v>1742.8333333333333</v>
      </c>
      <c r="AG553" s="136">
        <f>V380</f>
        <v>1769.0833333333333</v>
      </c>
      <c r="AH553" s="242" t="str">
        <f t="shared" ref="AH553:AH558" si="197">AH531</f>
        <v>kWh</v>
      </c>
      <c r="AI553" s="136">
        <f t="shared" ref="AI553:AI558" si="198">AJ522</f>
        <v>53903009</v>
      </c>
      <c r="AJ553" s="136">
        <f>V381</f>
        <v>54312604</v>
      </c>
      <c r="AK553" s="242">
        <f t="shared" ref="AK553:AK558" si="199">AI553*$AK$550</f>
        <v>54402763.016622901</v>
      </c>
      <c r="AL553" s="136">
        <f t="shared" ref="AL553:AL558" si="200">AJ553*$AL$550</f>
        <v>54743095.475078948</v>
      </c>
      <c r="AM553" s="242">
        <f t="shared" ref="AM553:AM558" si="201">AI553/AF553</f>
        <v>30928.378502438558</v>
      </c>
      <c r="AN553" s="242">
        <f t="shared" ref="AN553:AN558" si="202">AJ553/AG553</f>
        <v>30700.986763389705</v>
      </c>
      <c r="AO553" s="242">
        <f t="shared" ref="AO553:AO558" si="203">AK553/AF553</f>
        <v>31215.126527659693</v>
      </c>
      <c r="AP553" s="242">
        <f t="shared" ref="AP553:AP558" si="204">AL553/AG553</f>
        <v>30944.328310374836</v>
      </c>
    </row>
    <row r="554" spans="26:42" x14ac:dyDescent="0.2">
      <c r="AE554" s="243" t="str">
        <f t="shared" si="195"/>
        <v>General Service 50 to 4,999 kW</v>
      </c>
      <c r="AF554" s="136">
        <f t="shared" si="196"/>
        <v>165.41666666666666</v>
      </c>
      <c r="AG554" s="136">
        <f>V384</f>
        <v>158.83333333333334</v>
      </c>
      <c r="AH554" s="242" t="str">
        <f t="shared" si="197"/>
        <v>kW</v>
      </c>
      <c r="AI554" s="136">
        <f t="shared" si="198"/>
        <v>402375</v>
      </c>
      <c r="AJ554" s="136">
        <f>V386</f>
        <v>402768</v>
      </c>
      <c r="AK554" s="242">
        <f t="shared" si="199"/>
        <v>406105.56209976407</v>
      </c>
      <c r="AL554" s="136">
        <f t="shared" si="200"/>
        <v>405960.41166257835</v>
      </c>
      <c r="AM554" s="242">
        <f t="shared" si="201"/>
        <v>2432.4937027707811</v>
      </c>
      <c r="AN554" s="242">
        <f t="shared" si="202"/>
        <v>2535.7901364113327</v>
      </c>
      <c r="AO554" s="242">
        <f t="shared" si="203"/>
        <v>2455.0462192429063</v>
      </c>
      <c r="AP554" s="242">
        <f t="shared" si="204"/>
        <v>2555.8892654516999</v>
      </c>
    </row>
    <row r="555" spans="26:42" x14ac:dyDescent="0.2">
      <c r="AE555" s="243" t="str">
        <f t="shared" si="195"/>
        <v>Large User</v>
      </c>
      <c r="AF555" s="136">
        <f t="shared" si="196"/>
        <v>1</v>
      </c>
      <c r="AG555" s="136">
        <f>V389</f>
        <v>1</v>
      </c>
      <c r="AH555" s="242" t="str">
        <f t="shared" si="197"/>
        <v>kW</v>
      </c>
      <c r="AI555" s="136">
        <f t="shared" si="198"/>
        <v>59144</v>
      </c>
      <c r="AJ555" s="136">
        <f>V391</f>
        <v>479</v>
      </c>
      <c r="AK555" s="242">
        <f t="shared" si="199"/>
        <v>59692.345112962896</v>
      </c>
      <c r="AL555" s="136">
        <f t="shared" si="200"/>
        <v>482.79664021564525</v>
      </c>
      <c r="AM555" s="242">
        <f t="shared" si="201"/>
        <v>59144</v>
      </c>
      <c r="AN555" s="242">
        <f t="shared" si="202"/>
        <v>479</v>
      </c>
      <c r="AO555" s="242">
        <f t="shared" si="203"/>
        <v>59692.345112962896</v>
      </c>
      <c r="AP555" s="242">
        <f t="shared" si="204"/>
        <v>482.79664021564525</v>
      </c>
    </row>
    <row r="556" spans="26:42" x14ac:dyDescent="0.2">
      <c r="AE556" s="243" t="str">
        <f t="shared" si="195"/>
        <v xml:space="preserve">Street Lights </v>
      </c>
      <c r="AF556" s="136">
        <f t="shared" si="196"/>
        <v>6784.333333333333</v>
      </c>
      <c r="AG556" s="136">
        <f>V394</f>
        <v>6792.583333333333</v>
      </c>
      <c r="AH556" s="242" t="str">
        <f t="shared" si="197"/>
        <v>kW</v>
      </c>
      <c r="AI556" s="136">
        <f t="shared" si="198"/>
        <v>6992</v>
      </c>
      <c r="AJ556" s="136">
        <f>V396</f>
        <v>6476</v>
      </c>
      <c r="AK556" s="242">
        <f t="shared" si="199"/>
        <v>7056.825325135881</v>
      </c>
      <c r="AL556" s="136">
        <f t="shared" si="200"/>
        <v>6527.3299416211248</v>
      </c>
      <c r="AM556" s="242">
        <f t="shared" si="201"/>
        <v>1.0306097381221442</v>
      </c>
      <c r="AN556" s="242">
        <f t="shared" si="202"/>
        <v>0.9533927936106783</v>
      </c>
      <c r="AO556" s="242">
        <f t="shared" si="203"/>
        <v>1.040164888488559</v>
      </c>
      <c r="AP556" s="242">
        <f t="shared" si="204"/>
        <v>0.9609495564948719</v>
      </c>
    </row>
    <row r="557" spans="26:42" x14ac:dyDescent="0.2">
      <c r="AE557" s="243" t="str">
        <f t="shared" si="195"/>
        <v>Sentinel Lights</v>
      </c>
      <c r="AF557" s="136">
        <f t="shared" si="196"/>
        <v>519.16666666666663</v>
      </c>
      <c r="AG557" s="136">
        <f>V399</f>
        <v>515.08333333333337</v>
      </c>
      <c r="AH557" s="242" t="str">
        <f t="shared" si="197"/>
        <v>kW</v>
      </c>
      <c r="AI557" s="136">
        <f t="shared" si="198"/>
        <v>2120</v>
      </c>
      <c r="AJ557" s="136">
        <f>V401</f>
        <v>2077</v>
      </c>
      <c r="AK557" s="242">
        <f t="shared" si="199"/>
        <v>2139.6552759279275</v>
      </c>
      <c r="AL557" s="136">
        <f t="shared" si="200"/>
        <v>2093.4626758411173</v>
      </c>
      <c r="AM557" s="242">
        <f>AI557/AF557</f>
        <v>4.0834670947030505</v>
      </c>
      <c r="AN557" s="242">
        <f>AJ557/AG557</f>
        <v>4.0323572237502017</v>
      </c>
      <c r="AO557" s="242">
        <f>AK557/AF557</f>
        <v>4.1213263741789943</v>
      </c>
      <c r="AP557" s="242">
        <f>AL557/AG557</f>
        <v>4.0643184128932868</v>
      </c>
    </row>
    <row r="558" spans="26:42" x14ac:dyDescent="0.2">
      <c r="AE558" s="243" t="str">
        <f t="shared" si="195"/>
        <v xml:space="preserve">Unmetered Scattered Loads </v>
      </c>
      <c r="AF558" s="136">
        <f t="shared" si="196"/>
        <v>259.33333333333331</v>
      </c>
      <c r="AG558" s="136">
        <f>V404</f>
        <v>256.66666666666669</v>
      </c>
      <c r="AH558" s="242" t="str">
        <f t="shared" si="197"/>
        <v>kWh</v>
      </c>
      <c r="AI558" s="136">
        <f t="shared" si="198"/>
        <v>966945</v>
      </c>
      <c r="AJ558" s="136">
        <f>V405</f>
        <v>970041</v>
      </c>
      <c r="AK558" s="242">
        <f t="shared" si="199"/>
        <v>975909.89187836309</v>
      </c>
      <c r="AL558" s="136">
        <f t="shared" si="200"/>
        <v>977729.71956456103</v>
      </c>
      <c r="AM558" s="242">
        <f t="shared" si="201"/>
        <v>3728.5796915167098</v>
      </c>
      <c r="AN558" s="242">
        <f t="shared" si="202"/>
        <v>3779.3805194805191</v>
      </c>
      <c r="AO558" s="242">
        <f t="shared" si="203"/>
        <v>3763.1486833355907</v>
      </c>
      <c r="AP558" s="242">
        <f t="shared" si="204"/>
        <v>3809.3365697320555</v>
      </c>
    </row>
    <row r="559" spans="26:42" x14ac:dyDescent="0.2">
      <c r="AE559" s="243" t="s">
        <v>10</v>
      </c>
      <c r="AF559" s="136">
        <f>SUM(AF552:AF558)</f>
        <v>29944.25</v>
      </c>
      <c r="AG559" s="136">
        <f>SUM(AG552:AG558)</f>
        <v>30128.749999999996</v>
      </c>
      <c r="AH559" s="242"/>
      <c r="AI559" s="253"/>
      <c r="AJ559" s="253"/>
      <c r="AK559" s="253"/>
      <c r="AL559" s="253"/>
      <c r="AM559" s="253"/>
      <c r="AN559" s="253"/>
      <c r="AO559" s="253"/>
      <c r="AP559" s="253"/>
    </row>
    <row r="560" spans="26:42" x14ac:dyDescent="0.2">
      <c r="AE560" s="150"/>
      <c r="AF560" s="309" t="s">
        <v>267</v>
      </c>
      <c r="AG560" s="309"/>
      <c r="AH560" s="150"/>
      <c r="AI560" s="309" t="s">
        <v>267</v>
      </c>
      <c r="AJ560" s="309"/>
      <c r="AK560" s="309" t="s">
        <v>267</v>
      </c>
      <c r="AL560" s="309"/>
      <c r="AM560" s="309" t="s">
        <v>267</v>
      </c>
      <c r="AN560" s="309"/>
      <c r="AO560" s="309" t="s">
        <v>267</v>
      </c>
      <c r="AP560" s="309"/>
    </row>
    <row r="561" spans="26:42" x14ac:dyDescent="0.2">
      <c r="AE561" s="254" t="str">
        <f>AE552</f>
        <v xml:space="preserve">Residential </v>
      </c>
      <c r="AF561" s="305">
        <f>AG552-AF552</f>
        <v>163.33333333333212</v>
      </c>
      <c r="AG561" s="306"/>
      <c r="AH561" s="242" t="str">
        <f>AH552</f>
        <v>kWh</v>
      </c>
      <c r="AI561" s="305">
        <f>AJ552-AI552</f>
        <v>-211334</v>
      </c>
      <c r="AJ561" s="306"/>
      <c r="AK561" s="305">
        <f>AL552-AK552</f>
        <v>-425795.89974483848</v>
      </c>
      <c r="AL561" s="306"/>
      <c r="AM561" s="305">
        <f>AN552-AM552</f>
        <v>-71.400436591314246</v>
      </c>
      <c r="AN561" s="306"/>
      <c r="AO561" s="305">
        <f>AP552-AO552</f>
        <v>-82.360326713112045</v>
      </c>
      <c r="AP561" s="306"/>
    </row>
    <row r="562" spans="26:42" x14ac:dyDescent="0.2">
      <c r="AE562" s="254" t="str">
        <f t="shared" ref="AE562:AE567" si="205">AE553</f>
        <v>General Service &lt; 50 kW</v>
      </c>
      <c r="AF562" s="305">
        <f t="shared" ref="AF562:AF567" si="206">AG553-AF553</f>
        <v>26.25</v>
      </c>
      <c r="AG562" s="306"/>
      <c r="AH562" s="242" t="str">
        <f t="shared" ref="AH562:AH567" si="207">AH553</f>
        <v>kWh</v>
      </c>
      <c r="AI562" s="305">
        <f>AJ553-AI553</f>
        <v>409595</v>
      </c>
      <c r="AJ562" s="306"/>
      <c r="AK562" s="305">
        <f>AL553-AK553</f>
        <v>340332.45845604688</v>
      </c>
      <c r="AL562" s="306"/>
      <c r="AM562" s="305">
        <f>AN553-AM553</f>
        <v>-227.3917390488532</v>
      </c>
      <c r="AN562" s="306"/>
      <c r="AO562" s="305">
        <f>AP553-AO553</f>
        <v>-270.79821728485695</v>
      </c>
      <c r="AP562" s="306"/>
    </row>
    <row r="563" spans="26:42" x14ac:dyDescent="0.2">
      <c r="AE563" s="254" t="str">
        <f t="shared" si="205"/>
        <v>General Service 50 to 4,999 kW</v>
      </c>
      <c r="AF563" s="305">
        <f t="shared" si="206"/>
        <v>-6.5833333333333144</v>
      </c>
      <c r="AG563" s="306"/>
      <c r="AH563" s="242" t="str">
        <f t="shared" si="207"/>
        <v>kW</v>
      </c>
      <c r="AI563" s="305">
        <f>AJ554-AI554</f>
        <v>393</v>
      </c>
      <c r="AJ563" s="306"/>
      <c r="AK563" s="305">
        <f>AL554-AK554</f>
        <v>-145.15043718571542</v>
      </c>
      <c r="AL563" s="306"/>
      <c r="AM563" s="305">
        <f>AN554-AM554</f>
        <v>103.29643364055164</v>
      </c>
      <c r="AN563" s="306"/>
      <c r="AO563" s="305">
        <f>AP554-AO554</f>
        <v>100.84304620879357</v>
      </c>
      <c r="AP563" s="306"/>
    </row>
    <row r="564" spans="26:42" x14ac:dyDescent="0.2">
      <c r="AE564" s="254" t="str">
        <f t="shared" si="205"/>
        <v>Large User</v>
      </c>
      <c r="AF564" s="305">
        <f t="shared" si="206"/>
        <v>0</v>
      </c>
      <c r="AG564" s="306"/>
      <c r="AH564" s="242" t="str">
        <f t="shared" si="207"/>
        <v>kW</v>
      </c>
      <c r="AI564" s="305">
        <f>AJ556-AI555</f>
        <v>-52668</v>
      </c>
      <c r="AJ564" s="306"/>
      <c r="AK564" s="305">
        <f>AL555-AK555</f>
        <v>-59209.54847274725</v>
      </c>
      <c r="AL564" s="306"/>
      <c r="AM564" s="305">
        <f>AN555-AM555</f>
        <v>-58665</v>
      </c>
      <c r="AN564" s="306"/>
      <c r="AO564" s="305">
        <f>AP555-AO555</f>
        <v>-59209.54847274725</v>
      </c>
      <c r="AP564" s="306"/>
    </row>
    <row r="565" spans="26:42" x14ac:dyDescent="0.2">
      <c r="AE565" s="254" t="str">
        <f t="shared" si="205"/>
        <v xml:space="preserve">Street Lights </v>
      </c>
      <c r="AF565" s="305">
        <f t="shared" si="206"/>
        <v>8.25</v>
      </c>
      <c r="AG565" s="306"/>
      <c r="AH565" s="242" t="str">
        <f t="shared" si="207"/>
        <v>kW</v>
      </c>
      <c r="AI565" s="305">
        <f t="shared" ref="AI565:AI567" si="208">AJ557-AI556</f>
        <v>-4915</v>
      </c>
      <c r="AJ565" s="306"/>
      <c r="AK565" s="305">
        <f t="shared" ref="AK565:AK567" si="209">AL556-AK556</f>
        <v>-529.49538351475621</v>
      </c>
      <c r="AL565" s="306"/>
      <c r="AM565" s="305">
        <f t="shared" ref="AM565:AM567" si="210">AN556-AM556</f>
        <v>-7.7216944511465879E-2</v>
      </c>
      <c r="AN565" s="306"/>
      <c r="AO565" s="305">
        <f t="shared" ref="AO565:AO567" si="211">AP556-AO556</f>
        <v>-7.9215331993687133E-2</v>
      </c>
      <c r="AP565" s="306"/>
    </row>
    <row r="566" spans="26:42" x14ac:dyDescent="0.2">
      <c r="AE566" s="254" t="str">
        <f t="shared" si="205"/>
        <v>Sentinel Lights</v>
      </c>
      <c r="AF566" s="305">
        <f t="shared" si="206"/>
        <v>-4.0833333333332575</v>
      </c>
      <c r="AG566" s="306"/>
      <c r="AH566" s="242" t="str">
        <f t="shared" si="207"/>
        <v>kW</v>
      </c>
      <c r="AI566" s="305">
        <f t="shared" si="208"/>
        <v>967921</v>
      </c>
      <c r="AJ566" s="306"/>
      <c r="AK566" s="305">
        <f t="shared" si="209"/>
        <v>-46.192600086810216</v>
      </c>
      <c r="AL566" s="306"/>
      <c r="AM566" s="305">
        <f t="shared" si="210"/>
        <v>-5.1109870952848802E-2</v>
      </c>
      <c r="AN566" s="306"/>
      <c r="AO566" s="305">
        <f t="shared" si="211"/>
        <v>-5.7007961285707509E-2</v>
      </c>
      <c r="AP566" s="306"/>
    </row>
    <row r="567" spans="26:42" x14ac:dyDescent="0.2">
      <c r="AE567" s="254" t="str">
        <f t="shared" si="205"/>
        <v xml:space="preserve">Unmetered Scattered Loads </v>
      </c>
      <c r="AF567" s="305">
        <f t="shared" si="206"/>
        <v>-2.6666666666666288</v>
      </c>
      <c r="AG567" s="306"/>
      <c r="AH567" s="242" t="str">
        <f t="shared" si="207"/>
        <v>kWh</v>
      </c>
      <c r="AI567" s="305">
        <f t="shared" si="208"/>
        <v>-966945</v>
      </c>
      <c r="AJ567" s="306"/>
      <c r="AK567" s="305">
        <f t="shared" si="209"/>
        <v>1819.8276861979393</v>
      </c>
      <c r="AL567" s="306"/>
      <c r="AM567" s="305">
        <f t="shared" si="210"/>
        <v>50.800827963809297</v>
      </c>
      <c r="AN567" s="306"/>
      <c r="AO567" s="305">
        <f t="shared" si="211"/>
        <v>46.187886396464819</v>
      </c>
      <c r="AP567" s="306"/>
    </row>
    <row r="568" spans="26:42" x14ac:dyDescent="0.2">
      <c r="Z568" s="224" t="s">
        <v>297</v>
      </c>
      <c r="AA568" s="224"/>
      <c r="AB568" s="224"/>
      <c r="AC568" s="203"/>
      <c r="AD568" s="203"/>
    </row>
    <row r="569" spans="26:42" ht="25.5" x14ac:dyDescent="0.2">
      <c r="Z569" s="241" t="s">
        <v>255</v>
      </c>
      <c r="AA569" s="242" t="str">
        <f>AB538</f>
        <v>2015 
Actual</v>
      </c>
      <c r="AB569" s="242" t="s">
        <v>200</v>
      </c>
      <c r="AC569" s="242" t="s">
        <v>257</v>
      </c>
      <c r="AD569" s="242" t="s">
        <v>258</v>
      </c>
    </row>
    <row r="570" spans="26:42" x14ac:dyDescent="0.2">
      <c r="Z570" s="243" t="str">
        <f>Z539</f>
        <v xml:space="preserve">Residential </v>
      </c>
      <c r="AA570" s="244">
        <f>AB539</f>
        <v>6086712</v>
      </c>
      <c r="AB570" s="244">
        <f t="shared" ref="AB570:AB576" si="212">U5</f>
        <v>6269169</v>
      </c>
      <c r="AC570" s="244">
        <f>AB570-AA570</f>
        <v>182457</v>
      </c>
      <c r="AD570" s="245">
        <f>AC570/AA570</f>
        <v>2.9976282761530363E-2</v>
      </c>
    </row>
    <row r="571" spans="26:42" x14ac:dyDescent="0.2">
      <c r="Z571" s="243" t="str">
        <f t="shared" ref="Z571:Z576" si="213">Z540</f>
        <v>General Service &lt; 50 kW</v>
      </c>
      <c r="AA571" s="244">
        <f t="shared" ref="AA571:AA576" si="214">AB540</f>
        <v>1054960</v>
      </c>
      <c r="AB571" s="244">
        <f t="shared" si="212"/>
        <v>1061766</v>
      </c>
      <c r="AC571" s="244">
        <f t="shared" ref="AC571:AC577" si="215">AB571-AA571</f>
        <v>6806</v>
      </c>
      <c r="AD571" s="245">
        <f t="shared" ref="AD571:AD577" si="216">AC571/AA571</f>
        <v>6.4514294380829604E-3</v>
      </c>
    </row>
    <row r="572" spans="26:42" x14ac:dyDescent="0.2">
      <c r="Z572" s="243" t="str">
        <f t="shared" si="213"/>
        <v>General Service 50 to 4,999 kW</v>
      </c>
      <c r="AA572" s="244">
        <f t="shared" si="214"/>
        <v>1379368</v>
      </c>
      <c r="AB572" s="244">
        <f t="shared" si="212"/>
        <v>1298138</v>
      </c>
      <c r="AC572" s="244">
        <f t="shared" si="215"/>
        <v>-81230</v>
      </c>
      <c r="AD572" s="245">
        <f t="shared" si="216"/>
        <v>-5.888928842774372E-2</v>
      </c>
    </row>
    <row r="573" spans="26:42" x14ac:dyDescent="0.2">
      <c r="Z573" s="243" t="str">
        <f t="shared" si="213"/>
        <v>Large User</v>
      </c>
      <c r="AA573" s="244">
        <f t="shared" si="214"/>
        <v>-264</v>
      </c>
      <c r="AB573" s="244">
        <f t="shared" si="212"/>
        <v>0</v>
      </c>
      <c r="AC573" s="244">
        <f t="shared" si="215"/>
        <v>264</v>
      </c>
      <c r="AD573" s="245">
        <f t="shared" si="216"/>
        <v>-1</v>
      </c>
    </row>
    <row r="574" spans="26:42" x14ac:dyDescent="0.2">
      <c r="Z574" s="243" t="str">
        <f t="shared" si="213"/>
        <v xml:space="preserve">Street Lights </v>
      </c>
      <c r="AA574" s="244">
        <f t="shared" si="214"/>
        <v>208452</v>
      </c>
      <c r="AB574" s="244">
        <f t="shared" si="212"/>
        <v>196615</v>
      </c>
      <c r="AC574" s="244">
        <f t="shared" si="215"/>
        <v>-11837</v>
      </c>
      <c r="AD574" s="245">
        <f t="shared" si="216"/>
        <v>-5.6785255118684395E-2</v>
      </c>
    </row>
    <row r="575" spans="26:42" x14ac:dyDescent="0.2">
      <c r="Z575" s="243" t="str">
        <f t="shared" si="213"/>
        <v>Sentinel Lights</v>
      </c>
      <c r="AA575" s="244">
        <f t="shared" si="214"/>
        <v>27921</v>
      </c>
      <c r="AB575" s="244">
        <f t="shared" si="212"/>
        <v>29098</v>
      </c>
      <c r="AC575" s="244">
        <f t="shared" si="215"/>
        <v>1177</v>
      </c>
      <c r="AD575" s="245">
        <f t="shared" si="216"/>
        <v>4.2154650621396082E-2</v>
      </c>
    </row>
    <row r="576" spans="26:42" x14ac:dyDescent="0.2">
      <c r="Z576" s="243" t="str">
        <f t="shared" si="213"/>
        <v xml:space="preserve">Unmetered Scattered Loads </v>
      </c>
      <c r="AA576" s="244">
        <f t="shared" si="214"/>
        <v>43074</v>
      </c>
      <c r="AB576" s="244">
        <f t="shared" si="212"/>
        <v>44259</v>
      </c>
      <c r="AC576" s="244">
        <f t="shared" si="215"/>
        <v>1185</v>
      </c>
      <c r="AD576" s="245">
        <f t="shared" si="216"/>
        <v>2.7510795375400472E-2</v>
      </c>
    </row>
    <row r="577" spans="26:42" x14ac:dyDescent="0.2">
      <c r="Z577" s="246" t="s">
        <v>16</v>
      </c>
      <c r="AA577" s="244">
        <f>SUM(AA570:AA576)</f>
        <v>8800223</v>
      </c>
      <c r="AB577" s="244">
        <f>SUM(AB570:AB576)</f>
        <v>8899045</v>
      </c>
      <c r="AC577" s="244">
        <f t="shared" si="215"/>
        <v>98822</v>
      </c>
      <c r="AD577" s="245">
        <f t="shared" si="216"/>
        <v>1.122948816183408E-2</v>
      </c>
    </row>
    <row r="579" spans="26:42" x14ac:dyDescent="0.2">
      <c r="AE579" s="224" t="s">
        <v>298</v>
      </c>
      <c r="AF579" s="224"/>
      <c r="AG579" s="224"/>
      <c r="AH579" s="203"/>
      <c r="AI579" s="247"/>
    </row>
    <row r="580" spans="26:42" x14ac:dyDescent="0.2">
      <c r="AE580" s="248" t="s">
        <v>259</v>
      </c>
      <c r="AF580" s="307" t="s">
        <v>260</v>
      </c>
      <c r="AG580" s="307"/>
      <c r="AH580" s="163" t="s">
        <v>261</v>
      </c>
      <c r="AI580" s="293" t="s">
        <v>262</v>
      </c>
      <c r="AJ580" s="293"/>
      <c r="AK580" s="308" t="s">
        <v>263</v>
      </c>
      <c r="AL580" s="308"/>
      <c r="AM580" s="308" t="s">
        <v>264</v>
      </c>
      <c r="AN580" s="308"/>
      <c r="AO580" s="308" t="s">
        <v>265</v>
      </c>
      <c r="AP580" s="308"/>
    </row>
    <row r="581" spans="26:42" x14ac:dyDescent="0.2">
      <c r="AE581" s="310" t="str">
        <f>AE550</f>
        <v>Weather 
Normal Conversion 
Factor</v>
      </c>
      <c r="AF581" s="311"/>
      <c r="AG581" s="311"/>
      <c r="AH581" s="311"/>
      <c r="AI581" s="311"/>
      <c r="AJ581" s="312"/>
      <c r="AK581" s="250">
        <f>AL550</f>
        <v>1.0079261799909087</v>
      </c>
      <c r="AL581" s="250">
        <v>1</v>
      </c>
      <c r="AM581" s="313"/>
      <c r="AN581" s="314"/>
      <c r="AO581" s="313"/>
      <c r="AP581" s="314"/>
    </row>
    <row r="582" spans="26:42" ht="25.5" x14ac:dyDescent="0.2">
      <c r="AE582" s="251"/>
      <c r="AF582" s="151" t="str">
        <f>AA569</f>
        <v>2015 
Actual</v>
      </c>
      <c r="AG582" s="151" t="str">
        <f>AB569</f>
        <v>2016
Bridge</v>
      </c>
      <c r="AH582" s="252"/>
      <c r="AI582" s="151" t="str">
        <f>AF582</f>
        <v>2015 
Actual</v>
      </c>
      <c r="AJ582" s="151" t="str">
        <f>AG582</f>
        <v>2016
Bridge</v>
      </c>
      <c r="AK582" s="151" t="str">
        <f>AI582</f>
        <v>2015 
Actual</v>
      </c>
      <c r="AL582" s="151" t="str">
        <f>AJ582</f>
        <v>2016
Bridge</v>
      </c>
      <c r="AM582" s="151" t="str">
        <f>AI582</f>
        <v>2015 
Actual</v>
      </c>
      <c r="AN582" s="151" t="str">
        <f>AJ582</f>
        <v>2016
Bridge</v>
      </c>
      <c r="AO582" s="151" t="str">
        <f>AK582</f>
        <v>2015 
Actual</v>
      </c>
      <c r="AP582" s="151" t="str">
        <f>AL582</f>
        <v>2016
Bridge</v>
      </c>
    </row>
    <row r="583" spans="26:42" x14ac:dyDescent="0.2">
      <c r="AE583" s="243" t="str">
        <f>AE552</f>
        <v xml:space="preserve">Residential </v>
      </c>
      <c r="AF583" s="136">
        <f>AG552</f>
        <v>20635.5</v>
      </c>
      <c r="AG583" s="136">
        <f>W376</f>
        <v>20837.76161408551</v>
      </c>
      <c r="AH583" s="242" t="str">
        <f>AH561</f>
        <v>kWh</v>
      </c>
      <c r="AI583" s="136">
        <f>AJ552</f>
        <v>157973719</v>
      </c>
      <c r="AJ583" s="136">
        <f ca="1">W377</f>
        <v>165467235.58405837</v>
      </c>
      <c r="AK583" s="242">
        <f>AI583*$AK$581</f>
        <v>159225847.13062724</v>
      </c>
      <c r="AL583" s="136">
        <f ca="1">AJ583*$AL$581</f>
        <v>165467235.58405837</v>
      </c>
      <c r="AM583" s="242">
        <f>AI583/AF583</f>
        <v>7655.434518184682</v>
      </c>
      <c r="AN583" s="242">
        <f ca="1">AJ583/AG583</f>
        <v>7940.7394445000755</v>
      </c>
      <c r="AO583" s="242">
        <f>AK583/AF583</f>
        <v>7716.1128700844292</v>
      </c>
      <c r="AP583" s="242">
        <f ca="1">AL583/AG583</f>
        <v>7940.7394445000755</v>
      </c>
    </row>
    <row r="584" spans="26:42" x14ac:dyDescent="0.2">
      <c r="AE584" s="243" t="str">
        <f t="shared" ref="AE584:AE589" si="217">AE553</f>
        <v>General Service &lt; 50 kW</v>
      </c>
      <c r="AF584" s="136">
        <f t="shared" ref="AF584:AF589" si="218">AG553</f>
        <v>1769.0833333333333</v>
      </c>
      <c r="AG584" s="136">
        <f>W380</f>
        <v>1776.1691097249281</v>
      </c>
      <c r="AH584" s="242" t="str">
        <f t="shared" ref="AH584:AH589" si="219">AH562</f>
        <v>kWh</v>
      </c>
      <c r="AI584" s="136">
        <f t="shared" ref="AI584:AI589" si="220">AJ553</f>
        <v>54312604</v>
      </c>
      <c r="AJ584" s="136">
        <f ca="1">W381</f>
        <v>56544967.769856162</v>
      </c>
      <c r="AK584" s="242">
        <f t="shared" ref="AK584:AK589" si="221">AI584*$AK$581</f>
        <v>54743095.475078948</v>
      </c>
      <c r="AL584" s="136">
        <f t="shared" ref="AL584:AL589" ca="1" si="222">AJ584*$AL$581</f>
        <v>56544967.769856162</v>
      </c>
      <c r="AM584" s="242">
        <f t="shared" ref="AM584:AM589" si="223">AI584/AF584</f>
        <v>30700.986763389705</v>
      </c>
      <c r="AN584" s="242">
        <f t="shared" ref="AN584:AN589" ca="1" si="224">AJ584/AG584</f>
        <v>31835.351408973198</v>
      </c>
      <c r="AO584" s="242">
        <f t="shared" ref="AO584:AO589" si="225">AK584/AF584</f>
        <v>30944.328310374836</v>
      </c>
      <c r="AP584" s="242">
        <f t="shared" ref="AP584:AP589" ca="1" si="226">AL584/AG584</f>
        <v>31835.351408973198</v>
      </c>
    </row>
    <row r="585" spans="26:42" x14ac:dyDescent="0.2">
      <c r="AE585" s="243" t="str">
        <f t="shared" si="217"/>
        <v>General Service 50 to 4,999 kW</v>
      </c>
      <c r="AF585" s="136">
        <f t="shared" si="218"/>
        <v>158.83333333333334</v>
      </c>
      <c r="AG585" s="136">
        <f>W384</f>
        <v>153.89800099158106</v>
      </c>
      <c r="AH585" s="242" t="str">
        <f t="shared" si="219"/>
        <v>kW</v>
      </c>
      <c r="AI585" s="136">
        <f t="shared" si="220"/>
        <v>402768</v>
      </c>
      <c r="AJ585" s="136">
        <f ca="1">W386</f>
        <v>391552.37561379391</v>
      </c>
      <c r="AK585" s="242">
        <f t="shared" si="221"/>
        <v>405960.41166257835</v>
      </c>
      <c r="AL585" s="136">
        <f t="shared" ca="1" si="222"/>
        <v>391552.37561379391</v>
      </c>
      <c r="AM585" s="242">
        <f t="shared" si="223"/>
        <v>2535.7901364113327</v>
      </c>
      <c r="AN585" s="242">
        <f t="shared" ca="1" si="224"/>
        <v>2544.2330185641181</v>
      </c>
      <c r="AO585" s="242">
        <f t="shared" si="225"/>
        <v>2555.8892654516999</v>
      </c>
      <c r="AP585" s="242">
        <f t="shared" ca="1" si="226"/>
        <v>2544.2330185641181</v>
      </c>
    </row>
    <row r="586" spans="26:42" x14ac:dyDescent="0.2">
      <c r="AE586" s="243" t="str">
        <f t="shared" si="217"/>
        <v>Large User</v>
      </c>
      <c r="AF586" s="136">
        <f t="shared" si="218"/>
        <v>1</v>
      </c>
      <c r="AG586" s="136">
        <f>W389</f>
        <v>0</v>
      </c>
      <c r="AH586" s="242" t="str">
        <f t="shared" si="219"/>
        <v>kW</v>
      </c>
      <c r="AI586" s="136">
        <f t="shared" si="220"/>
        <v>479</v>
      </c>
      <c r="AJ586" s="136">
        <f ca="1">W391</f>
        <v>0</v>
      </c>
      <c r="AK586" s="242">
        <f t="shared" si="221"/>
        <v>482.79664021564525</v>
      </c>
      <c r="AL586" s="136">
        <f t="shared" ca="1" si="222"/>
        <v>0</v>
      </c>
      <c r="AM586" s="242">
        <f t="shared" si="223"/>
        <v>479</v>
      </c>
      <c r="AN586" s="242"/>
      <c r="AO586" s="242">
        <f t="shared" si="225"/>
        <v>482.79664021564525</v>
      </c>
      <c r="AP586" s="242"/>
    </row>
    <row r="587" spans="26:42" x14ac:dyDescent="0.2">
      <c r="AE587" s="243" t="str">
        <f t="shared" si="217"/>
        <v xml:space="preserve">Street Lights </v>
      </c>
      <c r="AF587" s="136">
        <f t="shared" si="218"/>
        <v>6792.583333333333</v>
      </c>
      <c r="AG587" s="136">
        <f>W394</f>
        <v>6822.798479396517</v>
      </c>
      <c r="AH587" s="242" t="str">
        <f t="shared" si="219"/>
        <v>kW</v>
      </c>
      <c r="AI587" s="136">
        <f t="shared" si="220"/>
        <v>6476</v>
      </c>
      <c r="AJ587" s="136">
        <f ca="1">W396</f>
        <v>4070.6096700016819</v>
      </c>
      <c r="AK587" s="242">
        <f t="shared" si="221"/>
        <v>6527.3299416211248</v>
      </c>
      <c r="AL587" s="136">
        <f t="shared" ca="1" si="222"/>
        <v>4070.6096700016819</v>
      </c>
      <c r="AM587" s="242">
        <f t="shared" si="223"/>
        <v>0.9533927936106783</v>
      </c>
      <c r="AN587" s="242">
        <f t="shared" ca="1" si="224"/>
        <v>0.59661877487575032</v>
      </c>
      <c r="AO587" s="242">
        <f t="shared" si="225"/>
        <v>0.9609495564948719</v>
      </c>
      <c r="AP587" s="242">
        <f t="shared" ca="1" si="226"/>
        <v>0.59661877487575032</v>
      </c>
    </row>
    <row r="588" spans="26:42" x14ac:dyDescent="0.2">
      <c r="AE588" s="243" t="str">
        <f t="shared" si="217"/>
        <v>Sentinel Lights</v>
      </c>
      <c r="AF588" s="136">
        <f t="shared" si="218"/>
        <v>515.08333333333337</v>
      </c>
      <c r="AG588" s="136">
        <f>W399</f>
        <v>515.08333333333337</v>
      </c>
      <c r="AH588" s="242" t="str">
        <f t="shared" si="219"/>
        <v>kW</v>
      </c>
      <c r="AI588" s="136">
        <f t="shared" si="220"/>
        <v>2077</v>
      </c>
      <c r="AJ588" s="136">
        <f>W401</f>
        <v>2077</v>
      </c>
      <c r="AK588" s="242">
        <f t="shared" si="221"/>
        <v>2093.4626758411173</v>
      </c>
      <c r="AL588" s="136">
        <f t="shared" si="222"/>
        <v>2077</v>
      </c>
      <c r="AM588" s="242">
        <f t="shared" si="223"/>
        <v>4.0323572237502017</v>
      </c>
      <c r="AN588" s="242">
        <f t="shared" si="224"/>
        <v>4.0323572237502017</v>
      </c>
      <c r="AO588" s="242">
        <f t="shared" si="225"/>
        <v>4.0643184128932868</v>
      </c>
      <c r="AP588" s="242">
        <f t="shared" si="226"/>
        <v>4.0323572237502017</v>
      </c>
    </row>
    <row r="589" spans="26:42" x14ac:dyDescent="0.2">
      <c r="AE589" s="243" t="str">
        <f t="shared" si="217"/>
        <v xml:space="preserve">Unmetered Scattered Loads </v>
      </c>
      <c r="AF589" s="136">
        <f t="shared" si="218"/>
        <v>256.66666666666669</v>
      </c>
      <c r="AG589" s="136">
        <f>W404</f>
        <v>256.66666666666669</v>
      </c>
      <c r="AH589" s="242" t="str">
        <f t="shared" si="219"/>
        <v>kWh</v>
      </c>
      <c r="AI589" s="136">
        <f t="shared" si="220"/>
        <v>970041</v>
      </c>
      <c r="AJ589" s="136">
        <f ca="1">W405</f>
        <v>957090.46273582941</v>
      </c>
      <c r="AK589" s="242">
        <f t="shared" si="221"/>
        <v>977729.71956456103</v>
      </c>
      <c r="AL589" s="136">
        <f t="shared" ca="1" si="222"/>
        <v>957090.46273582941</v>
      </c>
      <c r="AM589" s="242">
        <f t="shared" si="223"/>
        <v>3779.3805194805191</v>
      </c>
      <c r="AN589" s="242">
        <f t="shared" ca="1" si="224"/>
        <v>3728.9238807889456</v>
      </c>
      <c r="AO589" s="242">
        <f t="shared" si="225"/>
        <v>3809.3365697320555</v>
      </c>
      <c r="AP589" s="242">
        <f t="shared" ca="1" si="226"/>
        <v>3728.9238807889456</v>
      </c>
    </row>
    <row r="590" spans="26:42" x14ac:dyDescent="0.2">
      <c r="AE590" s="243" t="s">
        <v>10</v>
      </c>
      <c r="AF590" s="136">
        <f>SUM(AF583:AF589)</f>
        <v>30128.749999999996</v>
      </c>
      <c r="AG590" s="136">
        <f>SUM(AG583:AG589)</f>
        <v>30362.377204198536</v>
      </c>
      <c r="AH590" s="242"/>
      <c r="AI590" s="253"/>
      <c r="AJ590" s="253"/>
      <c r="AK590" s="253"/>
      <c r="AL590" s="253"/>
      <c r="AM590" s="253"/>
      <c r="AN590" s="253"/>
      <c r="AO590" s="253"/>
      <c r="AP590" s="253"/>
    </row>
    <row r="591" spans="26:42" x14ac:dyDescent="0.2">
      <c r="AE591" s="150"/>
      <c r="AF591" s="309" t="s">
        <v>267</v>
      </c>
      <c r="AG591" s="309"/>
      <c r="AH591" s="150"/>
      <c r="AI591" s="309" t="s">
        <v>267</v>
      </c>
      <c r="AJ591" s="309"/>
      <c r="AK591" s="309" t="s">
        <v>267</v>
      </c>
      <c r="AL591" s="309"/>
      <c r="AM591" s="309" t="s">
        <v>267</v>
      </c>
      <c r="AN591" s="309"/>
      <c r="AO591" s="309" t="s">
        <v>267</v>
      </c>
      <c r="AP591" s="309"/>
    </row>
    <row r="592" spans="26:42" x14ac:dyDescent="0.2">
      <c r="AE592" s="254" t="str">
        <f>AE583</f>
        <v xml:space="preserve">Residential </v>
      </c>
      <c r="AF592" s="305">
        <f>AG583-AF583</f>
        <v>202.26161408550979</v>
      </c>
      <c r="AG592" s="306"/>
      <c r="AH592" s="242" t="str">
        <f>AH583</f>
        <v>kWh</v>
      </c>
      <c r="AI592" s="305">
        <f t="shared" ref="AI592:AI598" ca="1" si="227">AJ583-AI583</f>
        <v>7493516.5840583742</v>
      </c>
      <c r="AJ592" s="306"/>
      <c r="AK592" s="305">
        <f ca="1">AL583-AK583</f>
        <v>6241388.4534311295</v>
      </c>
      <c r="AL592" s="306"/>
      <c r="AM592" s="305">
        <f ca="1">AN583-AM583</f>
        <v>285.30492631539346</v>
      </c>
      <c r="AN592" s="306"/>
      <c r="AO592" s="305">
        <f ca="1">AP583-AO583</f>
        <v>224.62657441564625</v>
      </c>
      <c r="AP592" s="306"/>
    </row>
    <row r="593" spans="26:42" x14ac:dyDescent="0.2">
      <c r="AE593" s="254" t="str">
        <f t="shared" ref="AE593:AE598" si="228">AE584</f>
        <v>General Service &lt; 50 kW</v>
      </c>
      <c r="AF593" s="305">
        <f t="shared" ref="AF593:AF598" si="229">AG584-AF584</f>
        <v>7.0857763915948908</v>
      </c>
      <c r="AG593" s="306"/>
      <c r="AH593" s="242" t="str">
        <f t="shared" ref="AH593:AH598" si="230">AH584</f>
        <v>kWh</v>
      </c>
      <c r="AI593" s="305">
        <f t="shared" ca="1" si="227"/>
        <v>2232363.7698561624</v>
      </c>
      <c r="AJ593" s="306"/>
      <c r="AK593" s="305">
        <f ca="1">AL584-AK584</f>
        <v>1801872.2947772145</v>
      </c>
      <c r="AL593" s="306"/>
      <c r="AM593" s="305">
        <f ca="1">AN584-AM584</f>
        <v>1134.3646455834933</v>
      </c>
      <c r="AN593" s="306"/>
      <c r="AO593" s="305">
        <f ca="1">AP584-AO584</f>
        <v>891.02309859836168</v>
      </c>
      <c r="AP593" s="306"/>
    </row>
    <row r="594" spans="26:42" x14ac:dyDescent="0.2">
      <c r="AE594" s="254" t="str">
        <f t="shared" si="228"/>
        <v>General Service 50 to 4,999 kW</v>
      </c>
      <c r="AF594" s="305">
        <f t="shared" si="229"/>
        <v>-4.9353323417522859</v>
      </c>
      <c r="AG594" s="306"/>
      <c r="AH594" s="242" t="str">
        <f t="shared" si="230"/>
        <v>kW</v>
      </c>
      <c r="AI594" s="305">
        <f t="shared" ca="1" si="227"/>
        <v>-11215.624386206095</v>
      </c>
      <c r="AJ594" s="306"/>
      <c r="AK594" s="305">
        <f ca="1">AL585-AK585</f>
        <v>-14408.036048784445</v>
      </c>
      <c r="AL594" s="306"/>
      <c r="AM594" s="305">
        <f ca="1">AN585-AM585</f>
        <v>8.442882152785387</v>
      </c>
      <c r="AN594" s="306"/>
      <c r="AO594" s="305">
        <f ca="1">AP585-AO585</f>
        <v>-11.656246887581801</v>
      </c>
      <c r="AP594" s="306"/>
    </row>
    <row r="595" spans="26:42" x14ac:dyDescent="0.2">
      <c r="AE595" s="254" t="str">
        <f t="shared" si="228"/>
        <v>Large User</v>
      </c>
      <c r="AF595" s="305">
        <f t="shared" si="229"/>
        <v>-1</v>
      </c>
      <c r="AG595" s="306"/>
      <c r="AH595" s="242" t="str">
        <f t="shared" si="230"/>
        <v>kW</v>
      </c>
      <c r="AI595" s="305">
        <f t="shared" ca="1" si="227"/>
        <v>-479</v>
      </c>
      <c r="AJ595" s="306"/>
      <c r="AK595" s="305">
        <f t="shared" ref="AK595:AK598" ca="1" si="231">AL586-AK586</f>
        <v>-482.79664021564525</v>
      </c>
      <c r="AL595" s="306"/>
      <c r="AM595" s="305">
        <f t="shared" ref="AM595:AM598" si="232">AN586-AM586</f>
        <v>-479</v>
      </c>
      <c r="AN595" s="306"/>
      <c r="AO595" s="305">
        <f t="shared" ref="AO595:AO598" si="233">AP586-AO586</f>
        <v>-482.79664021564525</v>
      </c>
      <c r="AP595" s="306"/>
    </row>
    <row r="596" spans="26:42" x14ac:dyDescent="0.2">
      <c r="AE596" s="254" t="str">
        <f t="shared" si="228"/>
        <v xml:space="preserve">Street Lights </v>
      </c>
      <c r="AF596" s="305">
        <f t="shared" si="229"/>
        <v>30.215146063183965</v>
      </c>
      <c r="AG596" s="306"/>
      <c r="AH596" s="242" t="str">
        <f t="shared" si="230"/>
        <v>kW</v>
      </c>
      <c r="AI596" s="305">
        <f t="shared" ca="1" si="227"/>
        <v>-2405.3903299983181</v>
      </c>
      <c r="AJ596" s="306"/>
      <c r="AK596" s="305">
        <f t="shared" ca="1" si="231"/>
        <v>-2456.7202716194429</v>
      </c>
      <c r="AL596" s="306"/>
      <c r="AM596" s="305">
        <f t="shared" ca="1" si="232"/>
        <v>-0.35677401873492798</v>
      </c>
      <c r="AN596" s="306"/>
      <c r="AO596" s="305">
        <f t="shared" ca="1" si="233"/>
        <v>-0.36433078161912158</v>
      </c>
      <c r="AP596" s="306"/>
    </row>
    <row r="597" spans="26:42" x14ac:dyDescent="0.2">
      <c r="AE597" s="254" t="str">
        <f t="shared" si="228"/>
        <v>Sentinel Lights</v>
      </c>
      <c r="AF597" s="305">
        <f t="shared" si="229"/>
        <v>0</v>
      </c>
      <c r="AG597" s="306"/>
      <c r="AH597" s="242" t="str">
        <f t="shared" si="230"/>
        <v>kW</v>
      </c>
      <c r="AI597" s="305">
        <f t="shared" si="227"/>
        <v>0</v>
      </c>
      <c r="AJ597" s="306"/>
      <c r="AK597" s="305">
        <f t="shared" si="231"/>
        <v>-16.462675841117289</v>
      </c>
      <c r="AL597" s="306"/>
      <c r="AM597" s="305">
        <f t="shared" si="232"/>
        <v>0</v>
      </c>
      <c r="AN597" s="306"/>
      <c r="AO597" s="305">
        <f t="shared" si="233"/>
        <v>-3.19611891430851E-2</v>
      </c>
      <c r="AP597" s="306"/>
    </row>
    <row r="598" spans="26:42" x14ac:dyDescent="0.2">
      <c r="AE598" s="254" t="str">
        <f t="shared" si="228"/>
        <v xml:space="preserve">Unmetered Scattered Loads </v>
      </c>
      <c r="AF598" s="305">
        <f t="shared" si="229"/>
        <v>0</v>
      </c>
      <c r="AG598" s="306"/>
      <c r="AH598" s="242" t="str">
        <f t="shared" si="230"/>
        <v>kWh</v>
      </c>
      <c r="AI598" s="305">
        <f t="shared" ca="1" si="227"/>
        <v>-12950.537264170591</v>
      </c>
      <c r="AJ598" s="306"/>
      <c r="AK598" s="305">
        <f t="shared" ca="1" si="231"/>
        <v>-20639.256828731624</v>
      </c>
      <c r="AL598" s="306"/>
      <c r="AM598" s="305">
        <f t="shared" ca="1" si="232"/>
        <v>-50.456638691573517</v>
      </c>
      <c r="AN598" s="306"/>
      <c r="AO598" s="305">
        <f t="shared" ca="1" si="233"/>
        <v>-80.41268894310997</v>
      </c>
      <c r="AP598" s="306"/>
    </row>
    <row r="599" spans="26:42" x14ac:dyDescent="0.2">
      <c r="Z599" s="224" t="s">
        <v>299</v>
      </c>
      <c r="AA599" s="224"/>
      <c r="AB599" s="224"/>
      <c r="AC599" s="203"/>
      <c r="AD599" s="203"/>
    </row>
    <row r="600" spans="26:42" ht="25.5" x14ac:dyDescent="0.2">
      <c r="Z600" s="241" t="s">
        <v>255</v>
      </c>
      <c r="AA600" s="242" t="str">
        <f>AB569</f>
        <v>2016
Bridge</v>
      </c>
      <c r="AB600" s="242" t="s">
        <v>247</v>
      </c>
      <c r="AC600" s="242" t="s">
        <v>257</v>
      </c>
      <c r="AD600" s="242" t="s">
        <v>258</v>
      </c>
    </row>
    <row r="601" spans="26:42" x14ac:dyDescent="0.2">
      <c r="Z601" s="243" t="str">
        <f>Z570</f>
        <v xml:space="preserve">Residential </v>
      </c>
      <c r="AA601" s="244">
        <f>AB570</f>
        <v>6269169</v>
      </c>
      <c r="AB601" s="244">
        <f>W5</f>
        <v>7178370</v>
      </c>
      <c r="AC601" s="244">
        <f>AB601-AA601</f>
        <v>909201</v>
      </c>
      <c r="AD601" s="245">
        <f>AC601/AA601</f>
        <v>0.14502735530020008</v>
      </c>
    </row>
    <row r="602" spans="26:42" x14ac:dyDescent="0.2">
      <c r="Z602" s="243" t="str">
        <f t="shared" ref="Z602:Z607" si="234">Z571</f>
        <v>General Service &lt; 50 kW</v>
      </c>
      <c r="AA602" s="244">
        <f t="shared" ref="AA602:AA607" si="235">AB571</f>
        <v>1061766</v>
      </c>
      <c r="AB602" s="244">
        <f t="shared" ref="AB602:AB607" si="236">W6</f>
        <v>1211926</v>
      </c>
      <c r="AC602" s="244">
        <f t="shared" ref="AC602:AC607" si="237">AB602-AA602</f>
        <v>150160</v>
      </c>
      <c r="AD602" s="245">
        <f t="shared" ref="AD602:AD608" si="238">AC602/AA602</f>
        <v>0.14142475837425572</v>
      </c>
    </row>
    <row r="603" spans="26:42" x14ac:dyDescent="0.2">
      <c r="Z603" s="243" t="str">
        <f t="shared" si="234"/>
        <v>General Service 50 to 4,999 kW</v>
      </c>
      <c r="AA603" s="244">
        <f t="shared" si="235"/>
        <v>1298138</v>
      </c>
      <c r="AB603" s="244">
        <f t="shared" si="236"/>
        <v>1572415</v>
      </c>
      <c r="AC603" s="244">
        <f t="shared" si="237"/>
        <v>274277</v>
      </c>
      <c r="AD603" s="245">
        <f t="shared" si="238"/>
        <v>0.21128493272672089</v>
      </c>
    </row>
    <row r="604" spans="26:42" x14ac:dyDescent="0.2">
      <c r="Z604" s="243" t="str">
        <f t="shared" si="234"/>
        <v>Large User</v>
      </c>
      <c r="AA604" s="244">
        <f t="shared" si="235"/>
        <v>0</v>
      </c>
      <c r="AB604" s="244">
        <f t="shared" si="236"/>
        <v>0</v>
      </c>
      <c r="AC604" s="244">
        <f t="shared" si="237"/>
        <v>0</v>
      </c>
      <c r="AD604" s="245" t="e">
        <f t="shared" si="238"/>
        <v>#DIV/0!</v>
      </c>
    </row>
    <row r="605" spans="26:42" x14ac:dyDescent="0.2">
      <c r="Z605" s="243" t="str">
        <f t="shared" si="234"/>
        <v xml:space="preserve">Street Lights </v>
      </c>
      <c r="AA605" s="244">
        <f t="shared" si="235"/>
        <v>196615</v>
      </c>
      <c r="AB605" s="244">
        <f t="shared" si="236"/>
        <v>61897</v>
      </c>
      <c r="AC605" s="244">
        <f t="shared" si="237"/>
        <v>-134718</v>
      </c>
      <c r="AD605" s="245">
        <f t="shared" si="238"/>
        <v>-0.68518678635912822</v>
      </c>
    </row>
    <row r="606" spans="26:42" x14ac:dyDescent="0.2">
      <c r="Z606" s="243" t="str">
        <f t="shared" si="234"/>
        <v>Sentinel Lights</v>
      </c>
      <c r="AA606" s="244">
        <f t="shared" si="235"/>
        <v>29098</v>
      </c>
      <c r="AB606" s="244">
        <f t="shared" si="236"/>
        <v>41723</v>
      </c>
      <c r="AC606" s="244">
        <f t="shared" si="237"/>
        <v>12625</v>
      </c>
      <c r="AD606" s="245">
        <f t="shared" si="238"/>
        <v>0.43387861708708503</v>
      </c>
    </row>
    <row r="607" spans="26:42" x14ac:dyDescent="0.2">
      <c r="Z607" s="243" t="str">
        <f t="shared" si="234"/>
        <v xml:space="preserve">Unmetered Scattered Loads </v>
      </c>
      <c r="AA607" s="244">
        <f t="shared" si="235"/>
        <v>44259</v>
      </c>
      <c r="AB607" s="244">
        <f t="shared" si="236"/>
        <v>39952</v>
      </c>
      <c r="AC607" s="244">
        <f t="shared" si="237"/>
        <v>-4307</v>
      </c>
      <c r="AD607" s="245">
        <f t="shared" si="238"/>
        <v>-9.7313540748774255E-2</v>
      </c>
    </row>
    <row r="608" spans="26:42" x14ac:dyDescent="0.2">
      <c r="Z608" s="246" t="s">
        <v>16</v>
      </c>
      <c r="AA608" s="244">
        <f>SUM(AA601:AA607)</f>
        <v>8899045</v>
      </c>
      <c r="AB608" s="244">
        <f>SUM(AB601:AB607)+1</f>
        <v>10106284</v>
      </c>
      <c r="AC608" s="244">
        <f>AB608-AA608</f>
        <v>1207239</v>
      </c>
      <c r="AD608" s="245">
        <f t="shared" si="238"/>
        <v>0.13565938817030368</v>
      </c>
    </row>
    <row r="610" spans="31:42" x14ac:dyDescent="0.2">
      <c r="AE610" s="224" t="s">
        <v>300</v>
      </c>
      <c r="AF610" s="224"/>
      <c r="AG610" s="224"/>
      <c r="AH610" s="203"/>
      <c r="AI610" s="247"/>
    </row>
    <row r="611" spans="31:42" x14ac:dyDescent="0.2">
      <c r="AE611" s="248" t="s">
        <v>259</v>
      </c>
      <c r="AF611" s="307" t="s">
        <v>260</v>
      </c>
      <c r="AG611" s="307"/>
      <c r="AH611" s="163" t="s">
        <v>261</v>
      </c>
      <c r="AI611" s="293" t="s">
        <v>262</v>
      </c>
      <c r="AJ611" s="293"/>
      <c r="AK611" s="308" t="s">
        <v>263</v>
      </c>
      <c r="AL611" s="308"/>
      <c r="AM611" s="308" t="s">
        <v>264</v>
      </c>
      <c r="AN611" s="308"/>
      <c r="AO611" s="308" t="s">
        <v>265</v>
      </c>
      <c r="AP611" s="308"/>
    </row>
    <row r="612" spans="31:42" x14ac:dyDescent="0.2">
      <c r="AE612" s="310" t="str">
        <f>AE581</f>
        <v>Weather 
Normal Conversion 
Factor</v>
      </c>
      <c r="AF612" s="311"/>
      <c r="AG612" s="311"/>
      <c r="AH612" s="311"/>
      <c r="AI612" s="311"/>
      <c r="AJ612" s="312"/>
      <c r="AK612" s="250">
        <f>AL581</f>
        <v>1</v>
      </c>
      <c r="AL612" s="250">
        <v>1</v>
      </c>
      <c r="AM612" s="313"/>
      <c r="AN612" s="314"/>
      <c r="AO612" s="313"/>
      <c r="AP612" s="314"/>
    </row>
    <row r="613" spans="31:42" ht="25.5" x14ac:dyDescent="0.2">
      <c r="AE613" s="251"/>
      <c r="AF613" s="151" t="str">
        <f>AA600</f>
        <v>2016
Bridge</v>
      </c>
      <c r="AG613" s="151" t="str">
        <f>AB600</f>
        <v>2017
Test</v>
      </c>
      <c r="AH613" s="252"/>
      <c r="AI613" s="151" t="str">
        <f>AF613</f>
        <v>2016
Bridge</v>
      </c>
      <c r="AJ613" s="151" t="str">
        <f>AG613</f>
        <v>2017
Test</v>
      </c>
      <c r="AK613" s="151" t="str">
        <f>AI613</f>
        <v>2016
Bridge</v>
      </c>
      <c r="AL613" s="151" t="str">
        <f>AJ613</f>
        <v>2017
Test</v>
      </c>
      <c r="AM613" s="151" t="str">
        <f>AI613</f>
        <v>2016
Bridge</v>
      </c>
      <c r="AN613" s="151" t="str">
        <f>AJ613</f>
        <v>2017
Test</v>
      </c>
      <c r="AO613" s="151" t="str">
        <f>AK613</f>
        <v>2016
Bridge</v>
      </c>
      <c r="AP613" s="151" t="str">
        <f>AL613</f>
        <v>2017
Test</v>
      </c>
    </row>
    <row r="614" spans="31:42" x14ac:dyDescent="0.2">
      <c r="AE614" s="243" t="str">
        <f>AE583</f>
        <v xml:space="preserve">Residential </v>
      </c>
      <c r="AF614" s="136">
        <f>AG583</f>
        <v>20837.76161408551</v>
      </c>
      <c r="AG614" s="136">
        <f>X376</f>
        <v>21042.005722442176</v>
      </c>
      <c r="AH614" s="242" t="str">
        <f>AH592</f>
        <v>kWh</v>
      </c>
      <c r="AI614" s="136">
        <f ca="1">AJ583</f>
        <v>165467235.58405837</v>
      </c>
      <c r="AJ614" s="136">
        <f ca="1">X377</f>
        <v>171404554.63397124</v>
      </c>
      <c r="AK614" s="242">
        <f ca="1">AI614*$AK$612</f>
        <v>165467235.58405837</v>
      </c>
      <c r="AL614" s="136">
        <f ca="1">AJ614*$AL$612</f>
        <v>171404554.63397124</v>
      </c>
      <c r="AM614" s="242">
        <f ca="1">AI614/AF614</f>
        <v>7940.7394445000755</v>
      </c>
      <c r="AN614" s="242">
        <f ca="1">AJ614/AG614</f>
        <v>8145.8277739731411</v>
      </c>
      <c r="AO614" s="242">
        <f ca="1">AK614/AF614</f>
        <v>7940.7394445000755</v>
      </c>
      <c r="AP614" s="242">
        <f ca="1">AL614/AG614</f>
        <v>8145.8277739731411</v>
      </c>
    </row>
    <row r="615" spans="31:42" x14ac:dyDescent="0.2">
      <c r="AE615" s="243" t="str">
        <f t="shared" ref="AE615:AE620" si="239">AE584</f>
        <v>General Service &lt; 50 kW</v>
      </c>
      <c r="AF615" s="136">
        <f t="shared" ref="AF615:AF620" si="240">AG584</f>
        <v>1776.1691097249281</v>
      </c>
      <c r="AG615" s="136">
        <f>X380</f>
        <v>1783.2832670447278</v>
      </c>
      <c r="AH615" s="242" t="str">
        <f t="shared" ref="AH615:AH620" si="241">AH593</f>
        <v>kWh</v>
      </c>
      <c r="AI615" s="136">
        <f t="shared" ref="AI615:AI620" ca="1" si="242">AJ584</f>
        <v>56544967.769856162</v>
      </c>
      <c r="AJ615" s="136">
        <f ca="1">X381</f>
        <v>58177392.791512817</v>
      </c>
      <c r="AK615" s="242">
        <f t="shared" ref="AK615:AK620" ca="1" si="243">AI615*$AK$612</f>
        <v>56544967.769856162</v>
      </c>
      <c r="AL615" s="136">
        <f t="shared" ref="AL615:AL620" ca="1" si="244">AJ615*$AL$612</f>
        <v>58177392.791512817</v>
      </c>
      <c r="AM615" s="242">
        <f t="shared" ref="AM615:AM620" ca="1" si="245">AI615/AF615</f>
        <v>31835.351408973198</v>
      </c>
      <c r="AN615" s="242">
        <f t="shared" ref="AN615:AN620" ca="1" si="246">AJ615/AG615</f>
        <v>32623.752976679294</v>
      </c>
      <c r="AO615" s="242">
        <f t="shared" ref="AO615:AO620" ca="1" si="247">AK615/AF615</f>
        <v>31835.351408973198</v>
      </c>
      <c r="AP615" s="242">
        <f t="shared" ref="AP615:AP620" ca="1" si="248">AL615/AG615</f>
        <v>32623.752976679294</v>
      </c>
    </row>
    <row r="616" spans="31:42" x14ac:dyDescent="0.2">
      <c r="AE616" s="243" t="str">
        <f t="shared" si="239"/>
        <v>General Service 50 to 4,999 kW</v>
      </c>
      <c r="AF616" s="136">
        <f t="shared" si="240"/>
        <v>153.89800099158106</v>
      </c>
      <c r="AG616" s="136">
        <f>X384</f>
        <v>149.11602125417429</v>
      </c>
      <c r="AH616" s="242" t="str">
        <f t="shared" si="241"/>
        <v>kW</v>
      </c>
      <c r="AI616" s="136">
        <f t="shared" ca="1" si="242"/>
        <v>391552.37561379391</v>
      </c>
      <c r="AJ616" s="136">
        <f ca="1">X386</f>
        <v>381496.00238415803</v>
      </c>
      <c r="AK616" s="242">
        <f t="shared" ca="1" si="243"/>
        <v>391552.37561379391</v>
      </c>
      <c r="AL616" s="136">
        <f t="shared" ca="1" si="244"/>
        <v>381496.00238415803</v>
      </c>
      <c r="AM616" s="242">
        <f t="shared" ca="1" si="245"/>
        <v>2544.2330185641181</v>
      </c>
      <c r="AN616" s="242">
        <f t="shared" ca="1" si="246"/>
        <v>2558.3837281567662</v>
      </c>
      <c r="AO616" s="242">
        <f t="shared" ca="1" si="247"/>
        <v>2544.2330185641181</v>
      </c>
      <c r="AP616" s="242">
        <f t="shared" ca="1" si="248"/>
        <v>2558.3837281567662</v>
      </c>
    </row>
    <row r="617" spans="31:42" x14ac:dyDescent="0.2">
      <c r="AE617" s="243" t="str">
        <f t="shared" si="239"/>
        <v>Large User</v>
      </c>
      <c r="AF617" s="136">
        <f t="shared" si="240"/>
        <v>0</v>
      </c>
      <c r="AG617" s="136">
        <f>X389</f>
        <v>0</v>
      </c>
      <c r="AH617" s="242" t="str">
        <f t="shared" si="241"/>
        <v>kW</v>
      </c>
      <c r="AI617" s="136">
        <f t="shared" ca="1" si="242"/>
        <v>0</v>
      </c>
      <c r="AJ617" s="136">
        <f ca="1">X391</f>
        <v>0</v>
      </c>
      <c r="AK617" s="242">
        <f t="shared" ca="1" si="243"/>
        <v>0</v>
      </c>
      <c r="AL617" s="136">
        <f t="shared" ca="1" si="244"/>
        <v>0</v>
      </c>
      <c r="AM617" s="242"/>
      <c r="AN617" s="242"/>
      <c r="AO617" s="242"/>
      <c r="AP617" s="242"/>
    </row>
    <row r="618" spans="31:42" x14ac:dyDescent="0.2">
      <c r="AE618" s="243" t="str">
        <f t="shared" si="239"/>
        <v xml:space="preserve">Street Lights </v>
      </c>
      <c r="AF618" s="136">
        <f t="shared" si="240"/>
        <v>6822.798479396517</v>
      </c>
      <c r="AG618" s="136">
        <f>X394</f>
        <v>6853.1480301488764</v>
      </c>
      <c r="AH618" s="242" t="str">
        <f t="shared" si="241"/>
        <v>kW</v>
      </c>
      <c r="AI618" s="136">
        <f t="shared" ca="1" si="242"/>
        <v>4070.6096700016819</v>
      </c>
      <c r="AJ618" s="136">
        <f ca="1">X396</f>
        <v>3560.0861220000338</v>
      </c>
      <c r="AK618" s="242">
        <f t="shared" ca="1" si="243"/>
        <v>4070.6096700016819</v>
      </c>
      <c r="AL618" s="136">
        <f t="shared" ca="1" si="244"/>
        <v>3560.0861220000338</v>
      </c>
      <c r="AM618" s="242">
        <f t="shared" ca="1" si="245"/>
        <v>0.59661877487575032</v>
      </c>
      <c r="AN618" s="242">
        <f t="shared" ca="1" si="246"/>
        <v>0.51948186531769625</v>
      </c>
      <c r="AO618" s="242">
        <f t="shared" ca="1" si="247"/>
        <v>0.59661877487575032</v>
      </c>
      <c r="AP618" s="242">
        <f t="shared" ca="1" si="248"/>
        <v>0.51948186531769625</v>
      </c>
    </row>
    <row r="619" spans="31:42" x14ac:dyDescent="0.2">
      <c r="AE619" s="243" t="str">
        <f t="shared" si="239"/>
        <v>Sentinel Lights</v>
      </c>
      <c r="AF619" s="136">
        <f t="shared" si="240"/>
        <v>515.08333333333337</v>
      </c>
      <c r="AG619" s="136">
        <f>X399</f>
        <v>515.08333333333337</v>
      </c>
      <c r="AH619" s="242" t="str">
        <f t="shared" si="241"/>
        <v>kW</v>
      </c>
      <c r="AI619" s="136">
        <f t="shared" si="242"/>
        <v>2077</v>
      </c>
      <c r="AJ619" s="136">
        <f>X401</f>
        <v>2077</v>
      </c>
      <c r="AK619" s="242">
        <f t="shared" si="243"/>
        <v>2077</v>
      </c>
      <c r="AL619" s="136">
        <f t="shared" si="244"/>
        <v>2077</v>
      </c>
      <c r="AM619" s="242">
        <f t="shared" si="245"/>
        <v>4.0323572237502017</v>
      </c>
      <c r="AN619" s="242">
        <f t="shared" si="246"/>
        <v>4.0323572237502017</v>
      </c>
      <c r="AO619" s="242">
        <f t="shared" si="247"/>
        <v>4.0323572237502017</v>
      </c>
      <c r="AP619" s="242">
        <f t="shared" si="248"/>
        <v>4.0323572237502017</v>
      </c>
    </row>
    <row r="620" spans="31:42" x14ac:dyDescent="0.2">
      <c r="AE620" s="243" t="str">
        <f t="shared" si="239"/>
        <v xml:space="preserve">Unmetered Scattered Loads </v>
      </c>
      <c r="AF620" s="136">
        <f t="shared" si="240"/>
        <v>256.66666666666669</v>
      </c>
      <c r="AG620" s="136">
        <f>X404</f>
        <v>256.66666666666669</v>
      </c>
      <c r="AH620" s="242" t="str">
        <f t="shared" si="241"/>
        <v>kWh</v>
      </c>
      <c r="AI620" s="136">
        <f t="shared" ca="1" si="242"/>
        <v>957090.46273582941</v>
      </c>
      <c r="AJ620" s="136">
        <f ca="1">X405</f>
        <v>944312.82168473722</v>
      </c>
      <c r="AK620" s="242">
        <f t="shared" ca="1" si="243"/>
        <v>957090.46273582941</v>
      </c>
      <c r="AL620" s="136">
        <f t="shared" ca="1" si="244"/>
        <v>944312.82168473722</v>
      </c>
      <c r="AM620" s="242">
        <f t="shared" ca="1" si="245"/>
        <v>3728.9238807889456</v>
      </c>
      <c r="AN620" s="242">
        <f t="shared" ca="1" si="246"/>
        <v>3679.140863706768</v>
      </c>
      <c r="AO620" s="242">
        <f t="shared" ca="1" si="247"/>
        <v>3728.9238807889456</v>
      </c>
      <c r="AP620" s="242">
        <f t="shared" ca="1" si="248"/>
        <v>3679.140863706768</v>
      </c>
    </row>
    <row r="621" spans="31:42" x14ac:dyDescent="0.2">
      <c r="AE621" s="243" t="s">
        <v>10</v>
      </c>
      <c r="AF621" s="136">
        <f>SUM(AF614:AF620)</f>
        <v>30362.377204198536</v>
      </c>
      <c r="AG621" s="136">
        <f>SUM(AG614:AG620)</f>
        <v>30599.303040889954</v>
      </c>
      <c r="AH621" s="242"/>
      <c r="AI621" s="253"/>
      <c r="AJ621" s="253"/>
      <c r="AK621" s="253"/>
      <c r="AL621" s="253"/>
      <c r="AM621" s="253"/>
      <c r="AN621" s="253"/>
      <c r="AO621" s="253"/>
      <c r="AP621" s="253"/>
    </row>
    <row r="622" spans="31:42" x14ac:dyDescent="0.2">
      <c r="AE622" s="150"/>
      <c r="AF622" s="309" t="s">
        <v>267</v>
      </c>
      <c r="AG622" s="309"/>
      <c r="AH622" s="150"/>
      <c r="AI622" s="309" t="s">
        <v>267</v>
      </c>
      <c r="AJ622" s="309"/>
      <c r="AK622" s="309" t="s">
        <v>267</v>
      </c>
      <c r="AL622" s="309"/>
      <c r="AM622" s="309" t="s">
        <v>267</v>
      </c>
      <c r="AN622" s="309"/>
      <c r="AO622" s="309" t="s">
        <v>267</v>
      </c>
      <c r="AP622" s="309"/>
    </row>
    <row r="623" spans="31:42" x14ac:dyDescent="0.2">
      <c r="AE623" s="254" t="str">
        <f>AE614</f>
        <v xml:space="preserve">Residential </v>
      </c>
      <c r="AF623" s="305">
        <f>AG614-AF614</f>
        <v>204.2441083566664</v>
      </c>
      <c r="AG623" s="306"/>
      <c r="AH623" s="242" t="str">
        <f>AH614</f>
        <v>kWh</v>
      </c>
      <c r="AI623" s="305">
        <f ca="1">AJ614-AI614</f>
        <v>5937319.0499128699</v>
      </c>
      <c r="AJ623" s="306"/>
      <c r="AK623" s="305">
        <f ca="1">AL614-AK614</f>
        <v>5937319.0499128699</v>
      </c>
      <c r="AL623" s="306"/>
      <c r="AM623" s="305">
        <f ca="1">AN614-AM614</f>
        <v>205.08832947306564</v>
      </c>
      <c r="AN623" s="306"/>
      <c r="AO623" s="305">
        <f ca="1">AP614-AO614</f>
        <v>205.08832947306564</v>
      </c>
      <c r="AP623" s="306"/>
    </row>
    <row r="624" spans="31:42" x14ac:dyDescent="0.2">
      <c r="AE624" s="254" t="str">
        <f t="shared" ref="AE624:AE629" si="249">AE615</f>
        <v>General Service &lt; 50 kW</v>
      </c>
      <c r="AF624" s="305">
        <f t="shared" ref="AF624:AF629" si="250">AG615-AF615</f>
        <v>7.1141573197996877</v>
      </c>
      <c r="AG624" s="306"/>
      <c r="AH624" s="242" t="str">
        <f t="shared" ref="AH624:AH629" si="251">AH615</f>
        <v>kWh</v>
      </c>
      <c r="AI624" s="305">
        <f t="shared" ref="AI624:AI629" ca="1" si="252">AJ615-AI615</f>
        <v>1632425.0216566548</v>
      </c>
      <c r="AJ624" s="306"/>
      <c r="AK624" s="305">
        <f t="shared" ref="AK624:AK629" ca="1" si="253">AL615-AK615</f>
        <v>1632425.0216566548</v>
      </c>
      <c r="AL624" s="306"/>
      <c r="AM624" s="305">
        <f t="shared" ref="AM624:AM629" ca="1" si="254">AN615-AM615</f>
        <v>788.4015677060961</v>
      </c>
      <c r="AN624" s="306"/>
      <c r="AO624" s="305">
        <f t="shared" ref="AO624:AO629" ca="1" si="255">AP615-AO615</f>
        <v>788.4015677060961</v>
      </c>
      <c r="AP624" s="306"/>
    </row>
    <row r="625" spans="31:42" x14ac:dyDescent="0.2">
      <c r="AE625" s="254" t="str">
        <f t="shared" si="249"/>
        <v>General Service 50 to 4,999 kW</v>
      </c>
      <c r="AF625" s="305">
        <f t="shared" si="250"/>
        <v>-4.7819797374067718</v>
      </c>
      <c r="AG625" s="306"/>
      <c r="AH625" s="242" t="str">
        <f t="shared" si="251"/>
        <v>kW</v>
      </c>
      <c r="AI625" s="305">
        <f t="shared" ca="1" si="252"/>
        <v>-10056.373229635879</v>
      </c>
      <c r="AJ625" s="306"/>
      <c r="AK625" s="305">
        <f t="shared" ca="1" si="253"/>
        <v>-10056.373229635879</v>
      </c>
      <c r="AL625" s="306"/>
      <c r="AM625" s="305">
        <f t="shared" ca="1" si="254"/>
        <v>14.150709592648127</v>
      </c>
      <c r="AN625" s="306"/>
      <c r="AO625" s="305">
        <f t="shared" ca="1" si="255"/>
        <v>14.150709592648127</v>
      </c>
      <c r="AP625" s="306"/>
    </row>
    <row r="626" spans="31:42" x14ac:dyDescent="0.2">
      <c r="AE626" s="254" t="str">
        <f t="shared" si="249"/>
        <v>Large User</v>
      </c>
      <c r="AF626" s="305">
        <f t="shared" si="250"/>
        <v>0</v>
      </c>
      <c r="AG626" s="306"/>
      <c r="AH626" s="242" t="str">
        <f t="shared" si="251"/>
        <v>kW</v>
      </c>
      <c r="AI626" s="305">
        <f t="shared" ca="1" si="252"/>
        <v>0</v>
      </c>
      <c r="AJ626" s="306"/>
      <c r="AK626" s="305">
        <f t="shared" ca="1" si="253"/>
        <v>0</v>
      </c>
      <c r="AL626" s="306"/>
      <c r="AM626" s="305">
        <f t="shared" si="254"/>
        <v>0</v>
      </c>
      <c r="AN626" s="306"/>
      <c r="AO626" s="305">
        <f t="shared" si="255"/>
        <v>0</v>
      </c>
      <c r="AP626" s="306"/>
    </row>
    <row r="627" spans="31:42" x14ac:dyDescent="0.2">
      <c r="AE627" s="254" t="str">
        <f t="shared" si="249"/>
        <v xml:space="preserve">Street Lights </v>
      </c>
      <c r="AF627" s="305">
        <f t="shared" si="250"/>
        <v>30.349550752359391</v>
      </c>
      <c r="AG627" s="306"/>
      <c r="AH627" s="242" t="str">
        <f t="shared" si="251"/>
        <v>kW</v>
      </c>
      <c r="AI627" s="305">
        <f ca="1">AJ618-AI618</f>
        <v>-510.52354800164812</v>
      </c>
      <c r="AJ627" s="306"/>
      <c r="AK627" s="305">
        <f ca="1">AL618-AK618</f>
        <v>-510.52354800164812</v>
      </c>
      <c r="AL627" s="306"/>
      <c r="AM627" s="305">
        <f t="shared" ca="1" si="254"/>
        <v>-7.7136909558054079E-2</v>
      </c>
      <c r="AN627" s="306"/>
      <c r="AO627" s="305">
        <f ca="1">AP618-AO618</f>
        <v>-7.7136909558054079E-2</v>
      </c>
      <c r="AP627" s="306"/>
    </row>
    <row r="628" spans="31:42" x14ac:dyDescent="0.2">
      <c r="AE628" s="254" t="str">
        <f t="shared" si="249"/>
        <v>Sentinel Lights</v>
      </c>
      <c r="AF628" s="305">
        <f t="shared" si="250"/>
        <v>0</v>
      </c>
      <c r="AG628" s="306"/>
      <c r="AH628" s="242" t="str">
        <f t="shared" si="251"/>
        <v>kW</v>
      </c>
      <c r="AI628" s="305">
        <f t="shared" si="252"/>
        <v>0</v>
      </c>
      <c r="AJ628" s="306"/>
      <c r="AK628" s="305">
        <f t="shared" si="253"/>
        <v>0</v>
      </c>
      <c r="AL628" s="306"/>
      <c r="AM628" s="305">
        <f t="shared" si="254"/>
        <v>0</v>
      </c>
      <c r="AN628" s="306"/>
      <c r="AO628" s="305">
        <f t="shared" si="255"/>
        <v>0</v>
      </c>
      <c r="AP628" s="306"/>
    </row>
    <row r="629" spans="31:42" x14ac:dyDescent="0.2">
      <c r="AE629" s="254" t="str">
        <f t="shared" si="249"/>
        <v xml:space="preserve">Unmetered Scattered Loads </v>
      </c>
      <c r="AF629" s="305">
        <f t="shared" si="250"/>
        <v>0</v>
      </c>
      <c r="AG629" s="306"/>
      <c r="AH629" s="242" t="str">
        <f t="shared" si="251"/>
        <v>kWh</v>
      </c>
      <c r="AI629" s="305">
        <f t="shared" ca="1" si="252"/>
        <v>-12777.641051092185</v>
      </c>
      <c r="AJ629" s="306"/>
      <c r="AK629" s="305">
        <f t="shared" ca="1" si="253"/>
        <v>-12777.641051092185</v>
      </c>
      <c r="AL629" s="306"/>
      <c r="AM629" s="305">
        <f t="shared" ca="1" si="254"/>
        <v>-49.783017082177594</v>
      </c>
      <c r="AN629" s="306"/>
      <c r="AO629" s="305">
        <f t="shared" ca="1" si="255"/>
        <v>-49.783017082177594</v>
      </c>
      <c r="AP629" s="306"/>
    </row>
  </sheetData>
  <mergeCells count="383">
    <mergeCell ref="AM519:AN519"/>
    <mergeCell ref="AO519:AP519"/>
    <mergeCell ref="AM529:AN529"/>
    <mergeCell ref="AO529:AP529"/>
    <mergeCell ref="AF530:AG530"/>
    <mergeCell ref="AI530:AJ530"/>
    <mergeCell ref="AM565:AN565"/>
    <mergeCell ref="AM566:AN566"/>
    <mergeCell ref="AM567:AN567"/>
    <mergeCell ref="AO565:AP565"/>
    <mergeCell ref="AO566:AP566"/>
    <mergeCell ref="AM536:AN536"/>
    <mergeCell ref="AE550:AJ550"/>
    <mergeCell ref="AM550:AN550"/>
    <mergeCell ref="AO550:AP550"/>
    <mergeCell ref="AF560:AG560"/>
    <mergeCell ref="AI560:AJ560"/>
    <mergeCell ref="AK560:AL560"/>
    <mergeCell ref="AM560:AN560"/>
    <mergeCell ref="AO560:AP560"/>
    <mergeCell ref="AF529:AG529"/>
    <mergeCell ref="AI529:AJ529"/>
    <mergeCell ref="AK529:AL529"/>
    <mergeCell ref="AE519:AJ519"/>
    <mergeCell ref="AM595:AN595"/>
    <mergeCell ref="AM596:AN596"/>
    <mergeCell ref="AM597:AN597"/>
    <mergeCell ref="AO595:AP595"/>
    <mergeCell ref="AO596:AP596"/>
    <mergeCell ref="AO597:AP597"/>
    <mergeCell ref="AK565:AL565"/>
    <mergeCell ref="AK566:AL566"/>
    <mergeCell ref="AK567:AL567"/>
    <mergeCell ref="AF627:AG627"/>
    <mergeCell ref="AF628:AG628"/>
    <mergeCell ref="AF629:AG629"/>
    <mergeCell ref="AI627:AJ627"/>
    <mergeCell ref="AI628:AJ628"/>
    <mergeCell ref="AI629:AJ629"/>
    <mergeCell ref="AK627:AL627"/>
    <mergeCell ref="AK628:AL628"/>
    <mergeCell ref="AK629:AL629"/>
    <mergeCell ref="AM627:AN627"/>
    <mergeCell ref="AM628:AN628"/>
    <mergeCell ref="AM629:AN629"/>
    <mergeCell ref="AO627:AP627"/>
    <mergeCell ref="AO628:AP628"/>
    <mergeCell ref="AO629:AP629"/>
    <mergeCell ref="AF595:AG595"/>
    <mergeCell ref="AF596:AG596"/>
    <mergeCell ref="AF597:AG597"/>
    <mergeCell ref="AI595:AJ595"/>
    <mergeCell ref="AI596:AJ596"/>
    <mergeCell ref="AI597:AJ597"/>
    <mergeCell ref="AK595:AL595"/>
    <mergeCell ref="AK596:AL596"/>
    <mergeCell ref="AK597:AL597"/>
    <mergeCell ref="AE612:AJ612"/>
    <mergeCell ref="AM612:AN612"/>
    <mergeCell ref="AO612:AP612"/>
    <mergeCell ref="AF622:AG622"/>
    <mergeCell ref="AI622:AJ622"/>
    <mergeCell ref="AK622:AL622"/>
    <mergeCell ref="AM622:AN622"/>
    <mergeCell ref="AO622:AP622"/>
    <mergeCell ref="AF598:AG598"/>
    <mergeCell ref="AM503:AN503"/>
    <mergeCell ref="AO503:AP503"/>
    <mergeCell ref="AF504:AG504"/>
    <mergeCell ref="AI504:AJ504"/>
    <mergeCell ref="AK504:AL504"/>
    <mergeCell ref="AM504:AN504"/>
    <mergeCell ref="AO504:AP504"/>
    <mergeCell ref="AF518:AG518"/>
    <mergeCell ref="AI518:AJ518"/>
    <mergeCell ref="AK518:AL518"/>
    <mergeCell ref="AM518:AN518"/>
    <mergeCell ref="AO518:AP518"/>
    <mergeCell ref="AF505:AG505"/>
    <mergeCell ref="AI505:AJ505"/>
    <mergeCell ref="AK505:AL505"/>
    <mergeCell ref="AM505:AN505"/>
    <mergeCell ref="AO505:AP505"/>
    <mergeCell ref="AF503:AG503"/>
    <mergeCell ref="AI503:AJ503"/>
    <mergeCell ref="AK503:AL503"/>
    <mergeCell ref="AM500:AN500"/>
    <mergeCell ref="AO500:AP500"/>
    <mergeCell ref="AF501:AG501"/>
    <mergeCell ref="AI501:AJ501"/>
    <mergeCell ref="AK501:AL501"/>
    <mergeCell ref="AM501:AN501"/>
    <mergeCell ref="AO501:AP501"/>
    <mergeCell ref="AF502:AG502"/>
    <mergeCell ref="AI502:AJ502"/>
    <mergeCell ref="AK502:AL502"/>
    <mergeCell ref="AM502:AN502"/>
    <mergeCell ref="AO502:AP502"/>
    <mergeCell ref="AF500:AG500"/>
    <mergeCell ref="AI500:AJ500"/>
    <mergeCell ref="AK500:AL500"/>
    <mergeCell ref="AM488:AN488"/>
    <mergeCell ref="AO488:AP488"/>
    <mergeCell ref="AF498:AG498"/>
    <mergeCell ref="AI498:AJ498"/>
    <mergeCell ref="AK498:AL498"/>
    <mergeCell ref="AM498:AN498"/>
    <mergeCell ref="AO498:AP498"/>
    <mergeCell ref="AF499:AG499"/>
    <mergeCell ref="AI499:AJ499"/>
    <mergeCell ref="AK499:AL499"/>
    <mergeCell ref="AM499:AN499"/>
    <mergeCell ref="AO499:AP499"/>
    <mergeCell ref="AE488:AJ488"/>
    <mergeCell ref="AM472:AN472"/>
    <mergeCell ref="AM473:AN473"/>
    <mergeCell ref="AM474:AN474"/>
    <mergeCell ref="AO472:AP472"/>
    <mergeCell ref="AO473:AP473"/>
    <mergeCell ref="AO474:AP474"/>
    <mergeCell ref="AF487:AG487"/>
    <mergeCell ref="AI487:AJ487"/>
    <mergeCell ref="AK487:AL487"/>
    <mergeCell ref="AM487:AN487"/>
    <mergeCell ref="AO487:AP487"/>
    <mergeCell ref="AF472:AG472"/>
    <mergeCell ref="AF473:AG473"/>
    <mergeCell ref="AF474:AG474"/>
    <mergeCell ref="AI472:AJ472"/>
    <mergeCell ref="AI473:AJ473"/>
    <mergeCell ref="AI474:AJ474"/>
    <mergeCell ref="AK472:AL472"/>
    <mergeCell ref="AK473:AL473"/>
    <mergeCell ref="AK474:AL474"/>
    <mergeCell ref="K139:L139"/>
    <mergeCell ref="A156:G156"/>
    <mergeCell ref="A158:G158"/>
    <mergeCell ref="A179:G179"/>
    <mergeCell ref="A85:I85"/>
    <mergeCell ref="A119:H119"/>
    <mergeCell ref="A104:H104"/>
    <mergeCell ref="N2:W2"/>
    <mergeCell ref="N4:W4"/>
    <mergeCell ref="N13:W13"/>
    <mergeCell ref="A25:G25"/>
    <mergeCell ref="A27:G27"/>
    <mergeCell ref="A3:L3"/>
    <mergeCell ref="A50:I50"/>
    <mergeCell ref="A84:I84"/>
    <mergeCell ref="A65:I65"/>
    <mergeCell ref="A224:H224"/>
    <mergeCell ref="A241:H241"/>
    <mergeCell ref="A243:H243"/>
    <mergeCell ref="A260:H260"/>
    <mergeCell ref="A197:F197"/>
    <mergeCell ref="A216:F216"/>
    <mergeCell ref="A181:I181"/>
    <mergeCell ref="A199:H199"/>
    <mergeCell ref="A218:I218"/>
    <mergeCell ref="A222:H222"/>
    <mergeCell ref="AM425:AN425"/>
    <mergeCell ref="AO425:AP425"/>
    <mergeCell ref="AE426:AJ426"/>
    <mergeCell ref="AM426:AN426"/>
    <mergeCell ref="AO426:AP426"/>
    <mergeCell ref="AF436:AG436"/>
    <mergeCell ref="AI436:AJ436"/>
    <mergeCell ref="AK436:AL436"/>
    <mergeCell ref="AM436:AN436"/>
    <mergeCell ref="AO436:AP436"/>
    <mergeCell ref="AF425:AG425"/>
    <mergeCell ref="AI425:AJ425"/>
    <mergeCell ref="AK425:AL425"/>
    <mergeCell ref="AI437:AJ437"/>
    <mergeCell ref="AK437:AL437"/>
    <mergeCell ref="AM437:AN437"/>
    <mergeCell ref="AO437:AP437"/>
    <mergeCell ref="AF438:AG438"/>
    <mergeCell ref="AI438:AJ438"/>
    <mergeCell ref="AK438:AL438"/>
    <mergeCell ref="AM438:AN438"/>
    <mergeCell ref="AO438:AP438"/>
    <mergeCell ref="AI439:AJ439"/>
    <mergeCell ref="AK439:AL439"/>
    <mergeCell ref="AM439:AN439"/>
    <mergeCell ref="AO439:AP439"/>
    <mergeCell ref="AF440:AG440"/>
    <mergeCell ref="AI440:AJ440"/>
    <mergeCell ref="AK440:AL440"/>
    <mergeCell ref="AM440:AN440"/>
    <mergeCell ref="AO440:AP440"/>
    <mergeCell ref="AE457:AJ457"/>
    <mergeCell ref="AM457:AN457"/>
    <mergeCell ref="AO457:AP457"/>
    <mergeCell ref="AF467:AG467"/>
    <mergeCell ref="AI467:AJ467"/>
    <mergeCell ref="AK467:AL467"/>
    <mergeCell ref="AM467:AN467"/>
    <mergeCell ref="AO467:AP467"/>
    <mergeCell ref="AF456:AG456"/>
    <mergeCell ref="AI456:AJ456"/>
    <mergeCell ref="AK456:AL456"/>
    <mergeCell ref="AM456:AN456"/>
    <mergeCell ref="AO456:AP456"/>
    <mergeCell ref="AF468:AG468"/>
    <mergeCell ref="AI468:AJ468"/>
    <mergeCell ref="AK468:AL468"/>
    <mergeCell ref="AM468:AN468"/>
    <mergeCell ref="AO468:AP468"/>
    <mergeCell ref="AF469:AG469"/>
    <mergeCell ref="AI469:AJ469"/>
    <mergeCell ref="AK469:AL469"/>
    <mergeCell ref="AM469:AN469"/>
    <mergeCell ref="AO469:AP469"/>
    <mergeCell ref="AF470:AG470"/>
    <mergeCell ref="AI470:AJ470"/>
    <mergeCell ref="AK470:AL470"/>
    <mergeCell ref="AM470:AN470"/>
    <mergeCell ref="AO470:AP470"/>
    <mergeCell ref="AF471:AG471"/>
    <mergeCell ref="AI471:AJ471"/>
    <mergeCell ref="AK471:AL471"/>
    <mergeCell ref="AM471:AN471"/>
    <mergeCell ref="AO471:AP471"/>
    <mergeCell ref="AK530:AL530"/>
    <mergeCell ref="AM530:AN530"/>
    <mergeCell ref="AO530:AP530"/>
    <mergeCell ref="AF531:AG531"/>
    <mergeCell ref="AI531:AJ531"/>
    <mergeCell ref="AK531:AL531"/>
    <mergeCell ref="AM531:AN531"/>
    <mergeCell ref="AO531:AP531"/>
    <mergeCell ref="AF532:AG532"/>
    <mergeCell ref="AI532:AJ532"/>
    <mergeCell ref="AK532:AL532"/>
    <mergeCell ref="AM532:AN532"/>
    <mergeCell ref="AO532:AP532"/>
    <mergeCell ref="AF533:AG533"/>
    <mergeCell ref="AI533:AJ533"/>
    <mergeCell ref="AK533:AL533"/>
    <mergeCell ref="AM533:AN533"/>
    <mergeCell ref="AO533:AP533"/>
    <mergeCell ref="AF549:AG549"/>
    <mergeCell ref="AI549:AJ549"/>
    <mergeCell ref="AK549:AL549"/>
    <mergeCell ref="AM549:AN549"/>
    <mergeCell ref="AO549:AP549"/>
    <mergeCell ref="AO535:AP535"/>
    <mergeCell ref="AO536:AP536"/>
    <mergeCell ref="AO534:AP534"/>
    <mergeCell ref="AF534:AG534"/>
    <mergeCell ref="AF535:AG535"/>
    <mergeCell ref="AF536:AG536"/>
    <mergeCell ref="AI534:AJ534"/>
    <mergeCell ref="AI535:AJ535"/>
    <mergeCell ref="AI536:AJ536"/>
    <mergeCell ref="AK534:AL534"/>
    <mergeCell ref="AK535:AL535"/>
    <mergeCell ref="AK536:AL536"/>
    <mergeCell ref="AM534:AN534"/>
    <mergeCell ref="AM535:AN535"/>
    <mergeCell ref="AM561:AN561"/>
    <mergeCell ref="AO561:AP561"/>
    <mergeCell ref="AF562:AG562"/>
    <mergeCell ref="AI562:AJ562"/>
    <mergeCell ref="AK562:AL562"/>
    <mergeCell ref="AM562:AN562"/>
    <mergeCell ref="AO562:AP562"/>
    <mergeCell ref="AF580:AG580"/>
    <mergeCell ref="AI580:AJ580"/>
    <mergeCell ref="AK580:AL580"/>
    <mergeCell ref="AM580:AN580"/>
    <mergeCell ref="AO580:AP580"/>
    <mergeCell ref="AO567:AP567"/>
    <mergeCell ref="AF561:AG561"/>
    <mergeCell ref="AI561:AJ561"/>
    <mergeCell ref="AK561:AL561"/>
    <mergeCell ref="AE581:AJ581"/>
    <mergeCell ref="AM581:AN581"/>
    <mergeCell ref="AO581:AP581"/>
    <mergeCell ref="AF563:AG563"/>
    <mergeCell ref="AI563:AJ563"/>
    <mergeCell ref="AK563:AL563"/>
    <mergeCell ref="AM563:AN563"/>
    <mergeCell ref="AO563:AP563"/>
    <mergeCell ref="AF564:AG564"/>
    <mergeCell ref="AI564:AJ564"/>
    <mergeCell ref="AK564:AL564"/>
    <mergeCell ref="AM564:AN564"/>
    <mergeCell ref="AO564:AP564"/>
    <mergeCell ref="AF565:AG565"/>
    <mergeCell ref="AF566:AG566"/>
    <mergeCell ref="AF567:AG567"/>
    <mergeCell ref="AI565:AJ565"/>
    <mergeCell ref="AI566:AJ566"/>
    <mergeCell ref="AI567:AJ567"/>
    <mergeCell ref="AF591:AG591"/>
    <mergeCell ref="AI591:AJ591"/>
    <mergeCell ref="AK591:AL591"/>
    <mergeCell ref="AM591:AN591"/>
    <mergeCell ref="AO591:AP591"/>
    <mergeCell ref="AF592:AG592"/>
    <mergeCell ref="AI592:AJ592"/>
    <mergeCell ref="AK592:AL592"/>
    <mergeCell ref="AM592:AN592"/>
    <mergeCell ref="AO592:AP592"/>
    <mergeCell ref="AF593:AG593"/>
    <mergeCell ref="AI593:AJ593"/>
    <mergeCell ref="AK593:AL593"/>
    <mergeCell ref="AM593:AN593"/>
    <mergeCell ref="AO593:AP593"/>
    <mergeCell ref="AF594:AG594"/>
    <mergeCell ref="AI594:AJ594"/>
    <mergeCell ref="AK594:AL594"/>
    <mergeCell ref="AM594:AN594"/>
    <mergeCell ref="AO594:AP594"/>
    <mergeCell ref="AI598:AJ598"/>
    <mergeCell ref="AK598:AL598"/>
    <mergeCell ref="AM598:AN598"/>
    <mergeCell ref="AO598:AP598"/>
    <mergeCell ref="AF611:AG611"/>
    <mergeCell ref="AI611:AJ611"/>
    <mergeCell ref="AK611:AL611"/>
    <mergeCell ref="AM611:AN611"/>
    <mergeCell ref="AO611:AP611"/>
    <mergeCell ref="AF623:AG623"/>
    <mergeCell ref="AI623:AJ623"/>
    <mergeCell ref="AK623:AL623"/>
    <mergeCell ref="AM623:AN623"/>
    <mergeCell ref="AO623:AP623"/>
    <mergeCell ref="AF624:AG624"/>
    <mergeCell ref="AI624:AJ624"/>
    <mergeCell ref="AK624:AL624"/>
    <mergeCell ref="AM624:AN624"/>
    <mergeCell ref="AO624:AP624"/>
    <mergeCell ref="AF625:AG625"/>
    <mergeCell ref="AI625:AJ625"/>
    <mergeCell ref="AK625:AL625"/>
    <mergeCell ref="AM625:AN625"/>
    <mergeCell ref="AO625:AP625"/>
    <mergeCell ref="AF626:AG626"/>
    <mergeCell ref="AI626:AJ626"/>
    <mergeCell ref="AK626:AL626"/>
    <mergeCell ref="AM626:AN626"/>
    <mergeCell ref="AO626:AP626"/>
    <mergeCell ref="F318:I318"/>
    <mergeCell ref="A317:I317"/>
    <mergeCell ref="A334:D334"/>
    <mergeCell ref="A336:D336"/>
    <mergeCell ref="A356:E356"/>
    <mergeCell ref="AF441:AG441"/>
    <mergeCell ref="A262:H262"/>
    <mergeCell ref="A266:I266"/>
    <mergeCell ref="A268:I268"/>
    <mergeCell ref="B274:H274"/>
    <mergeCell ref="AF437:AG437"/>
    <mergeCell ref="A315:D315"/>
    <mergeCell ref="B318:E318"/>
    <mergeCell ref="A284:E284"/>
    <mergeCell ref="A293:E293"/>
    <mergeCell ref="A300:F300"/>
    <mergeCell ref="A286:F286"/>
    <mergeCell ref="B272:E272"/>
    <mergeCell ref="A277:E277"/>
    <mergeCell ref="AF439:AG439"/>
    <mergeCell ref="A302:I302"/>
    <mergeCell ref="A305:I305"/>
    <mergeCell ref="A308:I308"/>
    <mergeCell ref="A311:I311"/>
    <mergeCell ref="AM441:AN441"/>
    <mergeCell ref="AM442:AN442"/>
    <mergeCell ref="AM443:AN443"/>
    <mergeCell ref="AO441:AP441"/>
    <mergeCell ref="AO442:AP442"/>
    <mergeCell ref="AO443:AP443"/>
    <mergeCell ref="AF442:AG442"/>
    <mergeCell ref="AF443:AG443"/>
    <mergeCell ref="AI441:AJ441"/>
    <mergeCell ref="AI442:AJ442"/>
    <mergeCell ref="AI443:AJ443"/>
    <mergeCell ref="AK441:AL441"/>
    <mergeCell ref="AK442:AL442"/>
    <mergeCell ref="AK443:AL443"/>
  </mergeCells>
  <pageMargins left="0.7" right="0.7" top="0.75" bottom="0.75" header="0.3" footer="0.3"/>
  <pageSetup orientation="landscape" horizontalDpi="200" verticalDpi="200" r:id="rId1"/>
  <headerFooter alignWithMargins="0"/>
  <ignoredErrors>
    <ignoredError sqref="D32:D44 F32:F46 AL428 AA477:AA483 AF490:AF496 AI490:AI496 AA508:AA514" formula="1"/>
    <ignoredError sqref="AI468:AJ470 AD477:AD484 AC508 AD508:AD515 AD539:AD546 AD570:AD577 AD601:AD602 AD603:AD60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tabSelected="1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R60" sqref="R60"/>
    </sheetView>
  </sheetViews>
  <sheetFormatPr defaultRowHeight="12.75" x14ac:dyDescent="0.2"/>
  <cols>
    <col min="1" max="1" width="34" customWidth="1"/>
    <col min="2" max="2" width="13" style="1" customWidth="1"/>
    <col min="3" max="3" width="12.5703125" style="1" customWidth="1"/>
    <col min="4" max="4" width="12.7109375" style="1" bestFit="1" customWidth="1"/>
    <col min="5" max="5" width="13.5703125" style="1" customWidth="1"/>
    <col min="6" max="6" width="12.7109375" style="1" customWidth="1"/>
    <col min="7" max="7" width="13" style="1" customWidth="1"/>
    <col min="8" max="8" width="12.7109375" style="1" bestFit="1" customWidth="1"/>
    <col min="9" max="11" width="12.85546875" style="1" customWidth="1"/>
    <col min="12" max="12" width="12.7109375" style="23" bestFit="1" customWidth="1"/>
    <col min="13" max="13" width="12" style="1" customWidth="1"/>
    <col min="14" max="14" width="11.5703125" customWidth="1"/>
    <col min="15" max="15" width="11.140625" bestFit="1" customWidth="1"/>
    <col min="16" max="16" width="14" bestFit="1" customWidth="1"/>
    <col min="17" max="17" width="13.28515625" customWidth="1"/>
  </cols>
  <sheetData>
    <row r="1" spans="1:20" ht="15.75" x14ac:dyDescent="0.25">
      <c r="A1" s="43" t="s">
        <v>182</v>
      </c>
    </row>
    <row r="2" spans="1:20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0" ht="38.25" x14ac:dyDescent="0.2">
      <c r="B3" s="45" t="s">
        <v>50</v>
      </c>
      <c r="C3" s="45" t="s">
        <v>51</v>
      </c>
      <c r="D3" s="45" t="s">
        <v>52</v>
      </c>
      <c r="E3" s="45" t="s">
        <v>53</v>
      </c>
      <c r="F3" s="45" t="s">
        <v>54</v>
      </c>
      <c r="G3" s="45" t="s">
        <v>55</v>
      </c>
      <c r="H3" s="45" t="s">
        <v>65</v>
      </c>
      <c r="I3" s="45" t="s">
        <v>68</v>
      </c>
      <c r="J3" s="45" t="s">
        <v>74</v>
      </c>
      <c r="K3" s="45" t="s">
        <v>76</v>
      </c>
      <c r="L3" s="45" t="s">
        <v>183</v>
      </c>
      <c r="M3" s="45" t="s">
        <v>184</v>
      </c>
      <c r="N3" s="45" t="s">
        <v>185</v>
      </c>
      <c r="O3" s="45" t="s">
        <v>186</v>
      </c>
      <c r="P3" s="45" t="s">
        <v>187</v>
      </c>
      <c r="Q3" s="45" t="s">
        <v>188</v>
      </c>
    </row>
    <row r="4" spans="1:20" x14ac:dyDescent="0.2">
      <c r="A4" s="19" t="s">
        <v>58</v>
      </c>
      <c r="B4" s="6">
        <f>'Purchased Power Model '!B198</f>
        <v>522661540</v>
      </c>
      <c r="C4" s="29">
        <f>'Purchased Power Model '!B199</f>
        <v>497113270</v>
      </c>
      <c r="D4" s="29">
        <f>'Purchased Power Model '!B200</f>
        <v>501185430</v>
      </c>
      <c r="E4" s="29">
        <f>'Purchased Power Model '!B201</f>
        <v>520774860</v>
      </c>
      <c r="F4" s="29">
        <f>'Purchased Power Model '!B202</f>
        <v>488381990</v>
      </c>
      <c r="G4" s="29">
        <f>'Purchased Power Model '!B203</f>
        <v>493927030</v>
      </c>
      <c r="H4" s="29">
        <f>'Purchased Power Model '!B204</f>
        <v>487062910</v>
      </c>
      <c r="I4" s="29">
        <f>'Purchased Power Model '!B205</f>
        <v>419617213.07692301</v>
      </c>
      <c r="J4" s="29">
        <f>'Purchased Power Model '!B206</f>
        <v>443594623.07692289</v>
      </c>
      <c r="K4" s="29">
        <f>'Purchased Power Model '!B207</f>
        <v>451220848.00000006</v>
      </c>
      <c r="L4" s="29">
        <f>'Purchased Power Model '!B208</f>
        <v>421671164.32258064</v>
      </c>
      <c r="M4" s="29">
        <f>'Purchased Power Model '!B209</f>
        <v>415369616</v>
      </c>
      <c r="N4" s="29">
        <f>'Purchased Power Model '!B210</f>
        <v>391554997.00000006</v>
      </c>
      <c r="O4" s="29">
        <f>'Purchased Power Model '!B211</f>
        <v>372480929.99999994</v>
      </c>
    </row>
    <row r="5" spans="1:20" x14ac:dyDescent="0.2">
      <c r="A5" s="19" t="s">
        <v>59</v>
      </c>
      <c r="B5" s="29">
        <f>'Purchased Power Model '!K198</f>
        <v>512066001.0901044</v>
      </c>
      <c r="C5" s="29">
        <f>'Purchased Power Model '!K199</f>
        <v>499914630.07050908</v>
      </c>
      <c r="D5" s="29">
        <f>'Purchased Power Model '!K200</f>
        <v>496315907.5564568</v>
      </c>
      <c r="E5" s="29">
        <f>'Purchased Power Model '!K201</f>
        <v>517404613.21408188</v>
      </c>
      <c r="F5" s="29">
        <f>'Purchased Power Model '!K202</f>
        <v>493428796.72708476</v>
      </c>
      <c r="G5" s="29">
        <f>'Purchased Power Model '!K203</f>
        <v>487595358.62470913</v>
      </c>
      <c r="H5" s="29">
        <f>'Purchased Power Model '!K204</f>
        <v>469216998.90999269</v>
      </c>
      <c r="I5" s="29">
        <f>'Purchased Power Model '!K205</f>
        <v>451597014.00582421</v>
      </c>
      <c r="J5" s="29">
        <f>'Purchased Power Model '!K206</f>
        <v>457705895.51661623</v>
      </c>
      <c r="K5" s="29">
        <f>'Purchased Power Model '!K207</f>
        <v>445772004.81993032</v>
      </c>
      <c r="L5" s="60">
        <f>'Purchased Power Model '!K208</f>
        <v>428204003.91304761</v>
      </c>
      <c r="M5" s="29">
        <f>'Purchased Power Model '!K209</f>
        <v>407493643.81737864</v>
      </c>
      <c r="N5" s="29">
        <f>'Purchased Power Model '!K210</f>
        <v>383405251.21115166</v>
      </c>
      <c r="O5" s="29">
        <f>'Purchased Power Model '!K211</f>
        <v>376496301.999542</v>
      </c>
      <c r="P5" s="29">
        <f ca="1">'Purchased Power Model '!K212</f>
        <v>381003460.21543163</v>
      </c>
      <c r="Q5" s="29">
        <f ca="1">'Purchased Power Model '!K213</f>
        <v>389341214.19716752</v>
      </c>
    </row>
    <row r="6" spans="1:20" x14ac:dyDescent="0.2">
      <c r="A6" s="19" t="s">
        <v>9</v>
      </c>
      <c r="B6" s="44">
        <f t="shared" ref="B6:M6" si="0">(B5-B4)/B4</f>
        <v>-2.027227584010792E-2</v>
      </c>
      <c r="C6" s="44">
        <f t="shared" si="0"/>
        <v>5.6352550607009066E-3</v>
      </c>
      <c r="D6" s="44">
        <f t="shared" si="0"/>
        <v>-9.7160095885931788E-3</v>
      </c>
      <c r="E6" s="44">
        <f t="shared" si="0"/>
        <v>-6.4716003877723985E-3</v>
      </c>
      <c r="F6" s="44">
        <f t="shared" si="0"/>
        <v>1.0333728168568944E-2</v>
      </c>
      <c r="G6" s="44">
        <f t="shared" si="0"/>
        <v>-1.2819042066377438E-2</v>
      </c>
      <c r="H6" s="44">
        <f t="shared" si="0"/>
        <v>-3.6639848207713668E-2</v>
      </c>
      <c r="I6" s="44">
        <f t="shared" si="0"/>
        <v>7.6211842441836986E-2</v>
      </c>
      <c r="J6" s="44">
        <f t="shared" si="0"/>
        <v>3.1811189102818146E-2</v>
      </c>
      <c r="K6" s="44">
        <f t="shared" si="0"/>
        <v>-1.2075778865762301E-2</v>
      </c>
      <c r="L6" s="44">
        <f t="shared" si="0"/>
        <v>1.549273496318406E-2</v>
      </c>
      <c r="M6" s="44">
        <f t="shared" si="0"/>
        <v>-1.8961358460608636E-2</v>
      </c>
      <c r="N6" s="44">
        <f t="shared" ref="N6:O6" si="1">(N5-N4)/N4</f>
        <v>-2.081379589403733E-2</v>
      </c>
      <c r="O6" s="44">
        <f t="shared" si="1"/>
        <v>1.0780074028332292E-2</v>
      </c>
      <c r="P6" s="44"/>
      <c r="Q6" s="44"/>
    </row>
    <row r="7" spans="1:20" x14ac:dyDescent="0.2">
      <c r="A7" s="19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20" x14ac:dyDescent="0.2">
      <c r="A8" s="19" t="s">
        <v>193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47">
        <f>'Rate Class Energy Model'!G86*'Rate Class Energy Model'!F24</f>
        <v>-2109940.2383139702</v>
      </c>
      <c r="Q8" s="147">
        <f>'Rate Class Energy Model'!G87*'Rate Class Energy Model'!F24</f>
        <v>-6483876.5389529942</v>
      </c>
      <c r="S8" s="348"/>
      <c r="T8" s="348"/>
    </row>
    <row r="9" spans="1:20" x14ac:dyDescent="0.2">
      <c r="A9" s="19" t="s">
        <v>194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29">
        <f ca="1">P5+P8</f>
        <v>378893519.97711766</v>
      </c>
      <c r="Q9" s="29">
        <f ca="1">Q5+Q8</f>
        <v>382857337.65821451</v>
      </c>
    </row>
    <row r="10" spans="1:20" x14ac:dyDescent="0.2">
      <c r="A10" s="1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59"/>
    </row>
    <row r="11" spans="1:20" x14ac:dyDescent="0.2">
      <c r="A11" s="19" t="s">
        <v>61</v>
      </c>
      <c r="B11" s="29">
        <f>'Rate Class Energy Model'!G6</f>
        <v>502676915.61999995</v>
      </c>
      <c r="C11" s="29">
        <f>'Rate Class Energy Model'!G7</f>
        <v>477862795.18000001</v>
      </c>
      <c r="D11" s="29">
        <f>'Rate Class Energy Model'!G8</f>
        <v>484141789.55000001</v>
      </c>
      <c r="E11" s="29">
        <f>'Rate Class Energy Model'!G9</f>
        <v>501866998.31999999</v>
      </c>
      <c r="F11" s="29">
        <f>'Rate Class Energy Model'!G10</f>
        <v>476790670.77000004</v>
      </c>
      <c r="G11" s="29">
        <f>'Rate Class Energy Model'!G11</f>
        <v>468834411.74000007</v>
      </c>
      <c r="H11" s="29">
        <f>'Rate Class Energy Model'!G12</f>
        <v>467645348.06999999</v>
      </c>
      <c r="I11" s="29">
        <f>'Rate Class Energy Model'!G13</f>
        <v>397504326.69</v>
      </c>
      <c r="J11" s="29">
        <f>'Rate Class Energy Model'!G14</f>
        <v>425977886.94999999</v>
      </c>
      <c r="K11" s="29">
        <f>'Rate Class Energy Model'!G15</f>
        <v>429972781</v>
      </c>
      <c r="L11" s="29">
        <f>'Rate Class Energy Model'!G16</f>
        <v>405481205.32258064</v>
      </c>
      <c r="M11" s="29">
        <f>'Rate Class Energy Model'!G17</f>
        <v>399002323</v>
      </c>
      <c r="N11" s="29">
        <f>'Rate Class Energy Model'!G18</f>
        <v>380885629</v>
      </c>
      <c r="O11" s="29">
        <f>'Rate Class Energy Model'!G19</f>
        <v>356369056</v>
      </c>
      <c r="P11" s="29">
        <f ca="1">'Rate Class Energy Model'!O69</f>
        <v>363999487.30648959</v>
      </c>
      <c r="Q11" s="29">
        <f ca="1">'Rate Class Energy Model'!O70</f>
        <v>367807490.15589905</v>
      </c>
    </row>
    <row r="12" spans="1:20" x14ac:dyDescent="0.2">
      <c r="A12" s="19"/>
      <c r="B12" s="41"/>
      <c r="C12" s="41"/>
      <c r="D12" s="41"/>
      <c r="E12" s="41"/>
      <c r="F12" s="41"/>
      <c r="G12" s="41"/>
      <c r="I12" s="23"/>
      <c r="J12" s="23"/>
    </row>
    <row r="13" spans="1:20" ht="15.75" x14ac:dyDescent="0.25">
      <c r="A13" s="43" t="s">
        <v>60</v>
      </c>
    </row>
    <row r="14" spans="1:20" x14ac:dyDescent="0.2">
      <c r="A14" s="42" t="str">
        <f>'Rate Class Energy Model'!H2</f>
        <v xml:space="preserve">Residential </v>
      </c>
    </row>
    <row r="15" spans="1:20" x14ac:dyDescent="0.2">
      <c r="A15" t="s">
        <v>47</v>
      </c>
      <c r="B15" s="6">
        <f>'Rate Class Customer Model'!B3</f>
        <v>18178</v>
      </c>
      <c r="C15" s="6">
        <f>'Rate Class Customer Model'!B4</f>
        <v>18297.833333333332</v>
      </c>
      <c r="D15" s="6">
        <f>'Rate Class Customer Model'!B5</f>
        <v>18497.833333333332</v>
      </c>
      <c r="E15" s="6">
        <f>'Rate Class Customer Model'!B6</f>
        <v>18756.166666666668</v>
      </c>
      <c r="F15" s="6">
        <f>'Rate Class Customer Model'!B7</f>
        <v>18914.833333333332</v>
      </c>
      <c r="G15" s="6">
        <f>'Rate Class Customer Model'!B8</f>
        <v>18996.166666666668</v>
      </c>
      <c r="H15" s="6">
        <f>'Rate Class Customer Model'!B9</f>
        <v>19136.5</v>
      </c>
      <c r="I15" s="6">
        <f>'Rate Class Customer Model'!B10</f>
        <v>19277.083333333332</v>
      </c>
      <c r="J15" s="6">
        <f>'Rate Class Customer Model'!B11</f>
        <v>19434.333333333332</v>
      </c>
      <c r="K15" s="6">
        <f>'Rate Class Customer Model'!B12</f>
        <v>19716.902777777785</v>
      </c>
      <c r="L15" s="27">
        <f>'Rate Class Customer Model'!B13</f>
        <v>20109.833333333332</v>
      </c>
      <c r="M15" s="6">
        <f>'Rate Class Customer Model'!B14</f>
        <v>20265.75</v>
      </c>
      <c r="N15" s="6">
        <f>'Rate Class Customer Model'!B15</f>
        <v>20472.166666666668</v>
      </c>
      <c r="O15" s="6">
        <f>'Rate Class Customer Model'!B16</f>
        <v>20635.5</v>
      </c>
      <c r="P15" s="6">
        <f>'Rate Class Customer Model'!B17</f>
        <v>20837.76161408551</v>
      </c>
      <c r="Q15" s="6">
        <f>'Rate Class Customer Model'!B18</f>
        <v>21042.005722442176</v>
      </c>
    </row>
    <row r="16" spans="1:20" x14ac:dyDescent="0.2">
      <c r="A16" t="s">
        <v>48</v>
      </c>
      <c r="B16" s="6">
        <f>'Rate Class Energy Model'!H6</f>
        <v>163758007.56999999</v>
      </c>
      <c r="C16" s="6">
        <f>'Rate Class Energy Model'!H7</f>
        <v>157611433.94999999</v>
      </c>
      <c r="D16" s="6">
        <f>'Rate Class Energy Model'!H8</f>
        <v>158198542.48000002</v>
      </c>
      <c r="E16" s="6">
        <f>'Rate Class Energy Model'!H9</f>
        <v>170925878.90000001</v>
      </c>
      <c r="F16" s="6">
        <f>'Rate Class Energy Model'!H10</f>
        <v>160694398.38</v>
      </c>
      <c r="G16" s="6">
        <f>'Rate Class Energy Model'!H11</f>
        <v>162856079.99000001</v>
      </c>
      <c r="H16" s="6">
        <f>'Rate Class Energy Model'!H12</f>
        <v>157944948.05999997</v>
      </c>
      <c r="I16" s="6">
        <f>'Rate Class Energy Model'!H13</f>
        <v>152428517.84</v>
      </c>
      <c r="J16" s="6">
        <f>'Rate Class Energy Model'!H14</f>
        <v>159733337.50999999</v>
      </c>
      <c r="K16" s="6">
        <f>'Rate Class Energy Model'!H15</f>
        <v>158621921</v>
      </c>
      <c r="L16" s="6">
        <f>'Rate Class Energy Model'!H16</f>
        <v>159179968</v>
      </c>
      <c r="M16" s="6">
        <f>'Rate Class Energy Model'!H17</f>
        <v>158724607</v>
      </c>
      <c r="N16" s="6">
        <f>'Rate Class Energy Model'!H18</f>
        <v>158185053</v>
      </c>
      <c r="O16" s="6">
        <f>'Rate Class Energy Model'!H19</f>
        <v>157973719</v>
      </c>
      <c r="P16" s="6">
        <f ca="1">'Rate Class Energy Model'!H69</f>
        <v>165467235.58405837</v>
      </c>
      <c r="Q16" s="6">
        <f ca="1">'Rate Class Energy Model'!H70</f>
        <v>171404554.63397124</v>
      </c>
    </row>
    <row r="17" spans="1:17" x14ac:dyDescent="0.2">
      <c r="H17" s="50"/>
      <c r="I17" s="23"/>
      <c r="J17" s="23"/>
    </row>
    <row r="18" spans="1:17" x14ac:dyDescent="0.2">
      <c r="A18" s="42" t="str">
        <f>'Rate Class Energy Model'!I2</f>
        <v>General Service 
&lt; 50 kW</v>
      </c>
      <c r="N18" s="6"/>
    </row>
    <row r="19" spans="1:17" x14ac:dyDescent="0.2">
      <c r="A19" t="s">
        <v>47</v>
      </c>
      <c r="B19" s="6">
        <f>'Rate Class Customer Model'!C3</f>
        <v>1679.5</v>
      </c>
      <c r="C19" s="6">
        <f>'Rate Class Customer Model'!C4</f>
        <v>1684.3333333333333</v>
      </c>
      <c r="D19" s="6">
        <f>'Rate Class Customer Model'!C5</f>
        <v>1682.9166666666667</v>
      </c>
      <c r="E19" s="6">
        <f>'Rate Class Customer Model'!C6</f>
        <v>1690.8333333333333</v>
      </c>
      <c r="F19" s="6">
        <f>'Rate Class Customer Model'!C7</f>
        <v>1668</v>
      </c>
      <c r="G19" s="6">
        <f>'Rate Class Customer Model'!C8</f>
        <v>1656.5</v>
      </c>
      <c r="H19" s="6">
        <f>'Rate Class Customer Model'!C9</f>
        <v>1676.25</v>
      </c>
      <c r="I19" s="6">
        <f>'Rate Class Customer Model'!C10</f>
        <v>1690.1666666666667</v>
      </c>
      <c r="J19" s="6">
        <f>'Rate Class Customer Model'!C11</f>
        <v>1690.6666666666667</v>
      </c>
      <c r="K19" s="6">
        <f>'Rate Class Customer Model'!C12</f>
        <v>1690.8055555555559</v>
      </c>
      <c r="L19" s="6">
        <f>'Rate Class Customer Model'!C13</f>
        <v>1698.8333333333333</v>
      </c>
      <c r="M19" s="6">
        <f>'Rate Class Customer Model'!C14</f>
        <v>1698.5</v>
      </c>
      <c r="N19" s="6">
        <f>'Rate Class Customer Model'!C15</f>
        <v>1742.8333333333333</v>
      </c>
      <c r="O19" s="6">
        <f>'Rate Class Customer Model'!C16</f>
        <v>1769.0833333333333</v>
      </c>
      <c r="P19" s="6">
        <f>'Rate Class Customer Model'!C17</f>
        <v>1776.1691097249281</v>
      </c>
      <c r="Q19" s="6">
        <f>'Rate Class Customer Model'!C18</f>
        <v>1783.2832670447278</v>
      </c>
    </row>
    <row r="20" spans="1:17" x14ac:dyDescent="0.2">
      <c r="A20" t="s">
        <v>48</v>
      </c>
      <c r="B20" s="6">
        <f>'Rate Class Energy Model'!I6</f>
        <v>47941435.170000002</v>
      </c>
      <c r="C20" s="6">
        <f>'Rate Class Energy Model'!I7</f>
        <v>46463108.060000002</v>
      </c>
      <c r="D20" s="6">
        <f>'Rate Class Energy Model'!I8</f>
        <v>49935622.290000007</v>
      </c>
      <c r="E20" s="6">
        <f>'Rate Class Energy Model'!I9</f>
        <v>52581299.459999993</v>
      </c>
      <c r="F20" s="6">
        <f>'Rate Class Energy Model'!I10</f>
        <v>50343291.240000002</v>
      </c>
      <c r="G20" s="6">
        <f>'Rate Class Energy Model'!I11</f>
        <v>53416948.359999999</v>
      </c>
      <c r="H20" s="6">
        <f>'Rate Class Energy Model'!I12</f>
        <v>55072082.170000002</v>
      </c>
      <c r="I20" s="6">
        <f>'Rate Class Energy Model'!I13</f>
        <v>54644526.329999998</v>
      </c>
      <c r="J20" s="6">
        <f>'Rate Class Energy Model'!I14</f>
        <v>54184999.660000004</v>
      </c>
      <c r="K20" s="6">
        <f>'Rate Class Energy Model'!I15</f>
        <v>54435719</v>
      </c>
      <c r="L20" s="6">
        <f>'Rate Class Energy Model'!I16</f>
        <v>50022065</v>
      </c>
      <c r="M20" s="6">
        <f>'Rate Class Energy Model'!I17</f>
        <v>52726527</v>
      </c>
      <c r="N20" s="6">
        <f>'Rate Class Energy Model'!I18</f>
        <v>53903009</v>
      </c>
      <c r="O20" s="6">
        <f>'Rate Class Energy Model'!I19</f>
        <v>54312604</v>
      </c>
      <c r="P20" s="6">
        <f ca="1">'Rate Class Energy Model'!I69</f>
        <v>56544967.769856162</v>
      </c>
      <c r="Q20" s="6">
        <f ca="1">'Rate Class Energy Model'!I70</f>
        <v>58177392.791512817</v>
      </c>
    </row>
    <row r="21" spans="1:17" x14ac:dyDescent="0.2">
      <c r="H21" s="50"/>
      <c r="I21" s="23"/>
      <c r="J21" s="23"/>
      <c r="O21" s="6"/>
    </row>
    <row r="22" spans="1:17" x14ac:dyDescent="0.2">
      <c r="A22" s="42" t="str">
        <f>'Rate Class Energy Model'!J2</f>
        <v>General Service 
50 to 
4,999 kW</v>
      </c>
      <c r="M22" s="6"/>
    </row>
    <row r="23" spans="1:17" x14ac:dyDescent="0.2">
      <c r="A23" t="s">
        <v>47</v>
      </c>
      <c r="B23" s="6">
        <f>'Rate Class Customer Model'!D3</f>
        <v>239.41666666666666</v>
      </c>
      <c r="C23" s="6">
        <f>'Rate Class Customer Model'!D4</f>
        <v>235.75</v>
      </c>
      <c r="D23" s="6">
        <f>'Rate Class Customer Model'!D5</f>
        <v>216.5</v>
      </c>
      <c r="E23" s="6">
        <f>'Rate Class Customer Model'!D6</f>
        <v>208</v>
      </c>
      <c r="F23" s="6">
        <f>'Rate Class Customer Model'!D7</f>
        <v>208.5</v>
      </c>
      <c r="G23" s="6">
        <f>'Rate Class Customer Model'!D8</f>
        <v>194.16666666666666</v>
      </c>
      <c r="H23" s="6">
        <f>'Rate Class Customer Model'!D9</f>
        <v>176.25</v>
      </c>
      <c r="I23" s="6">
        <f>'Rate Class Customer Model'!D10</f>
        <v>170.75</v>
      </c>
      <c r="J23" s="6">
        <f>'Rate Class Customer Model'!D11</f>
        <v>172.33333333333334</v>
      </c>
      <c r="K23" s="27">
        <f>'Rate Class Customer Model'!D12</f>
        <v>169.73611111111106</v>
      </c>
      <c r="L23" s="6">
        <f>'Rate Class Customer Model'!D13</f>
        <v>173.25</v>
      </c>
      <c r="M23" s="6">
        <f>'Rate Class Customer Model'!D14</f>
        <v>172.66666666666666</v>
      </c>
      <c r="N23" s="6">
        <f>'Rate Class Customer Model'!D15</f>
        <v>165.41666666666666</v>
      </c>
      <c r="O23" s="6">
        <f>'Rate Class Customer Model'!D16</f>
        <v>158.83333333333334</v>
      </c>
      <c r="P23" s="6">
        <f>'Rate Class Customer Model'!D17</f>
        <v>153.89800099158106</v>
      </c>
      <c r="Q23" s="6">
        <f>'Rate Class Customer Model'!D18</f>
        <v>149.11602125417429</v>
      </c>
    </row>
    <row r="24" spans="1:17" x14ac:dyDescent="0.2">
      <c r="A24" t="s">
        <v>48</v>
      </c>
      <c r="B24" s="6">
        <f>'Rate Class Energy Model'!J6</f>
        <v>220590237.66</v>
      </c>
      <c r="C24" s="6">
        <f>'Rate Class Energy Model'!J7</f>
        <v>148754541.44</v>
      </c>
      <c r="D24" s="6">
        <f>'Rate Class Energy Model'!J8</f>
        <v>145858310.61000001</v>
      </c>
      <c r="E24" s="6">
        <f>'Rate Class Energy Model'!J9</f>
        <v>147125296.04999998</v>
      </c>
      <c r="F24" s="6">
        <f>'Rate Class Energy Model'!J10</f>
        <v>146968682.79000002</v>
      </c>
      <c r="G24" s="6">
        <f>'Rate Class Energy Model'!J11</f>
        <v>163224573.41000003</v>
      </c>
      <c r="H24" s="6">
        <f>'Rate Class Energy Model'!J12</f>
        <v>145113726.81</v>
      </c>
      <c r="I24" s="6">
        <f>'Rate Class Energy Model'!J13</f>
        <v>135381160.95000002</v>
      </c>
      <c r="J24" s="6">
        <f>'Rate Class Energy Model'!J14</f>
        <v>144932476.47</v>
      </c>
      <c r="K24" s="6">
        <f>'Rate Class Energy Model'!J15</f>
        <v>150174158</v>
      </c>
      <c r="L24" s="6">
        <f>'Rate Class Energy Model'!J16</f>
        <v>141440866.32258064</v>
      </c>
      <c r="M24" s="6">
        <f>'Rate Class Energy Model'!J17</f>
        <v>138149957</v>
      </c>
      <c r="N24" s="6">
        <f>'Rate Class Energy Model'!J18</f>
        <v>144192534</v>
      </c>
      <c r="O24" s="6">
        <f>'Rate Class Energy Model'!J19</f>
        <v>139796962</v>
      </c>
      <c r="P24" s="6">
        <f ca="1">'Rate Class Energy Model'!J69</f>
        <v>138810311.48983923</v>
      </c>
      <c r="Q24" s="6">
        <f ca="1">'Rate Class Energy Model'!J70</f>
        <v>135245198.90873027</v>
      </c>
    </row>
    <row r="25" spans="1:17" x14ac:dyDescent="0.2">
      <c r="A25" t="s">
        <v>49</v>
      </c>
      <c r="B25" s="6">
        <f>'Rate Class Load Model'!B2</f>
        <v>551945.62</v>
      </c>
      <c r="C25" s="6">
        <f>'Rate Class Load Model'!B3</f>
        <v>449454.27000000008</v>
      </c>
      <c r="D25" s="6">
        <f>'Rate Class Load Model'!B4</f>
        <v>418532.51999999996</v>
      </c>
      <c r="E25" s="6">
        <f>'Rate Class Load Model'!B5</f>
        <v>415116.47000000003</v>
      </c>
      <c r="F25" s="6">
        <f>'Rate Class Load Model'!B6</f>
        <v>414301.29000000004</v>
      </c>
      <c r="G25" s="6">
        <f>'Rate Class Load Model'!B7</f>
        <v>441184.35</v>
      </c>
      <c r="H25" s="6">
        <f>'Rate Class Load Model'!B8</f>
        <v>417425.21</v>
      </c>
      <c r="I25" s="6">
        <f>'Rate Class Load Model'!B9</f>
        <v>390493.22</v>
      </c>
      <c r="J25" s="27">
        <f>'Rate Class Load Model'!B10</f>
        <v>432238.21</v>
      </c>
      <c r="K25" s="27">
        <f>'Rate Class Load Model'!B11</f>
        <v>417210</v>
      </c>
      <c r="L25" s="27">
        <f>'Rate Class Load Model'!B12</f>
        <v>387769</v>
      </c>
      <c r="M25" s="27">
        <f>'Rate Class Load Model'!B13</f>
        <v>389545</v>
      </c>
      <c r="N25" s="27">
        <f>'Rate Class Load Model'!B14</f>
        <v>402375</v>
      </c>
      <c r="O25" s="27">
        <f>'Rate Class Load Model'!B15</f>
        <v>402768</v>
      </c>
      <c r="P25" s="27">
        <f ca="1">'Rate Class Load Model'!B16</f>
        <v>391552.37561379391</v>
      </c>
      <c r="Q25" s="27">
        <f ca="1">'Rate Class Load Model'!B17</f>
        <v>381496.00238415803</v>
      </c>
    </row>
    <row r="26" spans="1:17" x14ac:dyDescent="0.2">
      <c r="H26" s="50"/>
      <c r="I26" s="23"/>
      <c r="J26" s="23"/>
    </row>
    <row r="27" spans="1:17" x14ac:dyDescent="0.2">
      <c r="A27" s="42" t="str">
        <f>'Rate Class Energy Model'!K2</f>
        <v>Large User</v>
      </c>
      <c r="M27" s="6"/>
    </row>
    <row r="28" spans="1:17" x14ac:dyDescent="0.2">
      <c r="A28" t="s">
        <v>47</v>
      </c>
      <c r="B28" s="6">
        <f>'Rate Class Customer Model'!E3</f>
        <v>1.3333333333333333</v>
      </c>
      <c r="C28" s="6">
        <f>'Rate Class Customer Model'!E4</f>
        <v>2.75</v>
      </c>
      <c r="D28" s="6">
        <f>'Rate Class Customer Model'!E5</f>
        <v>2.8333333333333335</v>
      </c>
      <c r="E28" s="6">
        <f>'Rate Class Customer Model'!E6</f>
        <v>2.8333333333333335</v>
      </c>
      <c r="F28" s="6">
        <f>'Rate Class Customer Model'!E7</f>
        <v>3</v>
      </c>
      <c r="G28" s="6">
        <f>'Rate Class Customer Model'!E8</f>
        <v>2.4166666666666665</v>
      </c>
      <c r="H28" s="6">
        <f>'Rate Class Customer Model'!E9</f>
        <v>2.5</v>
      </c>
      <c r="I28" s="6">
        <f>'Rate Class Customer Model'!E10</f>
        <v>2.5</v>
      </c>
      <c r="J28" s="6">
        <f>'Rate Class Customer Model'!E11</f>
        <v>1.3333333333333333</v>
      </c>
      <c r="K28" s="6">
        <f>'Rate Class Customer Model'!E12</f>
        <v>1</v>
      </c>
      <c r="L28" s="27">
        <f>'Rate Class Customer Model'!E13</f>
        <v>1</v>
      </c>
      <c r="M28" s="6">
        <f>'Rate Class Customer Model'!E14</f>
        <v>1</v>
      </c>
      <c r="N28" s="6">
        <f>'Rate Class Customer Model'!E15</f>
        <v>1</v>
      </c>
      <c r="O28" s="6">
        <f>'Rate Class Customer Model'!E16</f>
        <v>1</v>
      </c>
      <c r="P28" s="6">
        <f>'Rate Class Customer Model'!E17</f>
        <v>0</v>
      </c>
      <c r="Q28" s="6">
        <f>'Rate Class Customer Model'!E18</f>
        <v>0</v>
      </c>
    </row>
    <row r="29" spans="1:17" x14ac:dyDescent="0.2">
      <c r="A29" t="s">
        <v>48</v>
      </c>
      <c r="B29" s="6">
        <f>'Rate Class Energy Model'!K6</f>
        <v>64185900.630000003</v>
      </c>
      <c r="C29" s="6">
        <f>'Rate Class Energy Model'!K7</f>
        <v>118136694</v>
      </c>
      <c r="D29" s="6">
        <f>'Rate Class Energy Model'!K8</f>
        <v>123252607</v>
      </c>
      <c r="E29" s="6">
        <f>'Rate Class Energy Model'!K9</f>
        <v>124361165</v>
      </c>
      <c r="F29" s="6">
        <f>'Rate Class Energy Model'!K10</f>
        <v>111878086</v>
      </c>
      <c r="G29" s="6">
        <f>'Rate Class Energy Model'!K11</f>
        <v>82520777</v>
      </c>
      <c r="H29" s="6">
        <f>'Rate Class Energy Model'!K12</f>
        <v>102682486</v>
      </c>
      <c r="I29" s="6">
        <f>'Rate Class Energy Model'!K13</f>
        <v>48153613</v>
      </c>
      <c r="J29" s="6">
        <f>'Rate Class Energy Model'!K14</f>
        <v>60389409</v>
      </c>
      <c r="K29" s="6">
        <f>'Rate Class Energy Model'!K15</f>
        <v>59993492</v>
      </c>
      <c r="L29" s="6">
        <f>'Rate Class Energy Model'!K16</f>
        <v>48424320</v>
      </c>
      <c r="M29" s="6">
        <f>'Rate Class Energy Model'!K17</f>
        <v>44784691</v>
      </c>
      <c r="N29" s="6">
        <f>'Rate Class Energy Model'!K18</f>
        <v>20367511</v>
      </c>
      <c r="O29" s="6">
        <f>'Rate Class Energy Model'!K19</f>
        <v>277079</v>
      </c>
      <c r="P29" s="6">
        <f ca="1">'Rate Class Energy Model'!K69</f>
        <v>0</v>
      </c>
      <c r="Q29" s="6">
        <f ca="1">'Rate Class Energy Model'!K70</f>
        <v>0</v>
      </c>
    </row>
    <row r="30" spans="1:17" x14ac:dyDescent="0.2">
      <c r="A30" t="s">
        <v>49</v>
      </c>
      <c r="B30" s="6">
        <f>'Rate Class Load Model'!C2</f>
        <v>193768.13</v>
      </c>
      <c r="C30" s="6">
        <f>'Rate Class Load Model'!C3</f>
        <v>293338</v>
      </c>
      <c r="D30" s="6">
        <f>'Rate Class Load Model'!C4</f>
        <v>287801.01</v>
      </c>
      <c r="E30" s="6">
        <f>'Rate Class Load Model'!C5</f>
        <v>296227</v>
      </c>
      <c r="F30" s="6">
        <f>'Rate Class Load Model'!C6</f>
        <v>313394</v>
      </c>
      <c r="G30" s="6">
        <f>'Rate Class Load Model'!C7</f>
        <v>248610</v>
      </c>
      <c r="H30" s="6">
        <f>'Rate Class Load Model'!C8</f>
        <v>271979</v>
      </c>
      <c r="I30" s="6">
        <f>'Rate Class Load Model'!C9</f>
        <v>195437</v>
      </c>
      <c r="J30" s="6">
        <f>'Rate Class Load Model'!C10</f>
        <v>168338</v>
      </c>
      <c r="K30" s="6">
        <f>'Rate Class Load Model'!C11</f>
        <v>170236</v>
      </c>
      <c r="L30" s="6">
        <f>'Rate Class Load Model'!C12</f>
        <v>152573</v>
      </c>
      <c r="M30" s="6">
        <f>'Rate Class Load Model'!C13</f>
        <v>153121</v>
      </c>
      <c r="N30" s="6">
        <f>'Rate Class Load Model'!C14</f>
        <v>59144</v>
      </c>
      <c r="O30" s="6">
        <f>'Rate Class Load Model'!C15</f>
        <v>479</v>
      </c>
      <c r="P30" s="6">
        <f ca="1">'Rate Class Load Model'!C16</f>
        <v>0</v>
      </c>
      <c r="Q30" s="6">
        <f ca="1">'Rate Class Load Model'!C17</f>
        <v>0</v>
      </c>
    </row>
    <row r="32" spans="1:17" x14ac:dyDescent="0.2">
      <c r="A32" s="42" t="str">
        <f>'Rate Class Energy Model'!L2</f>
        <v xml:space="preserve">Street Lights </v>
      </c>
      <c r="M32" s="6"/>
    </row>
    <row r="33" spans="1:17" x14ac:dyDescent="0.2">
      <c r="A33" t="s">
        <v>69</v>
      </c>
      <c r="B33" s="6">
        <f>'Rate Class Customer Model'!F3</f>
        <v>6411.75</v>
      </c>
      <c r="C33" s="6">
        <f>'Rate Class Customer Model'!F4</f>
        <v>6457.5</v>
      </c>
      <c r="D33" s="6">
        <f>'Rate Class Customer Model'!F5</f>
        <v>6471.333333333333</v>
      </c>
      <c r="E33" s="6">
        <f>'Rate Class Customer Model'!F6</f>
        <v>6520.166666666667</v>
      </c>
      <c r="F33" s="6">
        <f>'Rate Class Customer Model'!F7</f>
        <v>6557.75</v>
      </c>
      <c r="G33" s="6">
        <f>'Rate Class Customer Model'!F8</f>
        <v>6610.333333333333</v>
      </c>
      <c r="H33" s="6">
        <f>'Rate Class Customer Model'!F9</f>
        <v>6670.583333333333</v>
      </c>
      <c r="I33" s="6">
        <f>'Rate Class Customer Model'!F10</f>
        <v>6709.416666666667</v>
      </c>
      <c r="J33" s="27">
        <f>'Rate Class Customer Model'!F11</f>
        <v>6737.666666666667</v>
      </c>
      <c r="K33" s="27">
        <f>'Rate Class Customer Model'!F12</f>
        <v>6739</v>
      </c>
      <c r="L33" s="6">
        <f>'Rate Class Customer Model'!F13</f>
        <v>6749.166666666667</v>
      </c>
      <c r="M33" s="6">
        <f>'Rate Class Customer Model'!F14</f>
        <v>6778.916666666667</v>
      </c>
      <c r="N33" s="6">
        <f>'Rate Class Customer Model'!F15</f>
        <v>6784.333333333333</v>
      </c>
      <c r="O33" s="6">
        <f>'Rate Class Customer Model'!F16</f>
        <v>6792.583333333333</v>
      </c>
      <c r="P33" s="6">
        <f>'Rate Class Customer Model'!F17</f>
        <v>6822.798479396517</v>
      </c>
      <c r="Q33" s="6">
        <f>'Rate Class Customer Model'!F18</f>
        <v>6853.1480301488764</v>
      </c>
    </row>
    <row r="34" spans="1:17" x14ac:dyDescent="0.2">
      <c r="A34" t="s">
        <v>48</v>
      </c>
      <c r="B34" s="6">
        <f>'Rate Class Energy Model'!L6</f>
        <v>4578874</v>
      </c>
      <c r="C34" s="6">
        <f>'Rate Class Energy Model'!L7</f>
        <v>4648825</v>
      </c>
      <c r="D34" s="6">
        <f>'Rate Class Energy Model'!L8</f>
        <v>4671053</v>
      </c>
      <c r="E34" s="6">
        <f>'Rate Class Energy Model'!L9</f>
        <v>4673771</v>
      </c>
      <c r="F34" s="6">
        <f>'Rate Class Energy Model'!L10</f>
        <v>4688652</v>
      </c>
      <c r="G34" s="6">
        <f>'Rate Class Energy Model'!L11</f>
        <v>4691239</v>
      </c>
      <c r="H34" s="6">
        <f>'Rate Class Energy Model'!L12</f>
        <v>4724654</v>
      </c>
      <c r="I34" s="6">
        <f>'Rate Class Energy Model'!L13</f>
        <v>4691957</v>
      </c>
      <c r="J34" s="6">
        <f>'Rate Class Energy Model'!L14</f>
        <v>4700576</v>
      </c>
      <c r="K34" s="6">
        <f>'Rate Class Energy Model'!L15</f>
        <v>4730347</v>
      </c>
      <c r="L34" s="6">
        <f>'Rate Class Energy Model'!L16</f>
        <v>4479319</v>
      </c>
      <c r="M34" s="6">
        <f>'Rate Class Energy Model'!L17</f>
        <v>2844301</v>
      </c>
      <c r="N34" s="6">
        <f>'Rate Class Energy Model'!L18</f>
        <v>2503378</v>
      </c>
      <c r="O34" s="6">
        <f>'Rate Class Energy Model'!L19</f>
        <v>2284687</v>
      </c>
      <c r="P34" s="6">
        <f ca="1">'Rate Class Energy Model'!L69</f>
        <v>1465918</v>
      </c>
      <c r="Q34" s="6">
        <f ca="1">'Rate Class Energy Model'!L70</f>
        <v>1282066.9999999998</v>
      </c>
    </row>
    <row r="35" spans="1:17" x14ac:dyDescent="0.2">
      <c r="A35" t="s">
        <v>49</v>
      </c>
      <c r="B35" s="6">
        <f>'Rate Class Load Model'!D2</f>
        <v>11856.554</v>
      </c>
      <c r="C35" s="6">
        <f>'Rate Class Load Model'!D3</f>
        <v>12974.98</v>
      </c>
      <c r="D35" s="6">
        <f>'Rate Class Load Model'!D4</f>
        <v>13023.570000000002</v>
      </c>
      <c r="E35" s="6">
        <f>'Rate Class Load Model'!D5</f>
        <v>13038.970000000003</v>
      </c>
      <c r="F35" s="6">
        <f>'Rate Class Load Model'!D6</f>
        <v>13083.960000000001</v>
      </c>
      <c r="G35" s="6">
        <f>'Rate Class Load Model'!D7</f>
        <v>13085.879999999997</v>
      </c>
      <c r="H35" s="6">
        <f>'Rate Class Load Model'!D8</f>
        <v>13186.060000000001</v>
      </c>
      <c r="I35" s="6">
        <f>'Rate Class Load Model'!D9</f>
        <v>13091.060000000001</v>
      </c>
      <c r="J35" s="27">
        <f>'Rate Class Load Model'!D10</f>
        <v>13118.889999999998</v>
      </c>
      <c r="K35" s="27">
        <f>'Rate Class Load Model'!D11</f>
        <v>13148</v>
      </c>
      <c r="L35" s="27">
        <f>'Rate Class Load Model'!D12</f>
        <v>12420</v>
      </c>
      <c r="M35" s="27">
        <f>'Rate Class Load Model'!D13</f>
        <v>7923</v>
      </c>
      <c r="N35" s="27">
        <f>'Rate Class Load Model'!D14</f>
        <v>6992</v>
      </c>
      <c r="O35" s="27">
        <f>'Rate Class Load Model'!D15</f>
        <v>6476</v>
      </c>
      <c r="P35" s="27">
        <f ca="1">'Rate Class Load Model'!D16</f>
        <v>4070.6096700016819</v>
      </c>
      <c r="Q35" s="27">
        <f ca="1">'Rate Class Load Model'!D17</f>
        <v>3560.0861220000338</v>
      </c>
    </row>
    <row r="37" spans="1:17" x14ac:dyDescent="0.2">
      <c r="A37" s="42" t="str">
        <f>'Rate Class Energy Model'!M2</f>
        <v>Sentinel Lights</v>
      </c>
    </row>
    <row r="38" spans="1:17" x14ac:dyDescent="0.2">
      <c r="A38" t="s">
        <v>69</v>
      </c>
      <c r="B38" s="6">
        <f>'Rate Class Customer Model'!G3</f>
        <v>765</v>
      </c>
      <c r="C38" s="6">
        <f>'Rate Class Customer Model'!G4</f>
        <v>758.08333333333337</v>
      </c>
      <c r="D38" s="6">
        <f>'Rate Class Customer Model'!G5</f>
        <v>750.41666666666663</v>
      </c>
      <c r="E38" s="6">
        <f>'Rate Class Customer Model'!G6</f>
        <v>739.25</v>
      </c>
      <c r="F38" s="6">
        <f>'Rate Class Customer Model'!G7</f>
        <v>732.41666666666663</v>
      </c>
      <c r="G38" s="6">
        <f>'Rate Class Customer Model'!G8</f>
        <v>704.41666666666663</v>
      </c>
      <c r="H38" s="6">
        <f>'Rate Class Customer Model'!G9</f>
        <v>689</v>
      </c>
      <c r="I38" s="6">
        <f>'Rate Class Customer Model'!G10</f>
        <v>679.66666666666663</v>
      </c>
      <c r="J38" s="27">
        <f>'Rate Class Customer Model'!G11</f>
        <v>679.16666666666663</v>
      </c>
      <c r="K38" s="27">
        <f>'Rate Class Customer Model'!G12</f>
        <v>663.28472222222206</v>
      </c>
      <c r="L38" s="6">
        <f>'Rate Class Customer Model'!G13</f>
        <v>626.84577546296293</v>
      </c>
      <c r="M38" s="6">
        <f>'Rate Class Customer Model'!G14</f>
        <v>580.25</v>
      </c>
      <c r="N38" s="6">
        <f>'Rate Class Customer Model'!G15</f>
        <v>519.16666666666663</v>
      </c>
      <c r="O38" s="6">
        <f>'Rate Class Customer Model'!G16</f>
        <v>515.08333333333337</v>
      </c>
      <c r="P38" s="6">
        <f>'Rate Class Customer Model'!G17</f>
        <v>515.08333333333337</v>
      </c>
      <c r="Q38" s="6">
        <f>'Rate Class Customer Model'!G18</f>
        <v>515.08333333333337</v>
      </c>
    </row>
    <row r="39" spans="1:17" x14ac:dyDescent="0.2">
      <c r="A39" t="s">
        <v>48</v>
      </c>
      <c r="B39" s="6">
        <f>'Rate Class Energy Model'!M6</f>
        <v>608624.5</v>
      </c>
      <c r="C39" s="6">
        <f>'Rate Class Energy Model'!M7</f>
        <v>1025570.6699999999</v>
      </c>
      <c r="D39" s="6">
        <f>'Rate Class Energy Model'!M8</f>
        <v>1029431.6400000001</v>
      </c>
      <c r="E39" s="6">
        <f>'Rate Class Energy Model'!M9</f>
        <v>999999.72</v>
      </c>
      <c r="F39" s="6">
        <f>'Rate Class Energy Model'!M10</f>
        <v>1010962.7199999999</v>
      </c>
      <c r="G39" s="6">
        <f>'Rate Class Energy Model'!M11</f>
        <v>980631.10999999975</v>
      </c>
      <c r="H39" s="6">
        <f>'Rate Class Energy Model'!M12</f>
        <v>949655.42</v>
      </c>
      <c r="I39" s="6">
        <f>'Rate Class Energy Model'!M13</f>
        <v>1052725.24</v>
      </c>
      <c r="J39" s="6">
        <f>'Rate Class Energy Model'!M14</f>
        <v>908961.79999999993</v>
      </c>
      <c r="K39" s="6">
        <f>'Rate Class Energy Model'!M15</f>
        <v>894240</v>
      </c>
      <c r="L39" s="6">
        <f>'Rate Class Energy Model'!M16</f>
        <v>849278</v>
      </c>
      <c r="M39" s="6">
        <f>'Rate Class Energy Model'!M17</f>
        <v>782990</v>
      </c>
      <c r="N39" s="6">
        <f>'Rate Class Energy Model'!M18</f>
        <v>767199</v>
      </c>
      <c r="O39" s="6">
        <f>'Rate Class Energy Model'!M19</f>
        <v>753964</v>
      </c>
      <c r="P39" s="6">
        <f ca="1">'Rate Class Energy Model'!M69</f>
        <v>753964</v>
      </c>
      <c r="Q39" s="6">
        <f ca="1">'Rate Class Energy Model'!M70</f>
        <v>753964</v>
      </c>
    </row>
    <row r="40" spans="1:17" x14ac:dyDescent="0.2">
      <c r="A40" t="s">
        <v>49</v>
      </c>
      <c r="B40" s="6">
        <f>'Rate Class Load Model'!E2</f>
        <v>2536</v>
      </c>
      <c r="C40" s="6">
        <f>'Rate Class Load Model'!E3</f>
        <v>2928.96</v>
      </c>
      <c r="D40" s="6">
        <f>'Rate Class Load Model'!E4</f>
        <v>3192.2000000000003</v>
      </c>
      <c r="E40" s="6">
        <f>'Rate Class Load Model'!E5</f>
        <v>2843.5</v>
      </c>
      <c r="F40" s="6">
        <f>'Rate Class Load Model'!E6</f>
        <v>2812.06</v>
      </c>
      <c r="G40" s="6">
        <f>'Rate Class Load Model'!E7</f>
        <v>3041.58</v>
      </c>
      <c r="H40" s="6">
        <f>'Rate Class Load Model'!E8</f>
        <v>2690.21</v>
      </c>
      <c r="I40" s="6">
        <f>'Rate Class Load Model'!E9</f>
        <v>3630.8800000000006</v>
      </c>
      <c r="J40" s="6">
        <f>'Rate Class Load Model'!E10</f>
        <v>2816.28</v>
      </c>
      <c r="K40" s="6">
        <f>'Rate Class Load Model'!E11</f>
        <v>2462</v>
      </c>
      <c r="L40" s="6">
        <f>'Rate Class Load Model'!E12</f>
        <v>2331</v>
      </c>
      <c r="M40" s="6">
        <f>'Rate Class Load Model'!E13</f>
        <v>2186</v>
      </c>
      <c r="N40" s="6">
        <f>'Rate Class Load Model'!E14</f>
        <v>2120</v>
      </c>
      <c r="O40" s="6">
        <f>'Rate Class Load Model'!E15</f>
        <v>2077</v>
      </c>
      <c r="P40" s="6">
        <f>'Rate Class Load Model'!E16</f>
        <v>2077</v>
      </c>
      <c r="Q40" s="6">
        <f>'Rate Class Load Model'!E17</f>
        <v>2077</v>
      </c>
    </row>
    <row r="42" spans="1:17" x14ac:dyDescent="0.2">
      <c r="A42" s="42" t="str">
        <f>'Rate Class Energy Model'!N2</f>
        <v xml:space="preserve">Unmetered Scattered Loads </v>
      </c>
      <c r="M42" s="6"/>
    </row>
    <row r="43" spans="1:17" x14ac:dyDescent="0.2">
      <c r="A43" t="s">
        <v>69</v>
      </c>
      <c r="B43" s="6">
        <f>'Rate Class Customer Model'!H3</f>
        <v>225.25</v>
      </c>
      <c r="C43" s="6">
        <f>'Rate Class Customer Model'!H4</f>
        <v>228.58333333333334</v>
      </c>
      <c r="D43" s="6">
        <f>'Rate Class Customer Model'!H5</f>
        <v>232.41666666666666</v>
      </c>
      <c r="E43" s="6">
        <f>'Rate Class Customer Model'!H6</f>
        <v>234</v>
      </c>
      <c r="F43" s="6">
        <f>'Rate Class Customer Model'!H7</f>
        <v>232.58333333333334</v>
      </c>
      <c r="G43" s="6">
        <f>'Rate Class Customer Model'!H8</f>
        <v>231.66666666666666</v>
      </c>
      <c r="H43" s="6">
        <f>'Rate Class Customer Model'!H9</f>
        <v>232</v>
      </c>
      <c r="I43" s="6">
        <f>'Rate Class Customer Model'!H10</f>
        <v>230.5</v>
      </c>
      <c r="J43" s="6">
        <f>'Rate Class Customer Model'!H11</f>
        <v>227.25</v>
      </c>
      <c r="K43" s="6">
        <f>'Rate Class Customer Model'!H12</f>
        <v>226.32291666666671</v>
      </c>
      <c r="L43" s="27">
        <f>'Rate Class Customer Model'!H13</f>
        <v>220.70008680555566</v>
      </c>
      <c r="M43" s="6">
        <f>'Rate Class Customer Model'!H14</f>
        <v>235.5</v>
      </c>
      <c r="N43" s="6">
        <f>'Rate Class Customer Model'!H15</f>
        <v>259.33333333333331</v>
      </c>
      <c r="O43" s="6">
        <f>'Rate Class Customer Model'!H16</f>
        <v>256.66666666666669</v>
      </c>
      <c r="P43" s="6">
        <f>'Rate Class Customer Model'!H17</f>
        <v>256.66666666666669</v>
      </c>
      <c r="Q43" s="6">
        <f>'Rate Class Customer Model'!H18</f>
        <v>256.66666666666669</v>
      </c>
    </row>
    <row r="44" spans="1:17" x14ac:dyDescent="0.2">
      <c r="A44" t="s">
        <v>48</v>
      </c>
      <c r="B44" s="6">
        <f>'Rate Class Energy Model'!N6</f>
        <v>1013836.09</v>
      </c>
      <c r="C44" s="6">
        <f>'Rate Class Energy Model'!N7</f>
        <v>1222622.06</v>
      </c>
      <c r="D44" s="6">
        <f>'Rate Class Energy Model'!N8</f>
        <v>1196222.5299999998</v>
      </c>
      <c r="E44" s="6">
        <f>'Rate Class Energy Model'!N9</f>
        <v>1199588.1900000002</v>
      </c>
      <c r="F44" s="6">
        <f>'Rate Class Energy Model'!N10</f>
        <v>1206597.6399999999</v>
      </c>
      <c r="G44" s="6">
        <f>'Rate Class Energy Model'!N11</f>
        <v>1144162.8699999999</v>
      </c>
      <c r="H44" s="6">
        <f>'Rate Class Energy Model'!N12</f>
        <v>1157795.6099999999</v>
      </c>
      <c r="I44" s="6">
        <f>'Rate Class Energy Model'!N13</f>
        <v>1151826.33</v>
      </c>
      <c r="J44" s="6">
        <f>'Rate Class Energy Model'!N14</f>
        <v>1128126.51</v>
      </c>
      <c r="K44" s="6">
        <f>'Rate Class Energy Model'!N15</f>
        <v>1122904</v>
      </c>
      <c r="L44" s="6">
        <f>'Rate Class Energy Model'!N16</f>
        <v>1085389</v>
      </c>
      <c r="M44" s="6">
        <f>'Rate Class Energy Model'!N17</f>
        <v>989250</v>
      </c>
      <c r="N44" s="6">
        <f>'Rate Class Energy Model'!N18</f>
        <v>966945</v>
      </c>
      <c r="O44" s="6">
        <f>'Rate Class Energy Model'!N19</f>
        <v>970041</v>
      </c>
      <c r="P44" s="6">
        <f ca="1">'Rate Class Energy Model'!N69</f>
        <v>957090.46273582941</v>
      </c>
      <c r="Q44" s="6">
        <f ca="1">'Rate Class Energy Model'!N70</f>
        <v>944312.82168473722</v>
      </c>
    </row>
    <row r="45" spans="1:17" x14ac:dyDescent="0.2">
      <c r="O45" s="6"/>
    </row>
    <row r="46" spans="1:17" x14ac:dyDescent="0.2">
      <c r="A46" s="42" t="s">
        <v>70</v>
      </c>
      <c r="B46" s="6"/>
      <c r="C46" s="6"/>
      <c r="D46" s="6"/>
      <c r="E46" s="6"/>
      <c r="F46" s="6"/>
      <c r="H46" s="6"/>
      <c r="I46" s="6"/>
      <c r="J46" s="6"/>
      <c r="K46" s="6"/>
      <c r="L46" s="27"/>
    </row>
    <row r="47" spans="1:17" x14ac:dyDescent="0.2">
      <c r="A47" t="s">
        <v>57</v>
      </c>
      <c r="B47" s="6">
        <f>SUM(B15+B19+B23+B28+B33+B38+B43)</f>
        <v>27500.25</v>
      </c>
      <c r="C47" s="6">
        <f t="shared" ref="C47:Q47" si="2">SUM(C15+C19+C23+C28+C33+C38+C43)</f>
        <v>27664.833333333328</v>
      </c>
      <c r="D47" s="6">
        <f t="shared" si="2"/>
        <v>27854.25</v>
      </c>
      <c r="E47" s="6">
        <f t="shared" si="2"/>
        <v>28151.25</v>
      </c>
      <c r="F47" s="6">
        <f t="shared" si="2"/>
        <v>28317.083333333332</v>
      </c>
      <c r="G47" s="6">
        <f t="shared" si="2"/>
        <v>28395.666666666672</v>
      </c>
      <c r="H47" s="6">
        <f t="shared" si="2"/>
        <v>28583.083333333332</v>
      </c>
      <c r="I47" s="6">
        <f t="shared" si="2"/>
        <v>28760.083333333336</v>
      </c>
      <c r="J47" s="6">
        <f t="shared" si="2"/>
        <v>28942.75</v>
      </c>
      <c r="K47" s="6">
        <f t="shared" si="2"/>
        <v>29207.052083333339</v>
      </c>
      <c r="L47" s="6">
        <f t="shared" si="2"/>
        <v>29579.62919560185</v>
      </c>
      <c r="M47" s="6">
        <f t="shared" si="2"/>
        <v>29732.583333333336</v>
      </c>
      <c r="N47" s="6">
        <f t="shared" si="2"/>
        <v>29944.25</v>
      </c>
      <c r="O47" s="6">
        <f t="shared" si="2"/>
        <v>30128.749999999996</v>
      </c>
      <c r="P47" s="6">
        <f t="shared" si="2"/>
        <v>30362.377204198536</v>
      </c>
      <c r="Q47" s="6">
        <f t="shared" si="2"/>
        <v>30599.303040889954</v>
      </c>
    </row>
    <row r="48" spans="1:17" x14ac:dyDescent="0.2">
      <c r="A48" t="s">
        <v>48</v>
      </c>
      <c r="B48" s="6">
        <f>SUM(B16+B20+B24+B29+B34+B39+B44)</f>
        <v>502676915.61999995</v>
      </c>
      <c r="C48" s="6">
        <f t="shared" ref="C48:Q48" si="3">SUM(C16+C20+C24+C29+C34+C39+C44)</f>
        <v>477862795.18000001</v>
      </c>
      <c r="D48" s="6">
        <f t="shared" si="3"/>
        <v>484141789.55000001</v>
      </c>
      <c r="E48" s="6">
        <f t="shared" si="3"/>
        <v>501866998.31999999</v>
      </c>
      <c r="F48" s="6">
        <f t="shared" si="3"/>
        <v>476790670.77000004</v>
      </c>
      <c r="G48" s="6">
        <f t="shared" si="3"/>
        <v>468834411.74000007</v>
      </c>
      <c r="H48" s="6">
        <f t="shared" si="3"/>
        <v>467645348.06999999</v>
      </c>
      <c r="I48" s="6">
        <f t="shared" si="3"/>
        <v>397504326.69</v>
      </c>
      <c r="J48" s="6">
        <f t="shared" si="3"/>
        <v>425977886.94999999</v>
      </c>
      <c r="K48" s="6">
        <f t="shared" si="3"/>
        <v>429972781</v>
      </c>
      <c r="L48" s="6">
        <f t="shared" si="3"/>
        <v>405481205.32258064</v>
      </c>
      <c r="M48" s="6">
        <f t="shared" si="3"/>
        <v>399002323</v>
      </c>
      <c r="N48" s="6">
        <f t="shared" si="3"/>
        <v>380885629</v>
      </c>
      <c r="O48" s="6">
        <f t="shared" si="3"/>
        <v>356369056</v>
      </c>
      <c r="P48" s="6">
        <f t="shared" ca="1" si="3"/>
        <v>363999487.30648959</v>
      </c>
      <c r="Q48" s="6">
        <f t="shared" ca="1" si="3"/>
        <v>367807490.15589905</v>
      </c>
    </row>
    <row r="49" spans="1:17" x14ac:dyDescent="0.2">
      <c r="A49" t="s">
        <v>56</v>
      </c>
      <c r="B49" s="6">
        <f>SUM(B25+B30+B35+B40)</f>
        <v>760106.304</v>
      </c>
      <c r="C49" s="6">
        <f t="shared" ref="C49:Q49" si="4">SUM(C25+C30+C35+C40)</f>
        <v>758696.21</v>
      </c>
      <c r="D49" s="6">
        <f t="shared" si="4"/>
        <v>722549.29999999993</v>
      </c>
      <c r="E49" s="6">
        <f t="shared" si="4"/>
        <v>727225.94</v>
      </c>
      <c r="F49" s="6">
        <f t="shared" si="4"/>
        <v>743591.31</v>
      </c>
      <c r="G49" s="6">
        <f t="shared" si="4"/>
        <v>705921.80999999994</v>
      </c>
      <c r="H49" s="6">
        <f t="shared" si="4"/>
        <v>705280.48</v>
      </c>
      <c r="I49" s="6">
        <f t="shared" si="4"/>
        <v>602652.16000000003</v>
      </c>
      <c r="J49" s="6">
        <f t="shared" si="4"/>
        <v>616511.38</v>
      </c>
      <c r="K49" s="6">
        <f t="shared" si="4"/>
        <v>603056</v>
      </c>
      <c r="L49" s="6">
        <f t="shared" si="4"/>
        <v>555093</v>
      </c>
      <c r="M49" s="6">
        <f t="shared" si="4"/>
        <v>552775</v>
      </c>
      <c r="N49" s="6">
        <f t="shared" si="4"/>
        <v>470631</v>
      </c>
      <c r="O49" s="6">
        <f t="shared" si="4"/>
        <v>411800</v>
      </c>
      <c r="P49" s="6">
        <f t="shared" ca="1" si="4"/>
        <v>397699.98528379557</v>
      </c>
      <c r="Q49" s="6">
        <f t="shared" ca="1" si="4"/>
        <v>387133.08850615803</v>
      </c>
    </row>
    <row r="51" spans="1:17" x14ac:dyDescent="0.2">
      <c r="A51" s="42" t="s">
        <v>71</v>
      </c>
      <c r="M51" s="6"/>
    </row>
    <row r="52" spans="1:17" x14ac:dyDescent="0.2">
      <c r="A52" t="s">
        <v>57</v>
      </c>
      <c r="B52" s="6">
        <f>'Rate Class Customer Model'!I3</f>
        <v>27500.25</v>
      </c>
      <c r="C52" s="6">
        <f>'Rate Class Customer Model'!I4</f>
        <v>27664.833333333328</v>
      </c>
      <c r="D52" s="6">
        <f>'Rate Class Customer Model'!I5</f>
        <v>27854.25</v>
      </c>
      <c r="E52" s="6">
        <f>'Rate Class Customer Model'!I6</f>
        <v>28151.25</v>
      </c>
      <c r="F52" s="6">
        <f>'Rate Class Customer Model'!I7</f>
        <v>28317.083333333332</v>
      </c>
      <c r="G52" s="6">
        <f>'Rate Class Customer Model'!I8</f>
        <v>28395.666666666672</v>
      </c>
      <c r="H52" s="6">
        <f>'Rate Class Customer Model'!I9</f>
        <v>28583.083333333332</v>
      </c>
      <c r="I52" s="6">
        <f>'Rate Class Customer Model'!I10</f>
        <v>28760.083333333336</v>
      </c>
      <c r="J52" s="6">
        <f>'Rate Class Customer Model'!I11</f>
        <v>28942.75</v>
      </c>
      <c r="K52" s="6">
        <f>'Rate Class Customer Model'!I12</f>
        <v>29207.052083333339</v>
      </c>
      <c r="L52" s="6">
        <f>'Rate Class Customer Model'!I13</f>
        <v>29579.62919560185</v>
      </c>
      <c r="M52" s="6">
        <f>'Rate Class Customer Model'!I14</f>
        <v>29732.583333333336</v>
      </c>
      <c r="N52" s="6">
        <f>'Rate Class Customer Model'!I15</f>
        <v>29944.25</v>
      </c>
      <c r="O52" s="6">
        <f>'Rate Class Customer Model'!I16</f>
        <v>30128.749999999996</v>
      </c>
      <c r="P52" s="6">
        <f>'Rate Class Customer Model'!I17</f>
        <v>30362.377204198536</v>
      </c>
      <c r="Q52" s="6">
        <f>'Rate Class Customer Model'!I18</f>
        <v>30599.303040889954</v>
      </c>
    </row>
    <row r="53" spans="1:17" x14ac:dyDescent="0.2">
      <c r="A53" t="s">
        <v>48</v>
      </c>
      <c r="B53" s="6">
        <f>'Rate Class Energy Model'!G6</f>
        <v>502676915.61999995</v>
      </c>
      <c r="C53" s="6">
        <f>'Rate Class Energy Model'!G7</f>
        <v>477862795.18000001</v>
      </c>
      <c r="D53" s="6">
        <f>'Rate Class Energy Model'!G8</f>
        <v>484141789.55000001</v>
      </c>
      <c r="E53" s="6">
        <f>'Rate Class Energy Model'!G9</f>
        <v>501866998.31999999</v>
      </c>
      <c r="F53" s="6">
        <f>'Rate Class Energy Model'!G10</f>
        <v>476790670.77000004</v>
      </c>
      <c r="G53" s="6">
        <f>'Rate Class Energy Model'!G11</f>
        <v>468834411.74000007</v>
      </c>
      <c r="H53" s="6">
        <f>'Rate Class Energy Model'!G12</f>
        <v>467645348.06999999</v>
      </c>
      <c r="I53" s="6">
        <f>'Rate Class Energy Model'!G13</f>
        <v>397504326.69</v>
      </c>
      <c r="J53" s="6">
        <f>'Rate Class Energy Model'!G14</f>
        <v>425977886.94999999</v>
      </c>
      <c r="K53" s="6">
        <f>'Rate Class Energy Model'!G15</f>
        <v>429972781</v>
      </c>
      <c r="L53" s="6">
        <f>'Rate Class Energy Model'!G16</f>
        <v>405481205.32258064</v>
      </c>
      <c r="M53" s="6">
        <f>'Rate Class Energy Model'!G17</f>
        <v>399002323</v>
      </c>
      <c r="N53" s="6">
        <f>'Rate Class Energy Model'!G18</f>
        <v>380885629</v>
      </c>
      <c r="O53" s="6">
        <f>'Rate Class Energy Model'!G19</f>
        <v>356369056</v>
      </c>
      <c r="P53" s="6">
        <f ca="1">'Rate Class Energy Model'!O69</f>
        <v>363999487.30648959</v>
      </c>
      <c r="Q53" s="6">
        <f ca="1">'Rate Class Energy Model'!O70</f>
        <v>367807490.15589905</v>
      </c>
    </row>
    <row r="54" spans="1:17" x14ac:dyDescent="0.2">
      <c r="A54" t="s">
        <v>56</v>
      </c>
      <c r="B54" s="6">
        <f>'Rate Class Load Model'!F2</f>
        <v>760106.304</v>
      </c>
      <c r="C54" s="6">
        <f>'Rate Class Load Model'!F3</f>
        <v>758696.21</v>
      </c>
      <c r="D54" s="6">
        <f>'Rate Class Load Model'!F4</f>
        <v>722549.29999999993</v>
      </c>
      <c r="E54" s="6">
        <f>'Rate Class Load Model'!F5</f>
        <v>727225.94</v>
      </c>
      <c r="F54" s="6">
        <f>'Rate Class Load Model'!F6</f>
        <v>743591.31</v>
      </c>
      <c r="G54" s="6">
        <f>'Rate Class Load Model'!F7</f>
        <v>705921.80999999994</v>
      </c>
      <c r="H54" s="6">
        <f>'Rate Class Load Model'!F8</f>
        <v>705280.48</v>
      </c>
      <c r="I54" s="6">
        <f>'Rate Class Load Model'!F9</f>
        <v>602652.16000000003</v>
      </c>
      <c r="J54" s="27">
        <f>'Rate Class Load Model'!F10</f>
        <v>616511.38</v>
      </c>
      <c r="K54" s="27">
        <f>'Rate Class Load Model'!F11</f>
        <v>603056</v>
      </c>
      <c r="L54" s="27">
        <f>'Rate Class Load Model'!F12</f>
        <v>555093</v>
      </c>
      <c r="M54" s="27">
        <f>'Rate Class Load Model'!F13</f>
        <v>552775</v>
      </c>
      <c r="N54" s="27">
        <f>'Rate Class Load Model'!F14</f>
        <v>470631</v>
      </c>
      <c r="O54" s="27">
        <f>'Rate Class Load Model'!F15</f>
        <v>411800</v>
      </c>
      <c r="P54" s="27">
        <f ca="1">'Rate Class Load Model'!F16</f>
        <v>397699.98528379557</v>
      </c>
      <c r="Q54" s="27">
        <f ca="1">'Rate Class Load Model'!F17</f>
        <v>387133.08850615803</v>
      </c>
    </row>
    <row r="56" spans="1:17" x14ac:dyDescent="0.2">
      <c r="A56" s="42" t="s">
        <v>72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7" x14ac:dyDescent="0.2">
      <c r="A57" t="s">
        <v>57</v>
      </c>
      <c r="B57" s="6">
        <f t="shared" ref="B57:B59" si="5">B47-B52</f>
        <v>0</v>
      </c>
      <c r="C57" s="6">
        <f t="shared" ref="C57:Q57" si="6">C47-C52</f>
        <v>0</v>
      </c>
      <c r="D57" s="6">
        <f t="shared" si="6"/>
        <v>0</v>
      </c>
      <c r="E57" s="6">
        <f t="shared" si="6"/>
        <v>0</v>
      </c>
      <c r="F57" s="6">
        <f t="shared" si="6"/>
        <v>0</v>
      </c>
      <c r="G57" s="6">
        <f t="shared" si="6"/>
        <v>0</v>
      </c>
      <c r="H57" s="6">
        <f t="shared" si="6"/>
        <v>0</v>
      </c>
      <c r="I57" s="6">
        <f t="shared" si="6"/>
        <v>0</v>
      </c>
      <c r="J57" s="6">
        <f t="shared" si="6"/>
        <v>0</v>
      </c>
      <c r="K57" s="6">
        <f t="shared" si="6"/>
        <v>0</v>
      </c>
      <c r="L57" s="6">
        <f t="shared" si="6"/>
        <v>0</v>
      </c>
      <c r="M57" s="6">
        <f t="shared" si="6"/>
        <v>0</v>
      </c>
      <c r="N57" s="6">
        <f t="shared" si="6"/>
        <v>0</v>
      </c>
      <c r="O57" s="6">
        <f t="shared" si="6"/>
        <v>0</v>
      </c>
      <c r="P57" s="6">
        <f t="shared" si="6"/>
        <v>0</v>
      </c>
      <c r="Q57" s="6">
        <f t="shared" si="6"/>
        <v>0</v>
      </c>
    </row>
    <row r="58" spans="1:17" x14ac:dyDescent="0.2">
      <c r="A58" t="s">
        <v>48</v>
      </c>
      <c r="B58" s="6">
        <f t="shared" si="5"/>
        <v>0</v>
      </c>
      <c r="C58" s="6">
        <f t="shared" ref="C58:Q58" si="7">C48-C53</f>
        <v>0</v>
      </c>
      <c r="D58" s="6">
        <f t="shared" si="7"/>
        <v>0</v>
      </c>
      <c r="E58" s="6">
        <f t="shared" si="7"/>
        <v>0</v>
      </c>
      <c r="F58" s="6">
        <f t="shared" si="7"/>
        <v>0</v>
      </c>
      <c r="G58" s="6">
        <f t="shared" si="7"/>
        <v>0</v>
      </c>
      <c r="H58" s="6">
        <f t="shared" si="7"/>
        <v>0</v>
      </c>
      <c r="I58" s="6">
        <f t="shared" si="7"/>
        <v>0</v>
      </c>
      <c r="J58" s="6">
        <f t="shared" si="7"/>
        <v>0</v>
      </c>
      <c r="K58" s="6">
        <f t="shared" si="7"/>
        <v>0</v>
      </c>
      <c r="L58" s="6">
        <f t="shared" si="7"/>
        <v>0</v>
      </c>
      <c r="M58" s="6">
        <f t="shared" si="7"/>
        <v>0</v>
      </c>
      <c r="N58" s="6">
        <f t="shared" si="7"/>
        <v>0</v>
      </c>
      <c r="O58" s="6">
        <f t="shared" si="7"/>
        <v>0</v>
      </c>
      <c r="P58" s="6">
        <f t="shared" ca="1" si="7"/>
        <v>0</v>
      </c>
      <c r="Q58" s="6">
        <f t="shared" ca="1" si="7"/>
        <v>0</v>
      </c>
    </row>
    <row r="59" spans="1:17" x14ac:dyDescent="0.2">
      <c r="A59" t="s">
        <v>56</v>
      </c>
      <c r="B59" s="6">
        <f t="shared" si="5"/>
        <v>0</v>
      </c>
      <c r="C59" s="6">
        <f t="shared" ref="C59:Q59" si="8">C49-C54</f>
        <v>0</v>
      </c>
      <c r="D59" s="6">
        <f t="shared" si="8"/>
        <v>0</v>
      </c>
      <c r="E59" s="6">
        <f t="shared" si="8"/>
        <v>0</v>
      </c>
      <c r="F59" s="6">
        <f t="shared" si="8"/>
        <v>0</v>
      </c>
      <c r="G59" s="6">
        <f t="shared" si="8"/>
        <v>0</v>
      </c>
      <c r="H59" s="6">
        <f t="shared" si="8"/>
        <v>0</v>
      </c>
      <c r="I59" s="6">
        <f t="shared" si="8"/>
        <v>0</v>
      </c>
      <c r="J59" s="6">
        <f t="shared" si="8"/>
        <v>0</v>
      </c>
      <c r="K59" s="6">
        <f t="shared" si="8"/>
        <v>0</v>
      </c>
      <c r="L59" s="6">
        <f t="shared" si="8"/>
        <v>0</v>
      </c>
      <c r="M59" s="6">
        <f t="shared" si="8"/>
        <v>0</v>
      </c>
      <c r="N59" s="6">
        <f t="shared" si="8"/>
        <v>0</v>
      </c>
      <c r="O59" s="6">
        <f t="shared" si="8"/>
        <v>0</v>
      </c>
      <c r="P59" s="6">
        <f t="shared" ca="1" si="8"/>
        <v>0</v>
      </c>
      <c r="Q59" s="6">
        <f t="shared" ca="1" si="8"/>
        <v>0</v>
      </c>
    </row>
    <row r="62" spans="1:17" s="120" customFormat="1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s="120" customFormat="1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s="120" customFormat="1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3" x14ac:dyDescent="0.2">
      <c r="B65"/>
      <c r="C65"/>
      <c r="D65"/>
      <c r="E65"/>
      <c r="F65"/>
      <c r="G65"/>
      <c r="H65"/>
      <c r="I65"/>
      <c r="J65"/>
      <c r="K65"/>
      <c r="L65"/>
      <c r="M65"/>
    </row>
    <row r="66" spans="2:13" x14ac:dyDescent="0.2">
      <c r="B66"/>
      <c r="C66"/>
      <c r="D66"/>
      <c r="E66"/>
      <c r="F66"/>
      <c r="G66"/>
      <c r="H66"/>
      <c r="I66"/>
      <c r="J66"/>
      <c r="K66"/>
      <c r="L66"/>
      <c r="M66"/>
    </row>
    <row r="67" spans="2:13" x14ac:dyDescent="0.2">
      <c r="B67"/>
      <c r="C67"/>
      <c r="D67"/>
      <c r="E67"/>
      <c r="F67"/>
      <c r="G67"/>
      <c r="H67"/>
      <c r="I67"/>
      <c r="J67"/>
      <c r="K67"/>
      <c r="L67"/>
      <c r="M67"/>
    </row>
    <row r="68" spans="2:13" x14ac:dyDescent="0.2">
      <c r="B68"/>
      <c r="C68"/>
      <c r="D68"/>
      <c r="E68"/>
      <c r="F68"/>
      <c r="G68"/>
      <c r="H68"/>
      <c r="I68"/>
      <c r="J68"/>
      <c r="K68"/>
      <c r="L68"/>
      <c r="M68"/>
    </row>
  </sheetData>
  <phoneticPr fontId="0" type="noConversion"/>
  <pageMargins left="0.38" right="0.75" top="0.73" bottom="0.74" header="0.5" footer="0.5"/>
  <pageSetup scale="64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7"/>
  <sheetViews>
    <sheetView topLeftCell="H4" workbookViewId="0">
      <selection activeCell="N2" sqref="N2:T24"/>
    </sheetView>
  </sheetViews>
  <sheetFormatPr defaultRowHeight="12.75" x14ac:dyDescent="0.2"/>
  <cols>
    <col min="1" max="1" width="11.85546875" style="33" customWidth="1"/>
    <col min="2" max="2" width="18" style="27" customWidth="1"/>
    <col min="3" max="3" width="11.7109375" style="23" customWidth="1"/>
    <col min="4" max="4" width="13.42578125" style="23" customWidth="1"/>
    <col min="5" max="5" width="10.140625" style="23" customWidth="1"/>
    <col min="6" max="8" width="12.42578125" style="23" customWidth="1"/>
    <col min="9" max="9" width="14.42578125" style="35" hidden="1" customWidth="1"/>
    <col min="10" max="10" width="12.42578125" style="23" hidden="1" customWidth="1"/>
    <col min="11" max="11" width="15.42578125" style="23" bestFit="1" customWidth="1"/>
    <col min="12" max="12" width="17" style="1" customWidth="1"/>
    <col min="13" max="13" width="12.42578125" style="1" customWidth="1"/>
    <col min="14" max="14" width="25.85546875" bestFit="1" customWidth="1"/>
    <col min="15" max="17" width="18" customWidth="1"/>
    <col min="18" max="18" width="17.140625" customWidth="1"/>
    <col min="19" max="20" width="15.7109375" customWidth="1"/>
  </cols>
  <sheetData>
    <row r="1" spans="1:19" x14ac:dyDescent="0.2">
      <c r="F1" s="33"/>
      <c r="G1" s="33"/>
      <c r="H1" s="140"/>
      <c r="I1" s="331" t="s">
        <v>101</v>
      </c>
      <c r="J1" s="331"/>
    </row>
    <row r="2" spans="1:19" ht="42" customHeight="1" x14ac:dyDescent="0.2">
      <c r="B2" s="125" t="s">
        <v>0</v>
      </c>
      <c r="C2" s="126" t="s">
        <v>3</v>
      </c>
      <c r="D2" s="126" t="s">
        <v>4</v>
      </c>
      <c r="E2" s="126" t="s">
        <v>5</v>
      </c>
      <c r="F2" s="126" t="s">
        <v>75</v>
      </c>
      <c r="G2" s="126" t="s">
        <v>77</v>
      </c>
      <c r="H2" s="126" t="s">
        <v>18</v>
      </c>
      <c r="I2" s="127" t="s">
        <v>6</v>
      </c>
      <c r="J2" s="126" t="s">
        <v>66</v>
      </c>
      <c r="K2" s="126" t="s">
        <v>11</v>
      </c>
      <c r="L2" s="12" t="s">
        <v>12</v>
      </c>
      <c r="M2" s="12" t="s">
        <v>273</v>
      </c>
      <c r="N2" t="s">
        <v>19</v>
      </c>
    </row>
    <row r="3" spans="1:19" ht="13.5" thickBot="1" x14ac:dyDescent="0.25">
      <c r="A3" s="128">
        <v>37275</v>
      </c>
      <c r="B3" s="129">
        <f>'[15]Data Input'!B5</f>
        <v>46293277</v>
      </c>
      <c r="C3" s="17">
        <f>'Historical HDD &amp; CDD'!C150</f>
        <v>558.79999999999984</v>
      </c>
      <c r="D3" s="130">
        <f>'Historical HDD &amp; CDD'!D150</f>
        <v>0</v>
      </c>
      <c r="E3" s="17">
        <v>31</v>
      </c>
      <c r="F3" s="17">
        <v>0</v>
      </c>
      <c r="G3" s="17">
        <v>351.91199999999998</v>
      </c>
      <c r="H3" s="17">
        <v>0</v>
      </c>
      <c r="I3" s="35">
        <v>121.50450639216388</v>
      </c>
      <c r="J3" s="17">
        <f>'[15]Data Input'!AJ5</f>
        <v>20461</v>
      </c>
      <c r="K3" s="17">
        <f>$O$18+$O$19*C3+$O$20*D3+$O$21*E3+$O$22*F3+$O$23*G3+H3*$O$24</f>
        <v>43528891.414448984</v>
      </c>
      <c r="L3" s="263">
        <f>K3-B3</f>
        <v>-2764385.585551016</v>
      </c>
      <c r="M3" s="264">
        <f>ABS(L3/B3)</f>
        <v>5.9714623044530117E-2</v>
      </c>
    </row>
    <row r="4" spans="1:19" x14ac:dyDescent="0.2">
      <c r="A4" s="32">
        <v>37308</v>
      </c>
      <c r="B4" s="129">
        <f>'[15]Data Input'!B6</f>
        <v>41843002</v>
      </c>
      <c r="C4" s="17">
        <f>'Historical HDD &amp; CDD'!C151</f>
        <v>518.9</v>
      </c>
      <c r="D4" s="130">
        <f>'Historical HDD &amp; CDD'!D151</f>
        <v>0</v>
      </c>
      <c r="E4" s="17">
        <v>28</v>
      </c>
      <c r="F4" s="17">
        <v>0</v>
      </c>
      <c r="G4" s="17">
        <v>319.87200000000001</v>
      </c>
      <c r="H4" s="17">
        <v>0</v>
      </c>
      <c r="I4" s="35">
        <v>121.86371656989111</v>
      </c>
      <c r="J4" s="17">
        <f>'[15]Data Input'!AJ6</f>
        <v>20122</v>
      </c>
      <c r="K4" s="17">
        <f t="shared" ref="K4:K67" si="0">$O$18+$O$19*C4+$O$20*D4+$O$21*E4+$O$22*F4+$O$23*G4+H4*$O$24</f>
        <v>40137479.89268662</v>
      </c>
      <c r="L4" s="263">
        <f t="shared" ref="L4:L5" si="1">K4-B4</f>
        <v>-1705522.1073133796</v>
      </c>
      <c r="M4" s="264">
        <f t="shared" ref="M4:M5" si="2">ABS(L4/B4)</f>
        <v>4.0760032162926063E-2</v>
      </c>
      <c r="N4" s="56" t="s">
        <v>20</v>
      </c>
      <c r="O4" s="56"/>
    </row>
    <row r="5" spans="1:19" x14ac:dyDescent="0.2">
      <c r="A5" s="32">
        <v>37341</v>
      </c>
      <c r="B5" s="129">
        <f>'[15]Data Input'!B7</f>
        <v>44412572</v>
      </c>
      <c r="C5" s="17">
        <f>'Historical HDD &amp; CDD'!C152</f>
        <v>512.29999999999995</v>
      </c>
      <c r="D5" s="130">
        <f>'Historical HDD &amp; CDD'!D152</f>
        <v>0</v>
      </c>
      <c r="E5" s="17">
        <v>31</v>
      </c>
      <c r="F5" s="17">
        <v>0</v>
      </c>
      <c r="G5" s="17">
        <v>319.92</v>
      </c>
      <c r="H5" s="17">
        <v>1</v>
      </c>
      <c r="I5" s="35">
        <v>122.22398869960362</v>
      </c>
      <c r="J5" s="17">
        <f>'[15]Data Input'!AJ7</f>
        <v>20174</v>
      </c>
      <c r="K5" s="17">
        <f t="shared" si="0"/>
        <v>41406467.55574213</v>
      </c>
      <c r="L5" s="263">
        <f t="shared" si="1"/>
        <v>-3006104.4442578703</v>
      </c>
      <c r="M5" s="264">
        <f t="shared" si="2"/>
        <v>6.7685889577795005E-2</v>
      </c>
      <c r="N5" s="36" t="s">
        <v>21</v>
      </c>
      <c r="O5" s="113">
        <v>0.94580011526454077</v>
      </c>
    </row>
    <row r="6" spans="1:19" x14ac:dyDescent="0.2">
      <c r="A6" s="32">
        <v>37374</v>
      </c>
      <c r="B6" s="129">
        <f>'[15]Data Input'!B8</f>
        <v>42581129</v>
      </c>
      <c r="C6" s="17">
        <f>'Historical HDD &amp; CDD'!C153</f>
        <v>306.79999999999995</v>
      </c>
      <c r="D6" s="130">
        <f>'Historical HDD &amp; CDD'!D153</f>
        <v>5.0999999999999996</v>
      </c>
      <c r="E6" s="17">
        <v>30</v>
      </c>
      <c r="F6" s="17">
        <v>0</v>
      </c>
      <c r="G6" s="17">
        <v>352.08</v>
      </c>
      <c r="H6" s="17">
        <v>1</v>
      </c>
      <c r="I6" s="35">
        <v>122.58532592080604</v>
      </c>
      <c r="J6" s="17">
        <f>'[15]Data Input'!AJ8</f>
        <v>20139</v>
      </c>
      <c r="K6" s="17">
        <f t="shared" si="0"/>
        <v>39668500.413727991</v>
      </c>
      <c r="L6" s="263">
        <f t="shared" ref="L6:L69" si="3">K6-B6</f>
        <v>-2912628.5862720087</v>
      </c>
      <c r="M6" s="264">
        <f t="shared" ref="M6:M69" si="4">ABS(L6/B6)</f>
        <v>6.8401863799149351E-2</v>
      </c>
      <c r="N6" s="36" t="s">
        <v>22</v>
      </c>
      <c r="O6" s="113">
        <v>0.89453785803441854</v>
      </c>
    </row>
    <row r="7" spans="1:19" x14ac:dyDescent="0.2">
      <c r="A7" s="32">
        <v>37407</v>
      </c>
      <c r="B7" s="129">
        <f>'[15]Data Input'!B9</f>
        <v>40099130</v>
      </c>
      <c r="C7" s="17">
        <f>'Historical HDD &amp; CDD'!C154</f>
        <v>220.39999999999998</v>
      </c>
      <c r="D7" s="130">
        <f>'Historical HDD &amp; CDD'!D154</f>
        <v>8.8000000000000007</v>
      </c>
      <c r="E7" s="17">
        <v>31</v>
      </c>
      <c r="F7" s="17">
        <v>0</v>
      </c>
      <c r="G7" s="17">
        <v>351.91199999999998</v>
      </c>
      <c r="H7" s="17">
        <v>1</v>
      </c>
      <c r="I7" s="35">
        <v>122.9477313822845</v>
      </c>
      <c r="J7" s="17">
        <f>'[15]Data Input'!AJ9</f>
        <v>20074</v>
      </c>
      <c r="K7" s="17">
        <f t="shared" si="0"/>
        <v>39773306.239111997</v>
      </c>
      <c r="L7" s="263">
        <f t="shared" si="3"/>
        <v>-325823.76088800281</v>
      </c>
      <c r="M7" s="264">
        <f t="shared" si="4"/>
        <v>8.1254571081218665E-3</v>
      </c>
      <c r="N7" s="36" t="s">
        <v>23</v>
      </c>
      <c r="O7" s="113">
        <v>0.89060759187421057</v>
      </c>
    </row>
    <row r="8" spans="1:19" x14ac:dyDescent="0.2">
      <c r="A8" s="32">
        <v>37408</v>
      </c>
      <c r="B8" s="129">
        <f>'[15]Data Input'!B10</f>
        <v>42830520</v>
      </c>
      <c r="C8" s="17">
        <f>'Historical HDD &amp; CDD'!C155</f>
        <v>26.999999999999996</v>
      </c>
      <c r="D8" s="130">
        <f>'Historical HDD &amp; CDD'!D155</f>
        <v>74.699999999999989</v>
      </c>
      <c r="E8" s="17">
        <v>30</v>
      </c>
      <c r="F8" s="17">
        <v>0</v>
      </c>
      <c r="G8" s="17">
        <v>319.68</v>
      </c>
      <c r="H8" s="17">
        <v>0</v>
      </c>
      <c r="I8" s="35">
        <v>123.31120824213403</v>
      </c>
      <c r="J8" s="17">
        <f>'[15]Data Input'!AJ10</f>
        <v>19924</v>
      </c>
      <c r="K8" s="17">
        <f t="shared" si="0"/>
        <v>42364475.065254897</v>
      </c>
      <c r="L8" s="263">
        <f t="shared" si="3"/>
        <v>-466044.93474510312</v>
      </c>
      <c r="M8" s="264">
        <f t="shared" si="4"/>
        <v>1.0881141175617367E-2</v>
      </c>
      <c r="N8" s="36" t="s">
        <v>24</v>
      </c>
      <c r="O8" s="118">
        <v>1663421.4390708632</v>
      </c>
    </row>
    <row r="9" spans="1:19" ht="13.5" thickBot="1" x14ac:dyDescent="0.25">
      <c r="A9" s="32">
        <v>37440</v>
      </c>
      <c r="B9" s="129">
        <f>'[15]Data Input'!B11</f>
        <v>50209650</v>
      </c>
      <c r="C9" s="17">
        <f>'Historical HDD &amp; CDD'!C156</f>
        <v>0.7</v>
      </c>
      <c r="D9" s="130">
        <f>'Historical HDD &amp; CDD'!D156</f>
        <v>169.20000000000002</v>
      </c>
      <c r="E9" s="17">
        <v>31</v>
      </c>
      <c r="F9" s="17">
        <v>0</v>
      </c>
      <c r="G9" s="17">
        <v>351.91199999999998</v>
      </c>
      <c r="H9" s="17">
        <v>0</v>
      </c>
      <c r="I9" s="35">
        <v>123.67575966778612</v>
      </c>
      <c r="J9" s="17">
        <f>'[15]Data Input'!AJ11</f>
        <v>19945</v>
      </c>
      <c r="K9" s="17">
        <f t="shared" si="0"/>
        <v>51193892.198996939</v>
      </c>
      <c r="L9" s="263">
        <f t="shared" si="3"/>
        <v>984242.19899693877</v>
      </c>
      <c r="M9" s="264">
        <f t="shared" si="4"/>
        <v>1.96026500682028E-2</v>
      </c>
      <c r="N9" s="54" t="s">
        <v>25</v>
      </c>
      <c r="O9" s="54">
        <v>168</v>
      </c>
    </row>
    <row r="10" spans="1:19" x14ac:dyDescent="0.2">
      <c r="A10" s="32">
        <v>37473</v>
      </c>
      <c r="B10" s="129">
        <f>'[15]Data Input'!B12</f>
        <v>49113260</v>
      </c>
      <c r="C10" s="17">
        <f>'Historical HDD &amp; CDD'!C157</f>
        <v>0.5</v>
      </c>
      <c r="D10" s="130">
        <f>'Historical HDD &amp; CDD'!D157</f>
        <v>141.59999999999997</v>
      </c>
      <c r="E10" s="17">
        <v>31</v>
      </c>
      <c r="F10" s="17">
        <v>0</v>
      </c>
      <c r="G10" s="17">
        <v>336.28800000000001</v>
      </c>
      <c r="H10" s="17">
        <v>0</v>
      </c>
      <c r="I10" s="35">
        <v>124.04138883603632</v>
      </c>
      <c r="J10" s="17">
        <f>'[15]Data Input'!AJ12</f>
        <v>20011</v>
      </c>
      <c r="K10" s="17">
        <f t="shared" si="0"/>
        <v>48595551.534237966</v>
      </c>
      <c r="L10" s="263">
        <f t="shared" si="3"/>
        <v>-517708.46576203406</v>
      </c>
      <c r="M10" s="264">
        <f t="shared" si="4"/>
        <v>1.0541113861348933E-2</v>
      </c>
    </row>
    <row r="11" spans="1:19" ht="13.5" thickBot="1" x14ac:dyDescent="0.25">
      <c r="A11" s="32">
        <v>37506</v>
      </c>
      <c r="B11" s="129">
        <f>'[15]Data Input'!B13</f>
        <v>43203390</v>
      </c>
      <c r="C11" s="17">
        <f>'Historical HDD &amp; CDD'!C158</f>
        <v>21.3</v>
      </c>
      <c r="D11" s="130">
        <f>'Historical HDD &amp; CDD'!D158</f>
        <v>77.299999999999983</v>
      </c>
      <c r="E11" s="17">
        <v>30</v>
      </c>
      <c r="F11" s="17">
        <v>0</v>
      </c>
      <c r="G11" s="17">
        <v>319.68</v>
      </c>
      <c r="H11" s="17">
        <v>1</v>
      </c>
      <c r="I11" s="35">
        <v>124.40809893307186</v>
      </c>
      <c r="J11" s="17">
        <f>'[15]Data Input'!AJ13</f>
        <v>20036</v>
      </c>
      <c r="K11" s="17">
        <f t="shared" si="0"/>
        <v>41655432.439790033</v>
      </c>
      <c r="L11" s="263">
        <f t="shared" si="3"/>
        <v>-1547957.5602099672</v>
      </c>
      <c r="M11" s="264">
        <f t="shared" si="4"/>
        <v>3.5829539307215642E-2</v>
      </c>
      <c r="N11" t="s">
        <v>26</v>
      </c>
    </row>
    <row r="12" spans="1:19" x14ac:dyDescent="0.2">
      <c r="A12" s="32">
        <v>37539</v>
      </c>
      <c r="B12" s="129">
        <f>'[15]Data Input'!B14</f>
        <v>39840800</v>
      </c>
      <c r="C12" s="17">
        <f>'Historical HDD &amp; CDD'!C159</f>
        <v>259.89999999999998</v>
      </c>
      <c r="D12" s="130">
        <f>'Historical HDD &amp; CDD'!D159</f>
        <v>11.600000000000001</v>
      </c>
      <c r="E12" s="17">
        <v>31</v>
      </c>
      <c r="F12" s="17">
        <v>0</v>
      </c>
      <c r="G12" s="17">
        <v>351.91199999999998</v>
      </c>
      <c r="H12" s="17">
        <v>1</v>
      </c>
      <c r="I12" s="35">
        <v>124.7758931544995</v>
      </c>
      <c r="J12" s="17">
        <f>'[15]Data Input'!AJ14</f>
        <v>20008</v>
      </c>
      <c r="K12" s="17">
        <f t="shared" si="0"/>
        <v>40419490.36574889</v>
      </c>
      <c r="L12" s="263">
        <f t="shared" si="3"/>
        <v>578690.36574888974</v>
      </c>
      <c r="M12" s="264">
        <f t="shared" si="4"/>
        <v>1.4525068918015947E-2</v>
      </c>
      <c r="N12" s="55"/>
      <c r="O12" s="55" t="s">
        <v>30</v>
      </c>
      <c r="P12" s="55" t="s">
        <v>31</v>
      </c>
      <c r="Q12" s="55" t="s">
        <v>32</v>
      </c>
      <c r="R12" s="55" t="s">
        <v>33</v>
      </c>
      <c r="S12" s="55" t="s">
        <v>34</v>
      </c>
    </row>
    <row r="13" spans="1:19" x14ac:dyDescent="0.2">
      <c r="A13" s="32">
        <v>37572</v>
      </c>
      <c r="B13" s="129">
        <f>'[15]Data Input'!B15</f>
        <v>40267910</v>
      </c>
      <c r="C13" s="17">
        <f>'Historical HDD &amp; CDD'!C160</f>
        <v>412.89999999999992</v>
      </c>
      <c r="D13" s="130">
        <f>'Historical HDD &amp; CDD'!D160</f>
        <v>0</v>
      </c>
      <c r="E13" s="17">
        <v>30</v>
      </c>
      <c r="F13" s="17">
        <v>0</v>
      </c>
      <c r="G13" s="17">
        <v>336.24</v>
      </c>
      <c r="H13" s="17">
        <v>1</v>
      </c>
      <c r="I13" s="35">
        <v>125.14477470537335</v>
      </c>
      <c r="J13" s="17">
        <f>'[15]Data Input'!AJ15</f>
        <v>20099</v>
      </c>
      <c r="K13" s="17">
        <f t="shared" si="0"/>
        <v>40007865.650425762</v>
      </c>
      <c r="L13" s="263">
        <f t="shared" si="3"/>
        <v>-260044.34957423806</v>
      </c>
      <c r="M13" s="264">
        <f t="shared" si="4"/>
        <v>6.4578556367648103E-3</v>
      </c>
      <c r="N13" s="36" t="s">
        <v>27</v>
      </c>
      <c r="O13" s="36">
        <v>6</v>
      </c>
      <c r="P13" s="36">
        <v>3778614638634099</v>
      </c>
      <c r="Q13" s="36">
        <v>629769106439016.5</v>
      </c>
      <c r="R13" s="36">
        <v>227.60236115588572</v>
      </c>
      <c r="S13" s="36">
        <v>6.1703638990948185E-76</v>
      </c>
    </row>
    <row r="14" spans="1:19" x14ac:dyDescent="0.2">
      <c r="A14" s="32">
        <v>37605</v>
      </c>
      <c r="B14" s="129">
        <f>'[15]Data Input'!B16</f>
        <v>41966900</v>
      </c>
      <c r="C14" s="17">
        <f>'Historical HDD &amp; CDD'!C161</f>
        <v>610.90000000000009</v>
      </c>
      <c r="D14" s="130">
        <f>'Historical HDD &amp; CDD'!D161</f>
        <v>0</v>
      </c>
      <c r="E14" s="17">
        <v>31</v>
      </c>
      <c r="F14" s="17">
        <v>0</v>
      </c>
      <c r="G14" s="17">
        <v>319.92</v>
      </c>
      <c r="H14" s="17">
        <v>0</v>
      </c>
      <c r="I14" s="35">
        <v>125.51474680022261</v>
      </c>
      <c r="J14" s="17">
        <f>'[15]Data Input'!AJ16</f>
        <v>20186</v>
      </c>
      <c r="K14" s="17">
        <f t="shared" si="0"/>
        <v>43314648.319932185</v>
      </c>
      <c r="L14" s="263">
        <f t="shared" si="3"/>
        <v>1347748.3199321851</v>
      </c>
      <c r="M14" s="264">
        <f t="shared" si="4"/>
        <v>3.2114555040572097E-2</v>
      </c>
      <c r="N14" s="36" t="s">
        <v>28</v>
      </c>
      <c r="O14" s="36">
        <v>161</v>
      </c>
      <c r="P14" s="36">
        <v>445482312317653.56</v>
      </c>
      <c r="Q14" s="36">
        <v>2766970883960.5811</v>
      </c>
      <c r="R14" s="36"/>
      <c r="S14" s="36"/>
    </row>
    <row r="15" spans="1:19" ht="13.5" thickBot="1" x14ac:dyDescent="0.25">
      <c r="A15" s="32">
        <v>37622</v>
      </c>
      <c r="B15" s="129">
        <f>'[15]Data Input'!B19</f>
        <v>45793920</v>
      </c>
      <c r="C15" s="17">
        <f>'Historical HDD &amp; CDD'!C162</f>
        <v>781.49999999999977</v>
      </c>
      <c r="D15" s="130">
        <f>'Historical HDD &amp; CDD'!D162</f>
        <v>0</v>
      </c>
      <c r="E15" s="17">
        <v>31</v>
      </c>
      <c r="F15" s="17">
        <v>0</v>
      </c>
      <c r="G15" s="17">
        <v>351.91199999999998</v>
      </c>
      <c r="H15" s="17">
        <v>0</v>
      </c>
      <c r="I15" s="35">
        <v>125.66024937363977</v>
      </c>
      <c r="J15" s="17">
        <f>'[15]Data Input'!AJ19</f>
        <v>20303</v>
      </c>
      <c r="K15" s="17">
        <f t="shared" si="0"/>
        <v>45902039.964685194</v>
      </c>
      <c r="L15" s="263">
        <f t="shared" si="3"/>
        <v>108119.96468519419</v>
      </c>
      <c r="M15" s="264">
        <f t="shared" si="4"/>
        <v>2.3610113457243711E-3</v>
      </c>
      <c r="N15" s="54" t="s">
        <v>10</v>
      </c>
      <c r="O15" s="54">
        <v>167</v>
      </c>
      <c r="P15" s="54">
        <v>4224096950951752.5</v>
      </c>
      <c r="Q15" s="54"/>
      <c r="R15" s="54"/>
      <c r="S15" s="54"/>
    </row>
    <row r="16" spans="1:19" ht="13.5" thickBot="1" x14ac:dyDescent="0.25">
      <c r="A16" s="32">
        <v>37653</v>
      </c>
      <c r="B16" s="129">
        <f>'[15]Data Input'!B20</f>
        <v>41797690</v>
      </c>
      <c r="C16" s="17">
        <f>'Historical HDD &amp; CDD'!C163</f>
        <v>681.19999999999993</v>
      </c>
      <c r="D16" s="130">
        <f>'Historical HDD &amp; CDD'!D163</f>
        <v>0</v>
      </c>
      <c r="E16" s="17">
        <v>28</v>
      </c>
      <c r="F16" s="17">
        <v>0</v>
      </c>
      <c r="G16" s="17">
        <v>319.87200000000001</v>
      </c>
      <c r="H16" s="17">
        <v>0</v>
      </c>
      <c r="I16" s="35">
        <v>125.80592062045517</v>
      </c>
      <c r="J16" s="17">
        <f>'[15]Data Input'!AJ20</f>
        <v>20308</v>
      </c>
      <c r="K16" s="17">
        <f t="shared" si="0"/>
        <v>41866990.488570482</v>
      </c>
      <c r="L16" s="263">
        <f t="shared" si="3"/>
        <v>69300.488570481539</v>
      </c>
      <c r="M16" s="264">
        <f t="shared" si="4"/>
        <v>1.6579980513392377E-3</v>
      </c>
    </row>
    <row r="17" spans="1:20" ht="15" customHeight="1" x14ac:dyDescent="0.2">
      <c r="A17" s="32">
        <v>37681</v>
      </c>
      <c r="B17" s="129">
        <f>'[15]Data Input'!B21</f>
        <v>43041020</v>
      </c>
      <c r="C17" s="17">
        <f>'Historical HDD &amp; CDD'!C164</f>
        <v>529.79999999999995</v>
      </c>
      <c r="D17" s="130">
        <f>'Historical HDD &amp; CDD'!D164</f>
        <v>0</v>
      </c>
      <c r="E17" s="17">
        <v>31</v>
      </c>
      <c r="F17" s="17">
        <v>0</v>
      </c>
      <c r="G17" s="17">
        <v>336.28800000000001</v>
      </c>
      <c r="H17" s="17">
        <v>1</v>
      </c>
      <c r="I17" s="35">
        <v>125.9517607362029</v>
      </c>
      <c r="J17" s="17">
        <f>'[15]Data Input'!AJ21</f>
        <v>20266</v>
      </c>
      <c r="K17" s="17">
        <f t="shared" si="0"/>
        <v>41986616.026373088</v>
      </c>
      <c r="L17" s="263">
        <f t="shared" si="3"/>
        <v>-1054403.9736269116</v>
      </c>
      <c r="M17" s="264">
        <f t="shared" si="4"/>
        <v>2.4497653020930071E-2</v>
      </c>
      <c r="N17" s="55"/>
      <c r="O17" s="55" t="s">
        <v>35</v>
      </c>
      <c r="P17" s="55" t="s">
        <v>24</v>
      </c>
      <c r="Q17" s="55" t="s">
        <v>36</v>
      </c>
      <c r="R17" s="55" t="s">
        <v>37</v>
      </c>
      <c r="S17" s="55" t="s">
        <v>38</v>
      </c>
      <c r="T17" s="55" t="s">
        <v>39</v>
      </c>
    </row>
    <row r="18" spans="1:20" x14ac:dyDescent="0.2">
      <c r="A18" s="32">
        <v>37712</v>
      </c>
      <c r="B18" s="129">
        <f>'[15]Data Input'!B22</f>
        <v>39112340</v>
      </c>
      <c r="C18" s="17">
        <f>'Historical HDD &amp; CDD'!C165</f>
        <v>360.39999999999992</v>
      </c>
      <c r="D18" s="130">
        <f>'Historical HDD &amp; CDD'!D165</f>
        <v>0</v>
      </c>
      <c r="E18" s="17">
        <v>30</v>
      </c>
      <c r="F18" s="17">
        <v>0</v>
      </c>
      <c r="G18" s="17">
        <v>336.24</v>
      </c>
      <c r="H18" s="17">
        <v>1</v>
      </c>
      <c r="I18" s="35">
        <v>126.09776991664374</v>
      </c>
      <c r="J18" s="17">
        <f>'[15]Data Input'!AJ22</f>
        <v>20218</v>
      </c>
      <c r="K18" s="17">
        <f t="shared" si="0"/>
        <v>39448412.130500294</v>
      </c>
      <c r="L18" s="263">
        <f t="shared" si="3"/>
        <v>336072.13050029427</v>
      </c>
      <c r="M18" s="264">
        <f t="shared" si="4"/>
        <v>8.5924833569225017E-3</v>
      </c>
      <c r="N18" s="36" t="s">
        <v>29</v>
      </c>
      <c r="O18" s="118">
        <v>6422137.0992822647</v>
      </c>
      <c r="P18" s="118">
        <v>4987235.2854179926</v>
      </c>
      <c r="Q18" s="114">
        <v>1.2877148824439328</v>
      </c>
      <c r="R18" s="36">
        <v>0.19969310926890629</v>
      </c>
      <c r="S18" s="118">
        <v>-3426695.4978312347</v>
      </c>
      <c r="T18" s="118">
        <v>16270969.696395764</v>
      </c>
    </row>
    <row r="19" spans="1:20" x14ac:dyDescent="0.2">
      <c r="A19" s="32">
        <v>37742</v>
      </c>
      <c r="B19" s="129">
        <f>'[15]Data Input'!B23</f>
        <v>37768340</v>
      </c>
      <c r="C19" s="17">
        <f>'Historical HDD &amp; CDD'!C166</f>
        <v>149.20000000000002</v>
      </c>
      <c r="D19" s="130">
        <f>'Historical HDD &amp; CDD'!D166</f>
        <v>0</v>
      </c>
      <c r="E19" s="17">
        <v>31</v>
      </c>
      <c r="F19" s="17">
        <v>0</v>
      </c>
      <c r="G19" s="17">
        <v>336.28800000000001</v>
      </c>
      <c r="H19" s="17">
        <v>1</v>
      </c>
      <c r="I19" s="35">
        <v>126.2439483577654</v>
      </c>
      <c r="J19" s="17">
        <f>'[15]Data Input'!AJ23</f>
        <v>20233</v>
      </c>
      <c r="K19" s="17">
        <f t="shared" si="0"/>
        <v>37930844.413351543</v>
      </c>
      <c r="L19" s="263">
        <f t="shared" si="3"/>
        <v>162504.41335154325</v>
      </c>
      <c r="M19" s="264">
        <f t="shared" si="4"/>
        <v>4.3026623185330156E-3</v>
      </c>
      <c r="N19" s="36" t="s">
        <v>3</v>
      </c>
      <c r="O19" s="118">
        <v>10656.257522389782</v>
      </c>
      <c r="P19" s="118">
        <v>825.4871515957683</v>
      </c>
      <c r="Q19" s="114">
        <v>12.909053159446424</v>
      </c>
      <c r="R19" s="36">
        <v>1.2640463520048751E-26</v>
      </c>
      <c r="S19" s="118">
        <v>9026.0788157813222</v>
      </c>
      <c r="T19" s="118">
        <v>12286.436228998242</v>
      </c>
    </row>
    <row r="20" spans="1:20" x14ac:dyDescent="0.2">
      <c r="A20" s="32">
        <v>37773</v>
      </c>
      <c r="B20" s="129">
        <f>'[15]Data Input'!B24</f>
        <v>38550110</v>
      </c>
      <c r="C20" s="17">
        <f>'Historical HDD &amp; CDD'!C167</f>
        <v>33.199999999999996</v>
      </c>
      <c r="D20" s="130">
        <f>'Historical HDD &amp; CDD'!D167</f>
        <v>35.6</v>
      </c>
      <c r="E20" s="17">
        <v>30</v>
      </c>
      <c r="F20" s="17">
        <v>0</v>
      </c>
      <c r="G20" s="17">
        <v>336.24</v>
      </c>
      <c r="H20" s="17">
        <v>0</v>
      </c>
      <c r="I20" s="35">
        <v>126.3902962557828</v>
      </c>
      <c r="J20" s="17">
        <f>'[15]Data Input'!AJ24</f>
        <v>20150</v>
      </c>
      <c r="K20" s="17">
        <f t="shared" si="0"/>
        <v>39683203.291759945</v>
      </c>
      <c r="L20" s="263">
        <f t="shared" si="3"/>
        <v>1133093.2917599455</v>
      </c>
      <c r="M20" s="264">
        <f t="shared" si="4"/>
        <v>2.9392738224610655E-2</v>
      </c>
      <c r="N20" s="36" t="s">
        <v>4</v>
      </c>
      <c r="O20" s="118">
        <v>80450.698036605711</v>
      </c>
      <c r="P20" s="118">
        <v>5503.0582662754523</v>
      </c>
      <c r="Q20" s="114">
        <v>14.619270620780812</v>
      </c>
      <c r="R20" s="36">
        <v>2.4187472226895027E-31</v>
      </c>
      <c r="S20" s="118">
        <v>69583.214042983367</v>
      </c>
      <c r="T20" s="118">
        <v>91318.182030228054</v>
      </c>
    </row>
    <row r="21" spans="1:20" x14ac:dyDescent="0.2">
      <c r="A21" s="32">
        <v>37803</v>
      </c>
      <c r="B21" s="129">
        <f>'[15]Data Input'!B25</f>
        <v>45139630</v>
      </c>
      <c r="C21" s="17">
        <f>'Historical HDD &amp; CDD'!C168</f>
        <v>0.7</v>
      </c>
      <c r="D21" s="130">
        <f>'Historical HDD &amp; CDD'!D168</f>
        <v>105.29999999999997</v>
      </c>
      <c r="E21" s="17">
        <v>31</v>
      </c>
      <c r="F21" s="17">
        <v>0</v>
      </c>
      <c r="G21" s="17">
        <v>351.91199999999998</v>
      </c>
      <c r="H21" s="17">
        <v>0</v>
      </c>
      <c r="I21" s="35">
        <v>126.5368138071383</v>
      </c>
      <c r="J21" s="17">
        <f>'[15]Data Input'!AJ25</f>
        <v>20104</v>
      </c>
      <c r="K21" s="17">
        <f t="shared" si="0"/>
        <v>46053092.594457828</v>
      </c>
      <c r="L21" s="263">
        <f t="shared" si="3"/>
        <v>913462.59445782751</v>
      </c>
      <c r="M21" s="264">
        <f t="shared" si="4"/>
        <v>2.0236377534725639E-2</v>
      </c>
      <c r="N21" s="36" t="s">
        <v>5</v>
      </c>
      <c r="O21" s="118">
        <v>731879.43180286675</v>
      </c>
      <c r="P21" s="118">
        <v>176453.54673275468</v>
      </c>
      <c r="Q21" s="114">
        <v>4.1477173191158618</v>
      </c>
      <c r="R21" s="36">
        <v>5.4212260865648665E-5</v>
      </c>
      <c r="S21" s="118">
        <v>383417.53989672021</v>
      </c>
      <c r="T21" s="118">
        <v>1080341.3237090134</v>
      </c>
    </row>
    <row r="22" spans="1:20" x14ac:dyDescent="0.2">
      <c r="A22" s="32">
        <v>37834</v>
      </c>
      <c r="B22" s="129">
        <f>'[15]Data Input'!B26</f>
        <v>44242730</v>
      </c>
      <c r="C22" s="17">
        <f>'Historical HDD &amp; CDD'!C169</f>
        <v>4.2</v>
      </c>
      <c r="D22" s="130">
        <f>'Historical HDD &amp; CDD'!D169</f>
        <v>127.79999999999997</v>
      </c>
      <c r="E22" s="17">
        <v>31</v>
      </c>
      <c r="F22" s="17">
        <v>0</v>
      </c>
      <c r="G22" s="17">
        <v>319.92</v>
      </c>
      <c r="H22" s="17">
        <v>0</v>
      </c>
      <c r="I22" s="35">
        <v>126.68350120850199</v>
      </c>
      <c r="J22" s="17">
        <f>'[15]Data Input'!AJ26</f>
        <v>20166</v>
      </c>
      <c r="K22" s="17">
        <f t="shared" si="0"/>
        <v>47131096.090176515</v>
      </c>
      <c r="L22" s="263">
        <f t="shared" si="3"/>
        <v>2888366.0901765153</v>
      </c>
      <c r="M22" s="264">
        <f t="shared" si="4"/>
        <v>6.5284535790999229E-2</v>
      </c>
      <c r="N22" s="36" t="s">
        <v>75</v>
      </c>
      <c r="O22" s="143">
        <v>-7.9050963579801152</v>
      </c>
      <c r="P22" s="118">
        <v>0.30040324318141765</v>
      </c>
      <c r="Q22" s="114">
        <v>-26.314950112592889</v>
      </c>
      <c r="R22" s="36">
        <v>3.3977112710004751E-60</v>
      </c>
      <c r="S22" s="118">
        <v>-8.4983351134032592</v>
      </c>
      <c r="T22" s="118">
        <v>-7.3118576025569713</v>
      </c>
    </row>
    <row r="23" spans="1:20" x14ac:dyDescent="0.2">
      <c r="A23" s="32">
        <v>37865</v>
      </c>
      <c r="B23" s="129">
        <f>'[15]Data Input'!B27</f>
        <v>39933800</v>
      </c>
      <c r="C23" s="17">
        <f>'Historical HDD &amp; CDD'!C170</f>
        <v>51.1</v>
      </c>
      <c r="D23" s="130">
        <f>'Historical HDD &amp; CDD'!D170</f>
        <v>29.000000000000004</v>
      </c>
      <c r="E23" s="17">
        <v>30</v>
      </c>
      <c r="F23" s="17">
        <v>0</v>
      </c>
      <c r="G23" s="17">
        <v>336.24</v>
      </c>
      <c r="H23" s="17">
        <v>1</v>
      </c>
      <c r="I23" s="35">
        <v>126.83035865677196</v>
      </c>
      <c r="J23" s="17">
        <f>'[15]Data Input'!AJ27</f>
        <v>20176</v>
      </c>
      <c r="K23" s="17">
        <f t="shared" si="0"/>
        <v>38485501.921886705</v>
      </c>
      <c r="L23" s="263">
        <f t="shared" si="3"/>
        <v>-1448298.0781132951</v>
      </c>
      <c r="M23" s="264">
        <f t="shared" si="4"/>
        <v>3.6267474623333996E-2</v>
      </c>
      <c r="N23" s="36" t="s">
        <v>77</v>
      </c>
      <c r="O23" s="118">
        <v>24050.828689463397</v>
      </c>
      <c r="P23" s="118">
        <v>8613.6791361070773</v>
      </c>
      <c r="Q23" s="114">
        <v>2.7921667744328222</v>
      </c>
      <c r="R23" s="36">
        <v>5.8699389913380853E-3</v>
      </c>
      <c r="S23" s="118">
        <v>7040.4654317255736</v>
      </c>
      <c r="T23" s="118">
        <v>41061.191947201223</v>
      </c>
    </row>
    <row r="24" spans="1:20" ht="13.5" thickBot="1" x14ac:dyDescent="0.25">
      <c r="A24" s="32">
        <v>37895</v>
      </c>
      <c r="B24" s="129">
        <f>'[15]Data Input'!B28</f>
        <v>39274410</v>
      </c>
      <c r="C24" s="17">
        <f>'Historical HDD &amp; CDD'!C171</f>
        <v>263.59999999999997</v>
      </c>
      <c r="D24" s="130">
        <f>'Historical HDD &amp; CDD'!D171</f>
        <v>1</v>
      </c>
      <c r="E24" s="17">
        <v>31</v>
      </c>
      <c r="F24" s="17">
        <v>0</v>
      </c>
      <c r="G24" s="17">
        <v>351.91199999999998</v>
      </c>
      <c r="H24" s="17">
        <v>1</v>
      </c>
      <c r="I24" s="35">
        <v>126.97738634907456</v>
      </c>
      <c r="J24" s="17">
        <f>'[15]Data Input'!AJ28</f>
        <v>20165</v>
      </c>
      <c r="K24" s="17">
        <f t="shared" si="0"/>
        <v>39606141.119393714</v>
      </c>
      <c r="L24" s="263">
        <f t="shared" si="3"/>
        <v>331731.11939371377</v>
      </c>
      <c r="M24" s="264">
        <f t="shared" si="4"/>
        <v>8.4464952979233492E-3</v>
      </c>
      <c r="N24" s="54" t="s">
        <v>18</v>
      </c>
      <c r="O24" s="119">
        <v>-857473.7724824195</v>
      </c>
      <c r="P24" s="119">
        <v>341388.72648271429</v>
      </c>
      <c r="Q24" s="115">
        <v>-2.511722578882043</v>
      </c>
      <c r="R24" s="54">
        <v>1.2999654468343527E-2</v>
      </c>
      <c r="S24" s="119">
        <v>-1531650.9919733224</v>
      </c>
      <c r="T24" s="119">
        <v>-183296.55299151677</v>
      </c>
    </row>
    <row r="25" spans="1:20" x14ac:dyDescent="0.2">
      <c r="A25" s="32">
        <v>37926</v>
      </c>
      <c r="B25" s="129">
        <f>'[15]Data Input'!B29</f>
        <v>39924090</v>
      </c>
      <c r="C25" s="17">
        <f>'Historical HDD &amp; CDD'!C172</f>
        <v>352.09999999999991</v>
      </c>
      <c r="D25" s="130">
        <f>'Historical HDD &amp; CDD'!D172</f>
        <v>0</v>
      </c>
      <c r="E25" s="17">
        <v>30</v>
      </c>
      <c r="F25" s="17">
        <v>0</v>
      </c>
      <c r="G25" s="17">
        <v>319.68</v>
      </c>
      <c r="H25" s="17">
        <v>1</v>
      </c>
      <c r="I25" s="35">
        <v>127.12458448276465</v>
      </c>
      <c r="J25" s="17">
        <f>'[15]Data Input'!AJ29</f>
        <v>20235</v>
      </c>
      <c r="K25" s="17">
        <f t="shared" si="0"/>
        <v>38961683.469966948</v>
      </c>
      <c r="L25" s="263">
        <f t="shared" si="3"/>
        <v>-962406.53003305197</v>
      </c>
      <c r="M25" s="264">
        <f t="shared" si="4"/>
        <v>2.4105910241988032E-2</v>
      </c>
    </row>
    <row r="26" spans="1:20" x14ac:dyDescent="0.2">
      <c r="A26" s="32">
        <v>37956</v>
      </c>
      <c r="B26" s="129">
        <f>'[15]Data Input'!B30</f>
        <v>42535190</v>
      </c>
      <c r="C26" s="17">
        <f>'Historical HDD &amp; CDD'!C173</f>
        <v>531.20000000000005</v>
      </c>
      <c r="D26" s="130">
        <f>'Historical HDD &amp; CDD'!D173</f>
        <v>0</v>
      </c>
      <c r="E26" s="17">
        <v>31</v>
      </c>
      <c r="F26" s="17">
        <v>0</v>
      </c>
      <c r="G26" s="17">
        <v>336.28800000000001</v>
      </c>
      <c r="H26" s="17">
        <v>0</v>
      </c>
      <c r="I26" s="35">
        <v>127.27195325542573</v>
      </c>
      <c r="J26" s="17">
        <f>'[15]Data Input'!AJ30</f>
        <v>20324</v>
      </c>
      <c r="K26" s="17">
        <f t="shared" si="0"/>
        <v>42859008.559386857</v>
      </c>
      <c r="L26" s="263">
        <f t="shared" si="3"/>
        <v>323818.55938685685</v>
      </c>
      <c r="M26" s="264">
        <f t="shared" si="4"/>
        <v>7.6129566927256431E-3</v>
      </c>
    </row>
    <row r="27" spans="1:20" x14ac:dyDescent="0.2">
      <c r="A27" s="32">
        <v>37987</v>
      </c>
      <c r="B27" s="129">
        <f>'[15]Data Input'!B33</f>
        <v>46623430</v>
      </c>
      <c r="C27" s="17">
        <f>'Historical HDD &amp; CDD'!C174</f>
        <v>805.39999999999986</v>
      </c>
      <c r="D27" s="130">
        <f>'Historical HDD &amp; CDD'!D174</f>
        <v>0</v>
      </c>
      <c r="E27" s="17">
        <v>31</v>
      </c>
      <c r="F27" s="17">
        <v>0</v>
      </c>
      <c r="G27" s="17">
        <v>336.28800000000001</v>
      </c>
      <c r="H27" s="17">
        <v>0</v>
      </c>
      <c r="I27" s="35">
        <v>127.53411264087498</v>
      </c>
      <c r="J27" s="17">
        <f>'[15]Data Input'!AJ33</f>
        <v>20483</v>
      </c>
      <c r="K27" s="17">
        <f t="shared" si="0"/>
        <v>45780954.372026138</v>
      </c>
      <c r="L27" s="263">
        <f t="shared" si="3"/>
        <v>-842475.62797386199</v>
      </c>
      <c r="M27" s="264">
        <f t="shared" si="4"/>
        <v>1.8069790832074387E-2</v>
      </c>
    </row>
    <row r="28" spans="1:20" x14ac:dyDescent="0.2">
      <c r="A28" s="32">
        <v>38018</v>
      </c>
      <c r="B28" s="129">
        <f>'[15]Data Input'!B34</f>
        <v>42059450</v>
      </c>
      <c r="C28" s="17">
        <f>'Historical HDD &amp; CDD'!C175</f>
        <v>616.79999999999995</v>
      </c>
      <c r="D28" s="130">
        <f>'Historical HDD &amp; CDD'!D175</f>
        <v>0</v>
      </c>
      <c r="E28" s="17">
        <v>29</v>
      </c>
      <c r="F28" s="17">
        <v>0</v>
      </c>
      <c r="G28" s="17">
        <v>320.16000000000003</v>
      </c>
      <c r="H28" s="17">
        <v>0</v>
      </c>
      <c r="I28" s="35">
        <v>127.79681203173486</v>
      </c>
      <c r="J28" s="17">
        <f>'[15]Data Input'!AJ34</f>
        <v>20455</v>
      </c>
      <c r="K28" s="17">
        <f t="shared" si="0"/>
        <v>41919533.574594021</v>
      </c>
      <c r="L28" s="263">
        <f t="shared" si="3"/>
        <v>-139916.42540597916</v>
      </c>
      <c r="M28" s="264">
        <f t="shared" si="4"/>
        <v>3.3266346898492291E-3</v>
      </c>
    </row>
    <row r="29" spans="1:20" x14ac:dyDescent="0.2">
      <c r="A29" s="32">
        <v>38047</v>
      </c>
      <c r="B29" s="129">
        <f>'[15]Data Input'!B35</f>
        <v>44041140</v>
      </c>
      <c r="C29" s="17">
        <f>'Historical HDD &amp; CDD'!C176</f>
        <v>478.59999999999997</v>
      </c>
      <c r="D29" s="130">
        <f>'Historical HDD &amp; CDD'!D176</f>
        <v>0</v>
      </c>
      <c r="E29" s="17">
        <v>31</v>
      </c>
      <c r="F29" s="17">
        <v>0</v>
      </c>
      <c r="G29" s="17">
        <v>368.28</v>
      </c>
      <c r="H29" s="17">
        <v>1</v>
      </c>
      <c r="I29" s="35">
        <v>128.06005254032812</v>
      </c>
      <c r="J29" s="17">
        <f>'[15]Data Input'!AJ35</f>
        <v>20436</v>
      </c>
      <c r="K29" s="17">
        <f t="shared" si="0"/>
        <v>42210449.752660051</v>
      </c>
      <c r="L29" s="263">
        <f t="shared" si="3"/>
        <v>-1830690.247339949</v>
      </c>
      <c r="M29" s="264">
        <f t="shared" si="4"/>
        <v>4.1567730702246786E-2</v>
      </c>
    </row>
    <row r="30" spans="1:20" x14ac:dyDescent="0.2">
      <c r="A30" s="32">
        <v>38078</v>
      </c>
      <c r="B30" s="129">
        <f>'[15]Data Input'!B36</f>
        <v>39465450</v>
      </c>
      <c r="C30" s="17">
        <f>'Historical HDD &amp; CDD'!C177</f>
        <v>302.89999999999992</v>
      </c>
      <c r="D30" s="130">
        <f>'Historical HDD &amp; CDD'!D177</f>
        <v>0.8</v>
      </c>
      <c r="E30" s="17">
        <v>30</v>
      </c>
      <c r="F30" s="17">
        <v>0</v>
      </c>
      <c r="G30" s="17">
        <v>336.24</v>
      </c>
      <c r="H30" s="17">
        <v>1</v>
      </c>
      <c r="I30" s="35">
        <v>128.32383528126866</v>
      </c>
      <c r="J30" s="17">
        <f>'[15]Data Input'!AJ36</f>
        <v>20438</v>
      </c>
      <c r="K30" s="17">
        <f t="shared" si="0"/>
        <v>38900037.881392166</v>
      </c>
      <c r="L30" s="263">
        <f t="shared" si="3"/>
        <v>-565412.11860783398</v>
      </c>
      <c r="M30" s="264">
        <f t="shared" si="4"/>
        <v>1.4326762234000473E-2</v>
      </c>
    </row>
    <row r="31" spans="1:20" x14ac:dyDescent="0.2">
      <c r="A31" s="32">
        <v>38108</v>
      </c>
      <c r="B31" s="129">
        <f>'[15]Data Input'!B37</f>
        <v>38649380</v>
      </c>
      <c r="C31" s="17">
        <f>'Historical HDD &amp; CDD'!C178</f>
        <v>117.30000000000003</v>
      </c>
      <c r="D31" s="130">
        <f>'Historical HDD &amp; CDD'!D178</f>
        <v>17.100000000000001</v>
      </c>
      <c r="E31" s="17">
        <v>31</v>
      </c>
      <c r="F31" s="17">
        <v>0</v>
      </c>
      <c r="G31" s="17">
        <v>319.92</v>
      </c>
      <c r="H31" s="17">
        <v>1</v>
      </c>
      <c r="I31" s="35">
        <v>128.58816137146633</v>
      </c>
      <c r="J31" s="17">
        <f>'[15]Data Input'!AJ37</f>
        <v>20382</v>
      </c>
      <c r="K31" s="17">
        <f t="shared" si="0"/>
        <v>38572952.770824127</v>
      </c>
      <c r="L31" s="263">
        <f t="shared" si="3"/>
        <v>-76427.229175873101</v>
      </c>
      <c r="M31" s="264">
        <f t="shared" si="4"/>
        <v>1.9774503284625288E-3</v>
      </c>
    </row>
    <row r="32" spans="1:20" x14ac:dyDescent="0.2">
      <c r="A32" s="32">
        <v>38139</v>
      </c>
      <c r="B32" s="129">
        <f>'[15]Data Input'!B38</f>
        <v>40366830</v>
      </c>
      <c r="C32" s="17">
        <f>'Historical HDD &amp; CDD'!C179</f>
        <v>47</v>
      </c>
      <c r="D32" s="130">
        <f>'Historical HDD &amp; CDD'!D179</f>
        <v>41.999999999999986</v>
      </c>
      <c r="E32" s="17">
        <v>30</v>
      </c>
      <c r="F32" s="17">
        <v>0</v>
      </c>
      <c r="G32" s="17">
        <v>352.08</v>
      </c>
      <c r="H32" s="17">
        <v>0</v>
      </c>
      <c r="I32" s="35">
        <v>128.85303193013166</v>
      </c>
      <c r="J32" s="17">
        <f>'[15]Data Input'!AJ38</f>
        <v>20295</v>
      </c>
      <c r="K32" s="17">
        <f t="shared" si="0"/>
        <v>40726109.239444301</v>
      </c>
      <c r="L32" s="263">
        <f t="shared" si="3"/>
        <v>359279.23944430053</v>
      </c>
      <c r="M32" s="264">
        <f t="shared" si="4"/>
        <v>8.9003580277247571E-3</v>
      </c>
    </row>
    <row r="33" spans="1:13" x14ac:dyDescent="0.2">
      <c r="A33" s="32">
        <v>38169</v>
      </c>
      <c r="B33" s="129">
        <f>'[15]Data Input'!B39</f>
        <v>42442080</v>
      </c>
      <c r="C33" s="17">
        <f>'Historical HDD &amp; CDD'!C180</f>
        <v>0.89999999999999991</v>
      </c>
      <c r="D33" s="130">
        <f>'Historical HDD &amp; CDD'!D180</f>
        <v>93.09999999999998</v>
      </c>
      <c r="E33" s="17">
        <v>31</v>
      </c>
      <c r="F33" s="17">
        <v>0</v>
      </c>
      <c r="G33" s="17">
        <v>336.28800000000001</v>
      </c>
      <c r="H33" s="17">
        <v>0</v>
      </c>
      <c r="I33" s="35">
        <v>129.11844807878055</v>
      </c>
      <c r="J33" s="17">
        <f>'[15]Data Input'!AJ39</f>
        <v>20268</v>
      </c>
      <c r="K33" s="17">
        <f t="shared" si="0"/>
        <v>44697955.182471544</v>
      </c>
      <c r="L33" s="263">
        <f t="shared" si="3"/>
        <v>2255875.1824715436</v>
      </c>
      <c r="M33" s="264">
        <f t="shared" si="4"/>
        <v>5.3151852653582098E-2</v>
      </c>
    </row>
    <row r="34" spans="1:13" x14ac:dyDescent="0.2">
      <c r="A34" s="32">
        <v>38200</v>
      </c>
      <c r="B34" s="129">
        <f>'[15]Data Input'!B40</f>
        <v>42940430</v>
      </c>
      <c r="C34" s="17">
        <f>'Historical HDD &amp; CDD'!C181</f>
        <v>11.7</v>
      </c>
      <c r="D34" s="130">
        <f>'Historical HDD &amp; CDD'!D181</f>
        <v>61.599999999999994</v>
      </c>
      <c r="E34" s="17">
        <v>31</v>
      </c>
      <c r="F34" s="17">
        <v>0</v>
      </c>
      <c r="G34" s="17">
        <v>336.28800000000001</v>
      </c>
      <c r="H34" s="17">
        <v>0</v>
      </c>
      <c r="I34" s="35">
        <v>129.38441094123903</v>
      </c>
      <c r="J34" s="17">
        <f>'[15]Data Input'!AJ40</f>
        <v>20241</v>
      </c>
      <c r="K34" s="17">
        <f t="shared" si="0"/>
        <v>42278845.775560275</v>
      </c>
      <c r="L34" s="263">
        <f t="shared" si="3"/>
        <v>-661584.22443972528</v>
      </c>
      <c r="M34" s="264">
        <f t="shared" si="4"/>
        <v>1.5407023740556983E-2</v>
      </c>
    </row>
    <row r="35" spans="1:13" x14ac:dyDescent="0.2">
      <c r="A35" s="32">
        <v>38231</v>
      </c>
      <c r="B35" s="129">
        <f>'[15]Data Input'!B41</f>
        <v>41663760</v>
      </c>
      <c r="C35" s="17">
        <f>'Historical HDD &amp; CDD'!C182</f>
        <v>27.7</v>
      </c>
      <c r="D35" s="130">
        <f>'Historical HDD &amp; CDD'!D182</f>
        <v>46.699999999999996</v>
      </c>
      <c r="E35" s="17">
        <v>30</v>
      </c>
      <c r="F35" s="17">
        <v>0</v>
      </c>
      <c r="G35" s="17">
        <v>336.24</v>
      </c>
      <c r="H35" s="17">
        <v>1</v>
      </c>
      <c r="I35" s="35">
        <v>129.65092164364802</v>
      </c>
      <c r="J35" s="17">
        <f>'[15]Data Input'!AJ41</f>
        <v>20388</v>
      </c>
      <c r="K35" s="17">
        <f t="shared" si="0"/>
        <v>39660122.851110704</v>
      </c>
      <c r="L35" s="263">
        <f t="shared" si="3"/>
        <v>-2003637.1488892958</v>
      </c>
      <c r="M35" s="264">
        <f t="shared" si="4"/>
        <v>4.8090646376834349E-2</v>
      </c>
    </row>
    <row r="36" spans="1:13" x14ac:dyDescent="0.2">
      <c r="A36" s="32">
        <v>38261</v>
      </c>
      <c r="B36" s="129">
        <f>'[15]Data Input'!B42</f>
        <v>39406350</v>
      </c>
      <c r="C36" s="17">
        <f>'Historical HDD &amp; CDD'!C183</f>
        <v>208.99999999999994</v>
      </c>
      <c r="D36" s="130">
        <f>'Historical HDD &amp; CDD'!D183</f>
        <v>0.3</v>
      </c>
      <c r="E36" s="17">
        <v>31</v>
      </c>
      <c r="F36" s="17">
        <v>0</v>
      </c>
      <c r="G36" s="17">
        <v>319.92</v>
      </c>
      <c r="H36" s="17">
        <v>1</v>
      </c>
      <c r="I36" s="35">
        <v>129.91798131446814</v>
      </c>
      <c r="J36" s="17">
        <f>'[15]Data Input'!AJ42</f>
        <v>20386</v>
      </c>
      <c r="K36" s="17">
        <f t="shared" si="0"/>
        <v>38198559.858612292</v>
      </c>
      <c r="L36" s="263">
        <f t="shared" si="3"/>
        <v>-1207790.1413877085</v>
      </c>
      <c r="M36" s="264">
        <f t="shared" si="4"/>
        <v>3.0649632391421901E-2</v>
      </c>
    </row>
    <row r="37" spans="1:13" x14ac:dyDescent="0.2">
      <c r="A37" s="32">
        <v>38292</v>
      </c>
      <c r="B37" s="129">
        <f>'[15]Data Input'!B43</f>
        <v>40213160</v>
      </c>
      <c r="C37" s="17">
        <f>'Historical HDD &amp; CDD'!C184</f>
        <v>364.79999999999995</v>
      </c>
      <c r="D37" s="130">
        <f>'Historical HDD &amp; CDD'!D184</f>
        <v>0</v>
      </c>
      <c r="E37" s="17">
        <v>30</v>
      </c>
      <c r="F37" s="17">
        <v>0</v>
      </c>
      <c r="G37" s="17">
        <v>352.08</v>
      </c>
      <c r="H37" s="17">
        <v>1</v>
      </c>
      <c r="I37" s="35">
        <v>130.18559108448443</v>
      </c>
      <c r="J37" s="17">
        <f>'[15]Data Input'!AJ43</f>
        <v>20441</v>
      </c>
      <c r="K37" s="17">
        <f t="shared" si="0"/>
        <v>39876264.790039919</v>
      </c>
      <c r="L37" s="263">
        <f t="shared" si="3"/>
        <v>-336895.20996008068</v>
      </c>
      <c r="M37" s="264">
        <f t="shared" si="4"/>
        <v>8.3777352976011008E-3</v>
      </c>
    </row>
    <row r="38" spans="1:13" x14ac:dyDescent="0.2">
      <c r="A38" s="32">
        <v>38322</v>
      </c>
      <c r="B38" s="129">
        <f>'[15]Data Input'!B44</f>
        <v>43313970</v>
      </c>
      <c r="C38" s="17">
        <f>'Historical HDD &amp; CDD'!C185</f>
        <v>590.80000000000007</v>
      </c>
      <c r="D38" s="130">
        <f>'Historical HDD &amp; CDD'!D185</f>
        <v>0</v>
      </c>
      <c r="E38" s="17">
        <v>31</v>
      </c>
      <c r="F38" s="17">
        <v>0</v>
      </c>
      <c r="G38" s="17">
        <v>336.28800000000001</v>
      </c>
      <c r="H38" s="17">
        <v>0</v>
      </c>
      <c r="I38" s="35">
        <v>130.45375208681136</v>
      </c>
      <c r="J38" s="17">
        <f>'[15]Data Input'!AJ44</f>
        <v>20588</v>
      </c>
      <c r="K38" s="17">
        <f t="shared" si="0"/>
        <v>43494121.50772129</v>
      </c>
      <c r="L38" s="263">
        <f t="shared" si="3"/>
        <v>180151.50772128999</v>
      </c>
      <c r="M38" s="264">
        <f t="shared" si="4"/>
        <v>4.1592010088498006E-3</v>
      </c>
    </row>
    <row r="39" spans="1:13" x14ac:dyDescent="0.2">
      <c r="A39" s="32">
        <v>38353</v>
      </c>
      <c r="B39" s="129">
        <f>'[15]Data Input'!B47</f>
        <v>46807180</v>
      </c>
      <c r="C39" s="17">
        <f>'Historical HDD &amp; CDD'!C186</f>
        <v>716.69999999999982</v>
      </c>
      <c r="D39" s="130">
        <f>'Historical HDD &amp; CDD'!D186</f>
        <v>0</v>
      </c>
      <c r="E39" s="17">
        <v>31</v>
      </c>
      <c r="F39" s="17">
        <v>0</v>
      </c>
      <c r="G39" s="17">
        <v>319.92</v>
      </c>
      <c r="H39" s="17">
        <v>0</v>
      </c>
      <c r="I39" s="35">
        <v>130.74370215685079</v>
      </c>
      <c r="J39" s="17">
        <f>'[15]Data Input'!AJ47</f>
        <v>20702</v>
      </c>
      <c r="K39" s="17">
        <f t="shared" si="0"/>
        <v>44442080.365801021</v>
      </c>
      <c r="L39" s="263">
        <f t="shared" si="3"/>
        <v>-2365099.6341989785</v>
      </c>
      <c r="M39" s="264">
        <f t="shared" si="4"/>
        <v>5.0528564938092373E-2</v>
      </c>
    </row>
    <row r="40" spans="1:13" x14ac:dyDescent="0.2">
      <c r="A40" s="32">
        <v>38384</v>
      </c>
      <c r="B40" s="129">
        <f>'[15]Data Input'!B48</f>
        <v>41117740</v>
      </c>
      <c r="C40" s="17">
        <f>'Historical HDD &amp; CDD'!C187</f>
        <v>594.69999999999993</v>
      </c>
      <c r="D40" s="130">
        <f>'Historical HDD &amp; CDD'!D187</f>
        <v>0</v>
      </c>
      <c r="E40" s="17">
        <v>28</v>
      </c>
      <c r="F40" s="17">
        <v>0</v>
      </c>
      <c r="G40" s="17">
        <v>319.87200000000001</v>
      </c>
      <c r="H40" s="17">
        <v>0</v>
      </c>
      <c r="I40" s="35">
        <v>131.0342966778299</v>
      </c>
      <c r="J40" s="17">
        <f>'[15]Data Input'!AJ48</f>
        <v>20700</v>
      </c>
      <c r="K40" s="17">
        <f t="shared" si="0"/>
        <v>40945224.21288377</v>
      </c>
      <c r="L40" s="263">
        <f t="shared" si="3"/>
        <v>-172515.78711622953</v>
      </c>
      <c r="M40" s="264">
        <f t="shared" si="4"/>
        <v>4.1956534361136952E-3</v>
      </c>
    </row>
    <row r="41" spans="1:13" x14ac:dyDescent="0.2">
      <c r="A41" s="32">
        <v>38412</v>
      </c>
      <c r="B41" s="129">
        <f>'[15]Data Input'!B49</f>
        <v>44324530</v>
      </c>
      <c r="C41" s="17">
        <f>'Historical HDD &amp; CDD'!C188</f>
        <v>591.40000000000009</v>
      </c>
      <c r="D41" s="130">
        <f>'Historical HDD &amp; CDD'!D188</f>
        <v>0</v>
      </c>
      <c r="E41" s="17">
        <v>31</v>
      </c>
      <c r="F41" s="17">
        <v>0</v>
      </c>
      <c r="G41" s="17">
        <v>351.91199999999998</v>
      </c>
      <c r="H41" s="17">
        <v>1</v>
      </c>
      <c r="I41" s="35">
        <v>131.32553708212293</v>
      </c>
      <c r="J41" s="17">
        <f>'[15]Data Input'!AJ49</f>
        <v>20659</v>
      </c>
      <c r="K41" s="17">
        <f t="shared" si="0"/>
        <v>43018811.637196481</v>
      </c>
      <c r="L41" s="263">
        <f t="shared" si="3"/>
        <v>-1305718.3628035188</v>
      </c>
      <c r="M41" s="264">
        <f t="shared" si="4"/>
        <v>2.9458143443450359E-2</v>
      </c>
    </row>
    <row r="42" spans="1:13" x14ac:dyDescent="0.2">
      <c r="A42" s="32">
        <v>38443</v>
      </c>
      <c r="B42" s="129">
        <f>'[15]Data Input'!B50</f>
        <v>39294850</v>
      </c>
      <c r="C42" s="17">
        <f>'Historical HDD &amp; CDD'!C189</f>
        <v>303.49999999999989</v>
      </c>
      <c r="D42" s="130">
        <f>'Historical HDD &amp; CDD'!D189</f>
        <v>0</v>
      </c>
      <c r="E42" s="17">
        <v>30</v>
      </c>
      <c r="F42" s="17">
        <v>0</v>
      </c>
      <c r="G42" s="17">
        <v>336.24</v>
      </c>
      <c r="H42" s="17">
        <v>1</v>
      </c>
      <c r="I42" s="35">
        <v>131.61742480528775</v>
      </c>
      <c r="J42" s="17">
        <f>'[15]Data Input'!AJ50</f>
        <v>20681</v>
      </c>
      <c r="K42" s="17">
        <f t="shared" si="0"/>
        <v>38842071.077476315</v>
      </c>
      <c r="L42" s="263">
        <f t="shared" si="3"/>
        <v>-452778.9225236848</v>
      </c>
      <c r="M42" s="264">
        <f t="shared" si="4"/>
        <v>1.1522602135488107E-2</v>
      </c>
    </row>
    <row r="43" spans="1:13" x14ac:dyDescent="0.2">
      <c r="A43" s="32">
        <v>38473</v>
      </c>
      <c r="B43" s="129">
        <f>'[15]Data Input'!B51</f>
        <v>38503630</v>
      </c>
      <c r="C43" s="17">
        <f>'Historical HDD &amp; CDD'!C190</f>
        <v>178.59999999999991</v>
      </c>
      <c r="D43" s="130">
        <f>'Historical HDD &amp; CDD'!D190</f>
        <v>0</v>
      </c>
      <c r="E43" s="17">
        <v>31</v>
      </c>
      <c r="F43" s="17">
        <v>0</v>
      </c>
      <c r="G43" s="17">
        <v>336.28800000000001</v>
      </c>
      <c r="H43" s="17">
        <v>1</v>
      </c>
      <c r="I43" s="35">
        <v>131.90996128607298</v>
      </c>
      <c r="J43" s="17">
        <f>'[15]Data Input'!AJ51</f>
        <v>20636</v>
      </c>
      <c r="K43" s="17">
        <f t="shared" si="0"/>
        <v>38244138.384509802</v>
      </c>
      <c r="L43" s="263">
        <f t="shared" si="3"/>
        <v>-259491.61549019814</v>
      </c>
      <c r="M43" s="264">
        <f t="shared" si="4"/>
        <v>6.7394065310257276E-3</v>
      </c>
    </row>
    <row r="44" spans="1:13" x14ac:dyDescent="0.2">
      <c r="A44" s="32">
        <v>38504</v>
      </c>
      <c r="B44" s="129">
        <f>'[15]Data Input'!B52</f>
        <v>43469730</v>
      </c>
      <c r="C44" s="17">
        <f>'Historical HDD &amp; CDD'!C191</f>
        <v>5.7</v>
      </c>
      <c r="D44" s="130">
        <f>'Historical HDD &amp; CDD'!D191</f>
        <v>141.19999999999999</v>
      </c>
      <c r="E44" s="17">
        <v>30</v>
      </c>
      <c r="F44" s="17">
        <v>0</v>
      </c>
      <c r="G44" s="17">
        <v>352.08</v>
      </c>
      <c r="H44" s="17">
        <v>0</v>
      </c>
      <c r="I44" s="35">
        <v>132.20314796642501</v>
      </c>
      <c r="J44" s="17">
        <f>'[15]Data Input'!AJ52</f>
        <v>20624</v>
      </c>
      <c r="K44" s="17">
        <f t="shared" si="0"/>
        <v>48266715.049000889</v>
      </c>
      <c r="L44" s="263">
        <f t="shared" si="3"/>
        <v>4796985.0490008891</v>
      </c>
      <c r="M44" s="264">
        <f t="shared" si="4"/>
        <v>0.11035230835344248</v>
      </c>
    </row>
    <row r="45" spans="1:13" x14ac:dyDescent="0.2">
      <c r="A45" s="32">
        <v>38534</v>
      </c>
      <c r="B45" s="129">
        <f>'[15]Data Input'!B53</f>
        <v>51308440</v>
      </c>
      <c r="C45" s="17">
        <f>'Historical HDD &amp; CDD'!C192</f>
        <v>0</v>
      </c>
      <c r="D45" s="130">
        <f>'Historical HDD &amp; CDD'!D192</f>
        <v>190.70000000000005</v>
      </c>
      <c r="E45" s="17">
        <v>31</v>
      </c>
      <c r="F45" s="17">
        <v>0</v>
      </c>
      <c r="G45" s="17">
        <v>319.92</v>
      </c>
      <c r="H45" s="17">
        <v>0</v>
      </c>
      <c r="I45" s="35">
        <v>132.49698629149512</v>
      </c>
      <c r="J45" s="17">
        <f>'[15]Data Input'!AJ53</f>
        <v>20638</v>
      </c>
      <c r="K45" s="17">
        <f t="shared" si="0"/>
        <v>52146688.715084977</v>
      </c>
      <c r="L45" s="263">
        <f t="shared" si="3"/>
        <v>838248.71508497745</v>
      </c>
      <c r="M45" s="264">
        <f t="shared" si="4"/>
        <v>1.6337443022726425E-2</v>
      </c>
    </row>
    <row r="46" spans="1:13" x14ac:dyDescent="0.2">
      <c r="A46" s="32">
        <v>38565</v>
      </c>
      <c r="B46" s="129">
        <f>'[15]Data Input'!B54</f>
        <v>48784110</v>
      </c>
      <c r="C46" s="17">
        <f>'Historical HDD &amp; CDD'!C193</f>
        <v>0.7</v>
      </c>
      <c r="D46" s="130">
        <f>'Historical HDD &amp; CDD'!D193</f>
        <v>144.1</v>
      </c>
      <c r="E46" s="17">
        <v>31</v>
      </c>
      <c r="F46" s="17">
        <v>0</v>
      </c>
      <c r="G46" s="17">
        <v>351.91199999999998</v>
      </c>
      <c r="H46" s="17">
        <v>0</v>
      </c>
      <c r="I46" s="35">
        <v>132.79147770964664</v>
      </c>
      <c r="J46" s="17">
        <f>'[15]Data Input'!AJ54</f>
        <v>20601</v>
      </c>
      <c r="K46" s="17">
        <f t="shared" si="0"/>
        <v>49174579.678278133</v>
      </c>
      <c r="L46" s="263">
        <f t="shared" si="3"/>
        <v>390469.67827813327</v>
      </c>
      <c r="M46" s="264">
        <f t="shared" si="4"/>
        <v>8.004034065152224E-3</v>
      </c>
    </row>
    <row r="47" spans="1:13" x14ac:dyDescent="0.2">
      <c r="A47" s="32">
        <v>38596</v>
      </c>
      <c r="B47" s="129">
        <f>'[15]Data Input'!B55</f>
        <v>41264120</v>
      </c>
      <c r="C47" s="17">
        <f>'Historical HDD &amp; CDD'!C194</f>
        <v>20.399999999999999</v>
      </c>
      <c r="D47" s="130">
        <f>'Historical HDD &amp; CDD'!D194</f>
        <v>49.79999999999999</v>
      </c>
      <c r="E47" s="17">
        <v>30</v>
      </c>
      <c r="F47" s="17">
        <v>0</v>
      </c>
      <c r="G47" s="17">
        <v>336.24</v>
      </c>
      <c r="H47" s="17">
        <v>1</v>
      </c>
      <c r="I47" s="35">
        <v>133.08662367246211</v>
      </c>
      <c r="J47" s="17">
        <f>'[15]Data Input'!AJ55</f>
        <v>20620</v>
      </c>
      <c r="K47" s="17">
        <f t="shared" si="0"/>
        <v>39831729.335110739</v>
      </c>
      <c r="L47" s="263">
        <f t="shared" si="3"/>
        <v>-1432390.6648892611</v>
      </c>
      <c r="M47" s="264">
        <f t="shared" si="4"/>
        <v>3.4712739903074663E-2</v>
      </c>
    </row>
    <row r="48" spans="1:13" x14ac:dyDescent="0.2">
      <c r="A48" s="32">
        <v>38626</v>
      </c>
      <c r="B48" s="129">
        <f>'[15]Data Input'!B56</f>
        <v>40426860</v>
      </c>
      <c r="C48" s="17">
        <f>'Historical HDD &amp; CDD'!C195</f>
        <v>212.19999999999996</v>
      </c>
      <c r="D48" s="130">
        <f>'Historical HDD &amp; CDD'!D195</f>
        <v>8.6999999999999993</v>
      </c>
      <c r="E48" s="17">
        <v>31</v>
      </c>
      <c r="F48" s="17">
        <v>0</v>
      </c>
      <c r="G48" s="17">
        <v>319.92</v>
      </c>
      <c r="H48" s="17">
        <v>1</v>
      </c>
      <c r="I48" s="35">
        <v>133.38242563475035</v>
      </c>
      <c r="J48" s="17">
        <f>'[15]Data Input'!AJ56</f>
        <v>20641</v>
      </c>
      <c r="K48" s="17">
        <f t="shared" si="0"/>
        <v>38908445.746191427</v>
      </c>
      <c r="L48" s="263">
        <f t="shared" si="3"/>
        <v>-1518414.2538085729</v>
      </c>
      <c r="M48" s="264">
        <f t="shared" si="4"/>
        <v>3.7559539717123044E-2</v>
      </c>
    </row>
    <row r="49" spans="1:13" x14ac:dyDescent="0.2">
      <c r="A49" s="32">
        <v>38657</v>
      </c>
      <c r="B49" s="129">
        <f>'[15]Data Input'!B57</f>
        <v>41421880</v>
      </c>
      <c r="C49" s="17">
        <f>'Historical HDD &amp; CDD'!C196</f>
        <v>361.1</v>
      </c>
      <c r="D49" s="130">
        <f>'Historical HDD &amp; CDD'!D196</f>
        <v>0</v>
      </c>
      <c r="E49" s="17">
        <v>30</v>
      </c>
      <c r="F49" s="17">
        <v>0</v>
      </c>
      <c r="G49" s="17">
        <v>352.08</v>
      </c>
      <c r="H49" s="17">
        <v>1</v>
      </c>
      <c r="I49" s="35">
        <v>133.67888505455369</v>
      </c>
      <c r="J49" s="17">
        <f>'[15]Data Input'!AJ57</f>
        <v>20652</v>
      </c>
      <c r="K49" s="17">
        <f t="shared" si="0"/>
        <v>39836836.637207069</v>
      </c>
      <c r="L49" s="263">
        <f t="shared" si="3"/>
        <v>-1585043.3627929315</v>
      </c>
      <c r="M49" s="264">
        <f t="shared" si="4"/>
        <v>3.826584797196389E-2</v>
      </c>
    </row>
    <row r="50" spans="1:13" x14ac:dyDescent="0.2">
      <c r="A50" s="32">
        <v>38687</v>
      </c>
      <c r="B50" s="129">
        <f>'[15]Data Input'!B58</f>
        <v>44051790</v>
      </c>
      <c r="C50" s="17">
        <f>'Historical HDD &amp; CDD'!C197</f>
        <v>651.50000000000034</v>
      </c>
      <c r="D50" s="130">
        <f>'Historical HDD &amp; CDD'!D197</f>
        <v>0</v>
      </c>
      <c r="E50" s="17">
        <v>31</v>
      </c>
      <c r="F50" s="17">
        <v>0</v>
      </c>
      <c r="G50" s="17">
        <v>319.92</v>
      </c>
      <c r="H50" s="17">
        <v>0</v>
      </c>
      <c r="I50" s="35">
        <v>133.97600339315525</v>
      </c>
      <c r="J50" s="17">
        <f>'[15]Data Input'!AJ58</f>
        <v>20740</v>
      </c>
      <c r="K50" s="17">
        <f t="shared" si="0"/>
        <v>43747292.375341214</v>
      </c>
      <c r="L50" s="263">
        <f t="shared" si="3"/>
        <v>-304497.62465878576</v>
      </c>
      <c r="M50" s="264">
        <f t="shared" si="4"/>
        <v>6.9122645109037737E-3</v>
      </c>
    </row>
    <row r="51" spans="1:13" x14ac:dyDescent="0.2">
      <c r="A51" s="32">
        <v>38718</v>
      </c>
      <c r="B51" s="129">
        <f>'[15]Data Input'!B61</f>
        <v>43192750</v>
      </c>
      <c r="C51" s="17">
        <f>'Historical HDD &amp; CDD'!C198</f>
        <v>524.29999999999995</v>
      </c>
      <c r="D51" s="130">
        <f>'Historical HDD &amp; CDD'!D198</f>
        <v>0</v>
      </c>
      <c r="E51" s="17">
        <v>31</v>
      </c>
      <c r="F51" s="17">
        <f>'CDM Activity'!B20</f>
        <v>10209.288328229812</v>
      </c>
      <c r="G51" s="17">
        <v>336.28800000000001</v>
      </c>
      <c r="H51" s="17">
        <v>0</v>
      </c>
      <c r="I51" s="35">
        <v>134.25197202423305</v>
      </c>
      <c r="J51" s="17">
        <f>'[15]Data Input'!AJ61</f>
        <v>20858</v>
      </c>
      <c r="K51" s="17">
        <f t="shared" si="0"/>
        <v>42704774.974501304</v>
      </c>
      <c r="L51" s="263">
        <f t="shared" si="3"/>
        <v>-487975.02549869567</v>
      </c>
      <c r="M51" s="264">
        <f t="shared" si="4"/>
        <v>1.1297614194481612E-2</v>
      </c>
    </row>
    <row r="52" spans="1:13" x14ac:dyDescent="0.2">
      <c r="A52" s="32">
        <v>38749</v>
      </c>
      <c r="B52" s="129">
        <f>'[15]Data Input'!B62</f>
        <v>39863550</v>
      </c>
      <c r="C52" s="17">
        <f>'Historical HDD &amp; CDD'!C199</f>
        <v>570.29999999999995</v>
      </c>
      <c r="D52" s="130">
        <f>'Historical HDD &amp; CDD'!D199</f>
        <v>0</v>
      </c>
      <c r="E52" s="17">
        <v>28</v>
      </c>
      <c r="F52" s="17">
        <f>'CDM Activity'!B21</f>
        <v>20418.576656459623</v>
      </c>
      <c r="G52" s="17">
        <v>319.87200000000001</v>
      </c>
      <c r="H52" s="17">
        <v>0</v>
      </c>
      <c r="I52" s="35">
        <v>134.52850910550649</v>
      </c>
      <c r="J52" s="17">
        <f>'[15]Data Input'!AJ62</f>
        <v>20902</v>
      </c>
      <c r="K52" s="17">
        <f t="shared" si="0"/>
        <v>40523800.713375345</v>
      </c>
      <c r="L52" s="263">
        <f t="shared" si="3"/>
        <v>660250.71337534487</v>
      </c>
      <c r="M52" s="264">
        <f t="shared" si="4"/>
        <v>1.6562767575274778E-2</v>
      </c>
    </row>
    <row r="53" spans="1:13" x14ac:dyDescent="0.2">
      <c r="A53" s="32">
        <v>38777</v>
      </c>
      <c r="B53" s="129">
        <f>'[15]Data Input'!B63</f>
        <v>42675980</v>
      </c>
      <c r="C53" s="17">
        <f>'Historical HDD &amp; CDD'!C200</f>
        <v>514.6</v>
      </c>
      <c r="D53" s="130">
        <f>'Historical HDD &amp; CDD'!D200</f>
        <v>0</v>
      </c>
      <c r="E53" s="17">
        <v>31</v>
      </c>
      <c r="F53" s="17">
        <f>'CDM Activity'!B22</f>
        <v>30627.864984689433</v>
      </c>
      <c r="G53" s="17">
        <v>368.28</v>
      </c>
      <c r="H53" s="17">
        <v>1</v>
      </c>
      <c r="I53" s="35">
        <v>134.80561580788986</v>
      </c>
      <c r="J53" s="17">
        <f>'[15]Data Input'!AJ63</f>
        <v>20845</v>
      </c>
      <c r="K53" s="17">
        <f t="shared" si="0"/>
        <v>42351958.799522907</v>
      </c>
      <c r="L53" s="263">
        <f t="shared" si="3"/>
        <v>-324021.20047709346</v>
      </c>
      <c r="M53" s="264">
        <f t="shared" si="4"/>
        <v>7.5925895662406224E-3</v>
      </c>
    </row>
    <row r="54" spans="1:13" x14ac:dyDescent="0.2">
      <c r="A54" s="32">
        <v>38808</v>
      </c>
      <c r="B54" s="129">
        <f>'[15]Data Input'!B64</f>
        <v>34740070</v>
      </c>
      <c r="C54" s="17">
        <f>'Historical HDD &amp; CDD'!C201</f>
        <v>269.99999999999994</v>
      </c>
      <c r="D54" s="130">
        <f>'Historical HDD &amp; CDD'!D201</f>
        <v>0</v>
      </c>
      <c r="E54" s="17">
        <v>30</v>
      </c>
      <c r="F54" s="17">
        <f>'CDM Activity'!B23</f>
        <v>40837.153312919247</v>
      </c>
      <c r="G54" s="17">
        <v>303.83999999999997</v>
      </c>
      <c r="H54" s="17">
        <v>1</v>
      </c>
      <c r="I54" s="35">
        <v>135.08329330470943</v>
      </c>
      <c r="J54" s="17">
        <f>'[15]Data Input'!AJ64</f>
        <v>20839</v>
      </c>
      <c r="K54" s="17">
        <f t="shared" si="0"/>
        <v>37383017.969013415</v>
      </c>
      <c r="L54" s="263">
        <f t="shared" si="3"/>
        <v>2642947.9690134153</v>
      </c>
      <c r="M54" s="264">
        <f t="shared" si="4"/>
        <v>7.6077796303041859E-2</v>
      </c>
    </row>
    <row r="55" spans="1:13" x14ac:dyDescent="0.2">
      <c r="A55" s="32">
        <v>38838</v>
      </c>
      <c r="B55" s="129">
        <f>'[15]Data Input'!B65</f>
        <v>38741980</v>
      </c>
      <c r="C55" s="17">
        <f>'Historical HDD &amp; CDD'!C202</f>
        <v>127.30000000000003</v>
      </c>
      <c r="D55" s="130">
        <f>'Historical HDD &amp; CDD'!D202</f>
        <v>24.3</v>
      </c>
      <c r="E55" s="17">
        <v>31</v>
      </c>
      <c r="F55" s="17">
        <f>'CDM Activity'!B24</f>
        <v>51046.44164114906</v>
      </c>
      <c r="G55" s="17">
        <v>351.91199999999998</v>
      </c>
      <c r="H55" s="17">
        <v>1</v>
      </c>
      <c r="I55" s="35">
        <v>135.36154277170829</v>
      </c>
      <c r="J55" s="17">
        <f>'[15]Data Input'!AJ65</f>
        <v>20801</v>
      </c>
      <c r="K55" s="17">
        <f t="shared" si="0"/>
        <v>39624667.44343961</v>
      </c>
      <c r="L55" s="263">
        <f t="shared" si="3"/>
        <v>882687.4434396103</v>
      </c>
      <c r="M55" s="264">
        <f t="shared" si="4"/>
        <v>2.2783746298965884E-2</v>
      </c>
    </row>
    <row r="56" spans="1:13" x14ac:dyDescent="0.2">
      <c r="A56" s="32">
        <v>38869</v>
      </c>
      <c r="B56" s="129">
        <f>'[15]Data Input'!B66</f>
        <v>41837560</v>
      </c>
      <c r="C56" s="17">
        <f>'Historical HDD &amp; CDD'!C203</f>
        <v>18.899999999999999</v>
      </c>
      <c r="D56" s="130">
        <f>'Historical HDD &amp; CDD'!D203</f>
        <v>69.899999999999977</v>
      </c>
      <c r="E56" s="17">
        <v>30</v>
      </c>
      <c r="F56" s="17">
        <f>'CDM Activity'!B25</f>
        <v>61255.729969378874</v>
      </c>
      <c r="G56" s="17">
        <v>352.08</v>
      </c>
      <c r="H56" s="17">
        <v>0</v>
      </c>
      <c r="I56" s="35">
        <v>135.64036538705133</v>
      </c>
      <c r="J56" s="17">
        <f>'[15]Data Input'!AJ66</f>
        <v>20769</v>
      </c>
      <c r="K56" s="17">
        <f t="shared" si="0"/>
        <v>42187010.430400103</v>
      </c>
      <c r="L56" s="263">
        <f t="shared" si="3"/>
        <v>349450.43040010333</v>
      </c>
      <c r="M56" s="264">
        <f t="shared" si="4"/>
        <v>8.3525528353016604E-3</v>
      </c>
    </row>
    <row r="57" spans="1:13" x14ac:dyDescent="0.2">
      <c r="A57" s="32">
        <v>38899</v>
      </c>
      <c r="B57" s="129">
        <f>'[15]Data Input'!B67</f>
        <v>47715260</v>
      </c>
      <c r="C57" s="17">
        <f>'Historical HDD &amp; CDD'!C204</f>
        <v>1</v>
      </c>
      <c r="D57" s="130">
        <f>'Historical HDD &amp; CDD'!D204</f>
        <v>161.4</v>
      </c>
      <c r="E57" s="17">
        <v>31</v>
      </c>
      <c r="F57" s="17">
        <f>'CDM Activity'!B26</f>
        <v>71465.01829760868</v>
      </c>
      <c r="G57" s="17">
        <v>319.92</v>
      </c>
      <c r="H57" s="17">
        <v>0</v>
      </c>
      <c r="I57" s="35">
        <v>135.9197623313303</v>
      </c>
      <c r="J57" s="17">
        <f>'[15]Data Input'!AJ67</f>
        <v>20730</v>
      </c>
      <c r="K57" s="17">
        <f t="shared" si="0"/>
        <v>49235201.664267406</v>
      </c>
      <c r="L57" s="263">
        <f t="shared" si="3"/>
        <v>1519941.6642674059</v>
      </c>
      <c r="M57" s="264">
        <f t="shared" si="4"/>
        <v>3.1854414379538239E-2</v>
      </c>
    </row>
    <row r="58" spans="1:13" x14ac:dyDescent="0.2">
      <c r="A58" s="32">
        <v>38930</v>
      </c>
      <c r="B58" s="129">
        <f>'[15]Data Input'!B68</f>
        <v>44325550</v>
      </c>
      <c r="C58" s="17">
        <f>'Historical HDD &amp; CDD'!C205</f>
        <v>1.4</v>
      </c>
      <c r="D58" s="130">
        <f>'Historical HDD &amp; CDD'!D205</f>
        <v>100.1</v>
      </c>
      <c r="E58" s="17">
        <v>31</v>
      </c>
      <c r="F58" s="17">
        <f>'CDM Activity'!B27</f>
        <v>81674.306625838493</v>
      </c>
      <c r="G58" s="17">
        <v>351.91199999999998</v>
      </c>
      <c r="H58" s="17">
        <v>0</v>
      </c>
      <c r="I58" s="35">
        <v>136.19973478756879</v>
      </c>
      <c r="J58" s="17">
        <f>'[15]Data Input'!AJ68</f>
        <v>20634</v>
      </c>
      <c r="K58" s="17">
        <f t="shared" si="0"/>
        <v>44996565.081084691</v>
      </c>
      <c r="L58" s="263">
        <f t="shared" si="3"/>
        <v>671015.08108469099</v>
      </c>
      <c r="M58" s="264">
        <f t="shared" si="4"/>
        <v>1.5138336266209692E-2</v>
      </c>
    </row>
    <row r="59" spans="1:13" x14ac:dyDescent="0.2">
      <c r="A59" s="32">
        <v>38961</v>
      </c>
      <c r="B59" s="129">
        <f>'[15]Data Input'!B69</f>
        <v>36564730</v>
      </c>
      <c r="C59" s="17">
        <f>'Historical HDD &amp; CDD'!C206</f>
        <v>68.800000000000011</v>
      </c>
      <c r="D59" s="130">
        <f>'Historical HDD &amp; CDD'!D206</f>
        <v>17.2</v>
      </c>
      <c r="E59" s="17">
        <v>30</v>
      </c>
      <c r="F59" s="17">
        <f>'CDM Activity'!B28</f>
        <v>91883.594954068307</v>
      </c>
      <c r="G59" s="17">
        <v>319.68</v>
      </c>
      <c r="H59" s="17">
        <v>1</v>
      </c>
      <c r="I59" s="35">
        <v>136.48028394122719</v>
      </c>
      <c r="J59" s="17">
        <f>'[15]Data Input'!AJ69</f>
        <v>20765</v>
      </c>
      <c r="K59" s="17">
        <f t="shared" si="0"/>
        <v>36600169.048274018</v>
      </c>
      <c r="L59" s="263">
        <f t="shared" si="3"/>
        <v>35439.04827401787</v>
      </c>
      <c r="M59" s="264">
        <f t="shared" si="4"/>
        <v>9.6921400141660753E-4</v>
      </c>
    </row>
    <row r="60" spans="1:13" x14ac:dyDescent="0.2">
      <c r="A60" s="32">
        <v>38991</v>
      </c>
      <c r="B60" s="129">
        <f>'[15]Data Input'!B70</f>
        <v>38815730</v>
      </c>
      <c r="C60" s="17">
        <f>'Historical HDD &amp; CDD'!C207</f>
        <v>269.89999999999998</v>
      </c>
      <c r="D60" s="130">
        <f>'Historical HDD &amp; CDD'!D207</f>
        <v>0</v>
      </c>
      <c r="E60" s="17">
        <v>31</v>
      </c>
      <c r="F60" s="17">
        <f>'CDM Activity'!B29</f>
        <v>102092.88328229812</v>
      </c>
      <c r="G60" s="17">
        <v>336.28800000000001</v>
      </c>
      <c r="H60" s="17">
        <v>1</v>
      </c>
      <c r="I60" s="35">
        <v>136.76141098020776</v>
      </c>
      <c r="J60" s="17">
        <f>'[15]Data Input'!AJ70</f>
        <v>20724</v>
      </c>
      <c r="K60" s="17">
        <f t="shared" si="0"/>
        <v>38410000.616493404</v>
      </c>
      <c r="L60" s="263">
        <f t="shared" si="3"/>
        <v>-405729.38350659609</v>
      </c>
      <c r="M60" s="264">
        <f t="shared" si="4"/>
        <v>1.0452705217874199E-2</v>
      </c>
    </row>
    <row r="61" spans="1:13" x14ac:dyDescent="0.2">
      <c r="A61" s="32">
        <v>39022</v>
      </c>
      <c r="B61" s="129">
        <f>'[15]Data Input'!B71</f>
        <v>39427080</v>
      </c>
      <c r="C61" s="17">
        <f>'Historical HDD &amp; CDD'!C208</f>
        <v>361.09999999999997</v>
      </c>
      <c r="D61" s="130">
        <f>'Historical HDD &amp; CDD'!D208</f>
        <v>0</v>
      </c>
      <c r="E61" s="17">
        <v>30</v>
      </c>
      <c r="F61" s="17">
        <f>'CDM Activity'!B30</f>
        <v>112302.17161052793</v>
      </c>
      <c r="G61" s="17">
        <v>352.08</v>
      </c>
      <c r="H61" s="17">
        <v>1</v>
      </c>
      <c r="I61" s="35">
        <v>137.04311709485967</v>
      </c>
      <c r="J61" s="17">
        <f>'[15]Data Input'!AJ71</f>
        <v>20776</v>
      </c>
      <c r="K61" s="17">
        <f t="shared" si="0"/>
        <v>38949077.149415426</v>
      </c>
      <c r="L61" s="263">
        <f t="shared" si="3"/>
        <v>-478002.85058457404</v>
      </c>
      <c r="M61" s="264">
        <f t="shared" si="4"/>
        <v>1.2123719296092281E-2</v>
      </c>
    </row>
    <row r="62" spans="1:13" x14ac:dyDescent="0.2">
      <c r="A62" s="32">
        <v>39052</v>
      </c>
      <c r="B62" s="129">
        <f>'[15]Data Input'!B72</f>
        <v>40481750</v>
      </c>
      <c r="C62" s="17">
        <f>'Historical HDD &amp; CDD'!C209</f>
        <v>469.39999999999992</v>
      </c>
      <c r="D62" s="130">
        <f>'Historical HDD &amp; CDD'!D209</f>
        <v>0</v>
      </c>
      <c r="E62" s="17">
        <v>31</v>
      </c>
      <c r="F62" s="17">
        <f>'CDM Activity'!B31</f>
        <v>122511.45993875775</v>
      </c>
      <c r="G62" s="17">
        <v>304.29599999999999</v>
      </c>
      <c r="H62" s="17">
        <v>0</v>
      </c>
      <c r="I62" s="35">
        <v>137.32540347798411</v>
      </c>
      <c r="J62" s="17">
        <f>'[15]Data Input'!AJ72</f>
        <v>20889</v>
      </c>
      <c r="K62" s="17">
        <f t="shared" si="0"/>
        <v>40462552.837297156</v>
      </c>
      <c r="L62" s="263">
        <f t="shared" si="3"/>
        <v>-19197.162702843547</v>
      </c>
      <c r="M62" s="264">
        <f t="shared" si="4"/>
        <v>4.742177080497643E-4</v>
      </c>
    </row>
    <row r="63" spans="1:13" x14ac:dyDescent="0.2">
      <c r="A63" s="32">
        <v>39083</v>
      </c>
      <c r="B63" s="129">
        <f>'[15]Data Input'!B75</f>
        <v>43659020</v>
      </c>
      <c r="C63" s="17">
        <f>'Historical HDD &amp; CDD'!C210</f>
        <v>625.70000000000005</v>
      </c>
      <c r="D63" s="130">
        <f>'Historical HDD &amp; CDD'!D210</f>
        <v>0</v>
      </c>
      <c r="E63" s="17">
        <v>31</v>
      </c>
      <c r="F63" s="17">
        <f>'CDM Activity'!B32</f>
        <v>128921.351068262</v>
      </c>
      <c r="G63" s="17">
        <v>351.91199999999998</v>
      </c>
      <c r="H63" s="17">
        <v>0</v>
      </c>
      <c r="I63" s="35">
        <v>137.552207546647</v>
      </c>
      <c r="J63" s="17">
        <f>'[15]Data Input'!AJ75</f>
        <v>20925</v>
      </c>
      <c r="K63" s="17">
        <f t="shared" si="0"/>
        <v>43222659.339901268</v>
      </c>
      <c r="L63" s="263">
        <f t="shared" si="3"/>
        <v>-436360.66009873152</v>
      </c>
      <c r="M63" s="264">
        <f t="shared" si="4"/>
        <v>9.9947424403647057E-3</v>
      </c>
    </row>
    <row r="64" spans="1:13" x14ac:dyDescent="0.2">
      <c r="A64" s="32">
        <v>39114</v>
      </c>
      <c r="B64" s="129">
        <f>'[15]Data Input'!B76</f>
        <v>42004080</v>
      </c>
      <c r="C64" s="17">
        <f>'Historical HDD &amp; CDD'!C211</f>
        <v>739.30000000000018</v>
      </c>
      <c r="D64" s="130">
        <f>'Historical HDD &amp; CDD'!D211</f>
        <v>0</v>
      </c>
      <c r="E64" s="17">
        <v>28</v>
      </c>
      <c r="F64" s="17">
        <f>'CDM Activity'!B33</f>
        <v>135331.24219776626</v>
      </c>
      <c r="G64" s="17">
        <v>319.87200000000001</v>
      </c>
      <c r="H64" s="17">
        <v>0</v>
      </c>
      <c r="I64" s="35">
        <v>137.77938620066888</v>
      </c>
      <c r="J64" s="17">
        <f>'[15]Data Input'!AJ76</f>
        <v>20950</v>
      </c>
      <c r="K64" s="17">
        <f t="shared" si="0"/>
        <v>41416312.540802851</v>
      </c>
      <c r="L64" s="263">
        <f t="shared" si="3"/>
        <v>-587767.45919714868</v>
      </c>
      <c r="M64" s="264">
        <f t="shared" si="4"/>
        <v>1.3993103984116512E-2</v>
      </c>
    </row>
    <row r="65" spans="1:20" x14ac:dyDescent="0.2">
      <c r="A65" s="32">
        <v>39142</v>
      </c>
      <c r="B65" s="129">
        <f>'[15]Data Input'!B77</f>
        <v>41099580</v>
      </c>
      <c r="C65" s="17">
        <f>'Historical HDD &amp; CDD'!C212</f>
        <v>538.79999999999984</v>
      </c>
      <c r="D65" s="130">
        <f>'Historical HDD &amp; CDD'!D212</f>
        <v>0</v>
      </c>
      <c r="E65" s="17">
        <v>31</v>
      </c>
      <c r="F65" s="17">
        <f>'CDM Activity'!B34</f>
        <v>141741.13332727051</v>
      </c>
      <c r="G65" s="17">
        <v>351.91199999999998</v>
      </c>
      <c r="H65" s="17">
        <v>1</v>
      </c>
      <c r="I65" s="35">
        <v>138.00694005870795</v>
      </c>
      <c r="J65" s="17">
        <f>'[15]Data Input'!AJ77</f>
        <v>20904</v>
      </c>
      <c r="K65" s="17">
        <f t="shared" si="0"/>
        <v>41337815.174677394</v>
      </c>
      <c r="L65" s="263">
        <f t="shared" si="3"/>
        <v>238235.17467739433</v>
      </c>
      <c r="M65" s="264">
        <f t="shared" si="4"/>
        <v>5.7965355041923626E-3</v>
      </c>
    </row>
    <row r="66" spans="1:20" x14ac:dyDescent="0.2">
      <c r="A66" s="32">
        <v>39173</v>
      </c>
      <c r="B66" s="129">
        <f>'[15]Data Input'!B78</f>
        <v>37578410</v>
      </c>
      <c r="C66" s="17">
        <f>'Historical HDD &amp; CDD'!C213</f>
        <v>376.09999999999997</v>
      </c>
      <c r="D66" s="130">
        <f>'Historical HDD &amp; CDD'!D213</f>
        <v>0</v>
      </c>
      <c r="E66" s="17">
        <v>30</v>
      </c>
      <c r="F66" s="17">
        <f>'CDM Activity'!B35</f>
        <v>148151.02445677476</v>
      </c>
      <c r="G66" s="17">
        <v>319.68</v>
      </c>
      <c r="H66" s="17">
        <v>1</v>
      </c>
      <c r="I66" s="35">
        <v>138.23486974044414</v>
      </c>
      <c r="J66" s="17">
        <f>'[15]Data Input'!AJ78</f>
        <v>20877</v>
      </c>
      <c r="K66" s="17">
        <f t="shared" si="0"/>
        <v>38046285.526640028</v>
      </c>
      <c r="L66" s="263">
        <f t="shared" si="3"/>
        <v>467875.52664002776</v>
      </c>
      <c r="M66" s="264">
        <f t="shared" si="4"/>
        <v>1.2450647237071174E-2</v>
      </c>
    </row>
    <row r="67" spans="1:20" x14ac:dyDescent="0.2">
      <c r="A67" s="32">
        <v>39203</v>
      </c>
      <c r="B67" s="129">
        <f>'[15]Data Input'!B79</f>
        <v>37137720</v>
      </c>
      <c r="C67" s="17">
        <f>'Historical HDD &amp; CDD'!C214</f>
        <v>144.19999999999999</v>
      </c>
      <c r="D67" s="130">
        <f>'Historical HDD &amp; CDD'!D214</f>
        <v>15.4</v>
      </c>
      <c r="E67" s="17">
        <v>31</v>
      </c>
      <c r="F67" s="17">
        <f>'CDM Activity'!B36</f>
        <v>154560.91558627901</v>
      </c>
      <c r="G67" s="17">
        <v>351.91199999999998</v>
      </c>
      <c r="H67" s="17">
        <v>1</v>
      </c>
      <c r="I67" s="35">
        <v>138.46317586658083</v>
      </c>
      <c r="J67" s="17">
        <f>'[15]Data Input'!AJ79</f>
        <v>20803</v>
      </c>
      <c r="K67" s="17">
        <f t="shared" si="0"/>
        <v>38270455.092060328</v>
      </c>
      <c r="L67" s="263">
        <f t="shared" si="3"/>
        <v>1132735.0920603275</v>
      </c>
      <c r="M67" s="264">
        <f t="shared" si="4"/>
        <v>3.0500932530600357E-2</v>
      </c>
    </row>
    <row r="68" spans="1:20" x14ac:dyDescent="0.2">
      <c r="A68" s="32">
        <v>39234</v>
      </c>
      <c r="B68" s="129">
        <f>'[15]Data Input'!B80</f>
        <v>42747830</v>
      </c>
      <c r="C68" s="17">
        <f>'Historical HDD &amp; CDD'!C215</f>
        <v>19.599999999999998</v>
      </c>
      <c r="D68" s="130">
        <f>'Historical HDD &amp; CDD'!D215</f>
        <v>84.3</v>
      </c>
      <c r="E68" s="17">
        <v>30</v>
      </c>
      <c r="F68" s="17">
        <f>'CDM Activity'!B37</f>
        <v>160970.80671578326</v>
      </c>
      <c r="G68" s="17">
        <v>336.24</v>
      </c>
      <c r="H68" s="17">
        <v>0</v>
      </c>
      <c r="I68" s="35">
        <v>138.69185905884657</v>
      </c>
      <c r="J68" s="17">
        <f>'[15]Data Input'!AJ80</f>
        <v>20822</v>
      </c>
      <c r="K68" s="17">
        <f t="shared" ref="K68:K131" si="5">$O$18+$O$19*C68+$O$20*D68+$O$21*E68+$O$22*F68+$O$23*G68+H68*$O$24</f>
        <v>42183737.445928074</v>
      </c>
      <c r="L68" s="263">
        <f t="shared" si="3"/>
        <v>-564092.55407192558</v>
      </c>
      <c r="M68" s="264">
        <f t="shared" si="4"/>
        <v>1.3195817286442974E-2</v>
      </c>
    </row>
    <row r="69" spans="1:20" x14ac:dyDescent="0.2">
      <c r="A69" s="32">
        <v>39264</v>
      </c>
      <c r="B69" s="129">
        <f>'[15]Data Input'!B81</f>
        <v>41879640</v>
      </c>
      <c r="C69" s="17">
        <f>'Historical HDD &amp; CDD'!C216</f>
        <v>7.3999999999999995</v>
      </c>
      <c r="D69" s="130">
        <f>'Historical HDD &amp; CDD'!D216</f>
        <v>77.499999999999986</v>
      </c>
      <c r="E69" s="17">
        <v>31</v>
      </c>
      <c r="F69" s="17">
        <f>'CDM Activity'!B38</f>
        <v>167380.6978452875</v>
      </c>
      <c r="G69" s="17">
        <v>336.28800000000001</v>
      </c>
      <c r="H69" s="17">
        <v>0</v>
      </c>
      <c r="I69" s="35">
        <v>138.92091993999671</v>
      </c>
      <c r="J69" s="17">
        <f>'[15]Data Input'!AJ81</f>
        <v>20767</v>
      </c>
      <c r="K69" s="17">
        <f t="shared" si="5"/>
        <v>42189029.422063075</v>
      </c>
      <c r="L69" s="263">
        <f t="shared" si="3"/>
        <v>309389.42206307501</v>
      </c>
      <c r="M69" s="264">
        <f t="shared" si="4"/>
        <v>7.3875855203883083E-3</v>
      </c>
    </row>
    <row r="70" spans="1:20" x14ac:dyDescent="0.2">
      <c r="A70" s="32">
        <v>39295</v>
      </c>
      <c r="B70" s="129">
        <f>'[15]Data Input'!B82</f>
        <v>45846620</v>
      </c>
      <c r="C70" s="17">
        <f>'Historical HDD &amp; CDD'!C217</f>
        <v>6</v>
      </c>
      <c r="D70" s="130">
        <f>'Historical HDD &amp; CDD'!D217</f>
        <v>106.49999999999999</v>
      </c>
      <c r="E70" s="17">
        <v>31</v>
      </c>
      <c r="F70" s="17">
        <f>'CDM Activity'!B39</f>
        <v>173790.58897479175</v>
      </c>
      <c r="G70" s="17">
        <v>351.91199999999998</v>
      </c>
      <c r="H70" s="17">
        <v>0</v>
      </c>
      <c r="I70" s="35">
        <v>139.15035913381516</v>
      </c>
      <c r="J70" s="17">
        <f>'[15]Data Input'!AJ82</f>
        <v>20719</v>
      </c>
      <c r="K70" s="17">
        <f t="shared" si="5"/>
        <v>44832280.245014578</v>
      </c>
      <c r="L70" s="263">
        <f t="shared" ref="L70:L133" si="6">K70-B70</f>
        <v>-1014339.7549854219</v>
      </c>
      <c r="M70" s="264">
        <f t="shared" ref="M70:M133" si="7">ABS(L70/B70)</f>
        <v>2.2124635468992522E-2</v>
      </c>
    </row>
    <row r="71" spans="1:20" x14ac:dyDescent="0.2">
      <c r="A71" s="32">
        <v>39326</v>
      </c>
      <c r="B71" s="129">
        <f>'[15]Data Input'!B83</f>
        <v>40071090</v>
      </c>
      <c r="C71" s="17">
        <f>'Historical HDD &amp; CDD'!C218</f>
        <v>51.8</v>
      </c>
      <c r="D71" s="130">
        <f>'Historical HDD &amp; CDD'!D218</f>
        <v>41.800000000000004</v>
      </c>
      <c r="E71" s="17">
        <v>30</v>
      </c>
      <c r="F71" s="17">
        <f>'CDM Activity'!B40</f>
        <v>180200.480104296</v>
      </c>
      <c r="G71" s="17">
        <v>303.83999999999997</v>
      </c>
      <c r="H71" s="17">
        <v>1</v>
      </c>
      <c r="I71" s="35">
        <v>139.38017726511606</v>
      </c>
      <c r="J71" s="17">
        <f>'[15]Data Input'!AJ83</f>
        <v>20805</v>
      </c>
      <c r="K71" s="17">
        <f t="shared" si="5"/>
        <v>37318981.228503577</v>
      </c>
      <c r="L71" s="263">
        <f t="shared" si="6"/>
        <v>-2752108.7714964226</v>
      </c>
      <c r="M71" s="264">
        <f t="shared" si="7"/>
        <v>6.8680656590485126E-2</v>
      </c>
    </row>
    <row r="72" spans="1:20" x14ac:dyDescent="0.2">
      <c r="A72" s="32">
        <v>39356</v>
      </c>
      <c r="B72" s="129">
        <f>'[15]Data Input'!B84</f>
        <v>39182630</v>
      </c>
      <c r="C72" s="17">
        <f>'Historical HDD &amp; CDD'!C219</f>
        <v>131</v>
      </c>
      <c r="D72" s="130">
        <f>'Historical HDD &amp; CDD'!D219</f>
        <v>20.200000000000003</v>
      </c>
      <c r="E72" s="17">
        <v>31</v>
      </c>
      <c r="F72" s="17">
        <f>'CDM Activity'!B41</f>
        <v>186610.37123380025</v>
      </c>
      <c r="G72" s="17">
        <v>351.91199999999998</v>
      </c>
      <c r="H72" s="17">
        <v>1</v>
      </c>
      <c r="I72" s="35">
        <v>139.61037495974546</v>
      </c>
      <c r="J72" s="17">
        <f>'[15]Data Input'!AJ84</f>
        <v>20803</v>
      </c>
      <c r="K72" s="17">
        <f t="shared" si="5"/>
        <v>38262601.808226027</v>
      </c>
      <c r="L72" s="263">
        <f t="shared" si="6"/>
        <v>-920028.19177397341</v>
      </c>
      <c r="M72" s="264">
        <f t="shared" si="7"/>
        <v>2.3480511435142903E-2</v>
      </c>
    </row>
    <row r="73" spans="1:20" x14ac:dyDescent="0.2">
      <c r="A73" s="32">
        <v>39387</v>
      </c>
      <c r="B73" s="129">
        <f>'[15]Data Input'!B85</f>
        <v>40415660</v>
      </c>
      <c r="C73" s="17">
        <f>'Historical HDD &amp; CDD'!C220</f>
        <v>438.2000000000001</v>
      </c>
      <c r="D73" s="130">
        <f>'Historical HDD &amp; CDD'!D220</f>
        <v>0</v>
      </c>
      <c r="E73" s="17">
        <v>30</v>
      </c>
      <c r="F73" s="17">
        <f>'CDM Activity'!B42</f>
        <v>193020.2623633045</v>
      </c>
      <c r="G73" s="17">
        <v>352.08</v>
      </c>
      <c r="H73" s="17">
        <v>1</v>
      </c>
      <c r="I73" s="35">
        <v>139.84095284458306</v>
      </c>
      <c r="J73" s="17">
        <f>'[15]Data Input'!AJ85</f>
        <v>20862</v>
      </c>
      <c r="K73" s="17">
        <f t="shared" si="5"/>
        <v>39132590.3191588</v>
      </c>
      <c r="L73" s="263">
        <f t="shared" si="6"/>
        <v>-1283069.6808412001</v>
      </c>
      <c r="M73" s="264">
        <f t="shared" si="7"/>
        <v>3.1746844684491113E-2</v>
      </c>
    </row>
    <row r="74" spans="1:20" x14ac:dyDescent="0.2">
      <c r="A74" s="32">
        <v>39417</v>
      </c>
      <c r="B74" s="129">
        <f>'[15]Data Input'!B86</f>
        <v>42304750</v>
      </c>
      <c r="C74" s="17">
        <f>'Historical HDD &amp; CDD'!C221</f>
        <v>612.80000000000007</v>
      </c>
      <c r="D74" s="130">
        <f>'Historical HDD &amp; CDD'!D221</f>
        <v>0</v>
      </c>
      <c r="E74" s="17">
        <v>31</v>
      </c>
      <c r="F74" s="17">
        <f>'CDM Activity'!B43</f>
        <v>199430.15349280875</v>
      </c>
      <c r="G74" s="17">
        <v>304.29599999999999</v>
      </c>
      <c r="H74" s="17">
        <v>0</v>
      </c>
      <c r="I74" s="35">
        <v>140.07191154754381</v>
      </c>
      <c r="J74" s="17">
        <f>'[15]Data Input'!AJ86</f>
        <v>20954</v>
      </c>
      <c r="K74" s="17">
        <f t="shared" si="5"/>
        <v>41382610.481733128</v>
      </c>
      <c r="L74" s="263">
        <f t="shared" si="6"/>
        <v>-922139.51826687157</v>
      </c>
      <c r="M74" s="264">
        <f t="shared" si="7"/>
        <v>2.1797540897106626E-2</v>
      </c>
    </row>
    <row r="75" spans="1:20" s="15" customFormat="1" x14ac:dyDescent="0.2">
      <c r="A75" s="32">
        <v>39448</v>
      </c>
      <c r="B75" s="129">
        <f>'[15]Data Input'!B89</f>
        <v>43662060</v>
      </c>
      <c r="C75" s="17">
        <f>'Historical HDD &amp; CDD'!C222</f>
        <v>604.19999999999993</v>
      </c>
      <c r="D75" s="130">
        <f>'Historical HDD &amp; CDD'!D222</f>
        <v>0</v>
      </c>
      <c r="E75" s="17">
        <v>31</v>
      </c>
      <c r="F75" s="17">
        <f>'CDM Activity'!B44</f>
        <v>209655.3104414409</v>
      </c>
      <c r="G75" s="23">
        <v>352</v>
      </c>
      <c r="H75" s="17">
        <v>0</v>
      </c>
      <c r="I75" s="34">
        <v>139.96642175819056</v>
      </c>
      <c r="J75" s="17">
        <f>'[15]Data Input'!AJ89</f>
        <v>21045</v>
      </c>
      <c r="K75" s="17">
        <f t="shared" si="5"/>
        <v>42357456.547888324</v>
      </c>
      <c r="L75" s="263">
        <f t="shared" si="6"/>
        <v>-1304603.4521116763</v>
      </c>
      <c r="M75" s="264">
        <f t="shared" si="7"/>
        <v>2.9879567114141577E-2</v>
      </c>
      <c r="N75"/>
      <c r="O75"/>
      <c r="P75"/>
      <c r="Q75"/>
      <c r="R75"/>
      <c r="S75"/>
      <c r="T75"/>
    </row>
    <row r="76" spans="1:20" x14ac:dyDescent="0.2">
      <c r="A76" s="32">
        <v>39479</v>
      </c>
      <c r="B76" s="129">
        <f>'[15]Data Input'!B90</f>
        <v>42566180</v>
      </c>
      <c r="C76" s="17">
        <f>'Historical HDD &amp; CDD'!C223</f>
        <v>653.5</v>
      </c>
      <c r="D76" s="130">
        <f>'Historical HDD &amp; CDD'!D223</f>
        <v>0</v>
      </c>
      <c r="E76" s="17">
        <v>29</v>
      </c>
      <c r="F76" s="17">
        <f>'CDM Activity'!B45</f>
        <v>219880.46739007306</v>
      </c>
      <c r="G76" s="23">
        <v>320</v>
      </c>
      <c r="H76" s="17">
        <v>0</v>
      </c>
      <c r="I76" s="34">
        <v>139.86101141442734</v>
      </c>
      <c r="J76" s="17">
        <f>'[15]Data Input'!AJ90</f>
        <v>21097</v>
      </c>
      <c r="K76" s="17">
        <f t="shared" si="5"/>
        <v>40568593.811119176</v>
      </c>
      <c r="L76" s="263">
        <f t="shared" si="6"/>
        <v>-1997586.1888808236</v>
      </c>
      <c r="M76" s="264">
        <f t="shared" si="7"/>
        <v>4.6928951314889507E-2</v>
      </c>
    </row>
    <row r="77" spans="1:20" x14ac:dyDescent="0.2">
      <c r="A77" s="32">
        <v>39508</v>
      </c>
      <c r="B77" s="129">
        <f>'[15]Data Input'!B91</f>
        <v>42057090</v>
      </c>
      <c r="C77" s="17">
        <f>'Historical HDD &amp; CDD'!C224</f>
        <v>602</v>
      </c>
      <c r="D77" s="130">
        <f>'Historical HDD &amp; CDD'!D224</f>
        <v>0</v>
      </c>
      <c r="E77" s="17">
        <v>31</v>
      </c>
      <c r="F77" s="17">
        <f>'CDM Activity'!B46</f>
        <v>230105.62433870521</v>
      </c>
      <c r="G77" s="23">
        <v>304</v>
      </c>
      <c r="H77" s="17">
        <v>1</v>
      </c>
      <c r="I77" s="34">
        <v>139.75568045642274</v>
      </c>
      <c r="J77" s="17">
        <f>'[15]Data Input'!AJ91</f>
        <v>21048</v>
      </c>
      <c r="K77" s="17">
        <f t="shared" si="5"/>
        <v>40160437.529853597</v>
      </c>
      <c r="L77" s="263">
        <f t="shared" si="6"/>
        <v>-1896652.4701464027</v>
      </c>
      <c r="M77" s="264">
        <f t="shared" si="7"/>
        <v>4.5097092313006029E-2</v>
      </c>
    </row>
    <row r="78" spans="1:20" x14ac:dyDescent="0.2">
      <c r="A78" s="32">
        <v>39539</v>
      </c>
      <c r="B78" s="129">
        <f>'[15]Data Input'!B92</f>
        <v>37570770</v>
      </c>
      <c r="C78" s="17">
        <f>'Historical HDD &amp; CDD'!C225</f>
        <v>272.8</v>
      </c>
      <c r="D78" s="130">
        <f>'Historical HDD &amp; CDD'!D225</f>
        <v>0</v>
      </c>
      <c r="E78" s="17">
        <v>30</v>
      </c>
      <c r="F78" s="17">
        <f>'CDM Activity'!B47</f>
        <v>240330.78128733736</v>
      </c>
      <c r="G78" s="23">
        <v>352</v>
      </c>
      <c r="H78" s="17">
        <v>1</v>
      </c>
      <c r="I78" s="34">
        <v>139.65042882439042</v>
      </c>
      <c r="J78" s="17">
        <f>'[15]Data Input'!AJ92</f>
        <v>21037</v>
      </c>
      <c r="K78" s="17">
        <f t="shared" si="5"/>
        <v>36994127.047819853</v>
      </c>
      <c r="L78" s="263">
        <f t="shared" si="6"/>
        <v>-576642.95218014717</v>
      </c>
      <c r="M78" s="264">
        <f t="shared" si="7"/>
        <v>1.5348180305597868E-2</v>
      </c>
    </row>
    <row r="79" spans="1:20" x14ac:dyDescent="0.2">
      <c r="A79" s="32">
        <v>39569</v>
      </c>
      <c r="B79" s="129">
        <f>'[15]Data Input'!B93</f>
        <v>36307140</v>
      </c>
      <c r="C79" s="17">
        <f>'Historical HDD &amp; CDD'!C226</f>
        <v>216.7</v>
      </c>
      <c r="D79" s="130">
        <f>'Historical HDD &amp; CDD'!D226</f>
        <v>0</v>
      </c>
      <c r="E79" s="17">
        <v>31</v>
      </c>
      <c r="F79" s="17">
        <f>'CDM Activity'!B48</f>
        <v>250555.93823596952</v>
      </c>
      <c r="G79" s="23">
        <v>336</v>
      </c>
      <c r="H79" s="17">
        <v>1</v>
      </c>
      <c r="I79" s="34">
        <v>139.54525645858905</v>
      </c>
      <c r="J79" s="17">
        <f>'[15]Data Input'!AJ93</f>
        <v>21010</v>
      </c>
      <c r="K79" s="17">
        <f t="shared" si="5"/>
        <v>36662546.32263083</v>
      </c>
      <c r="L79" s="263">
        <f t="shared" si="6"/>
        <v>355406.32263083011</v>
      </c>
      <c r="M79" s="264">
        <f t="shared" si="7"/>
        <v>9.7888823694411101E-3</v>
      </c>
    </row>
    <row r="80" spans="1:20" x14ac:dyDescent="0.2">
      <c r="A80" s="32">
        <v>39600</v>
      </c>
      <c r="B80" s="129">
        <f>'[15]Data Input'!B94</f>
        <v>41100780</v>
      </c>
      <c r="C80" s="17">
        <f>'Historical HDD &amp; CDD'!C227</f>
        <v>27.2</v>
      </c>
      <c r="D80" s="130">
        <f>'Historical HDD &amp; CDD'!D227</f>
        <v>61.499999999999986</v>
      </c>
      <c r="E80" s="17">
        <v>30</v>
      </c>
      <c r="F80" s="17">
        <f>'CDM Activity'!B49</f>
        <v>260781.09518460167</v>
      </c>
      <c r="G80" s="23">
        <v>336</v>
      </c>
      <c r="H80" s="17">
        <v>0</v>
      </c>
      <c r="I80" s="34">
        <v>139.44016329932234</v>
      </c>
      <c r="J80" s="17">
        <f>'[15]Data Input'!AJ94</f>
        <v>20943</v>
      </c>
      <c r="K80" s="17">
        <f t="shared" si="5"/>
        <v>39635666.941114359</v>
      </c>
      <c r="L80" s="263">
        <f t="shared" si="6"/>
        <v>-1465113.0588856414</v>
      </c>
      <c r="M80" s="264">
        <f t="shared" si="7"/>
        <v>3.5646843171483394E-2</v>
      </c>
    </row>
    <row r="81" spans="1:20" x14ac:dyDescent="0.2">
      <c r="A81" s="32">
        <v>39630</v>
      </c>
      <c r="B81" s="129">
        <f>'[15]Data Input'!B95</f>
        <v>44714390</v>
      </c>
      <c r="C81" s="17">
        <f>'Historical HDD &amp; CDD'!C228</f>
        <v>5.2</v>
      </c>
      <c r="D81" s="130">
        <f>'Historical HDD &amp; CDD'!D228</f>
        <v>90.299999999999983</v>
      </c>
      <c r="E81" s="17">
        <v>31</v>
      </c>
      <c r="F81" s="17">
        <f>'CDM Activity'!B50</f>
        <v>271006.25213323382</v>
      </c>
      <c r="G81" s="23">
        <v>352</v>
      </c>
      <c r="H81" s="17">
        <v>0</v>
      </c>
      <c r="I81" s="34">
        <v>139.3351492869389</v>
      </c>
      <c r="J81" s="17">
        <f>'[15]Data Input'!AJ95</f>
        <v>20876</v>
      </c>
      <c r="K81" s="17">
        <f t="shared" si="5"/>
        <v>42754071.218955897</v>
      </c>
      <c r="L81" s="263">
        <f t="shared" si="6"/>
        <v>-1960318.7810441032</v>
      </c>
      <c r="M81" s="264">
        <f t="shared" si="7"/>
        <v>4.3840892854495009E-2</v>
      </c>
    </row>
    <row r="82" spans="1:20" x14ac:dyDescent="0.2">
      <c r="A82" s="32">
        <v>39661</v>
      </c>
      <c r="B82" s="129">
        <f>'[15]Data Input'!B96</f>
        <v>41138100</v>
      </c>
      <c r="C82" s="17">
        <f>'Historical HDD &amp; CDD'!C229</f>
        <v>19</v>
      </c>
      <c r="D82" s="130">
        <f>'Historical HDD &amp; CDD'!D229</f>
        <v>42.4</v>
      </c>
      <c r="E82" s="17">
        <v>31</v>
      </c>
      <c r="F82" s="17">
        <f>'CDM Activity'!B51</f>
        <v>281231.40908186598</v>
      </c>
      <c r="G82" s="23">
        <v>320</v>
      </c>
      <c r="H82" s="17">
        <v>0</v>
      </c>
      <c r="I82" s="34">
        <v>139.23021436183228</v>
      </c>
      <c r="J82" s="17">
        <f>'[15]Data Input'!AJ96</f>
        <v>20898</v>
      </c>
      <c r="K82" s="17">
        <f t="shared" si="5"/>
        <v>38197081.767794237</v>
      </c>
      <c r="L82" s="263">
        <f t="shared" si="6"/>
        <v>-2941018.2322057635</v>
      </c>
      <c r="M82" s="264">
        <f t="shared" si="7"/>
        <v>7.14913482199169E-2</v>
      </c>
    </row>
    <row r="83" spans="1:20" x14ac:dyDescent="0.2">
      <c r="A83" s="32">
        <v>39692</v>
      </c>
      <c r="B83" s="129">
        <f>'[15]Data Input'!B97</f>
        <v>39609350</v>
      </c>
      <c r="C83" s="17">
        <f>'Historical HDD &amp; CDD'!C230</f>
        <v>70.100000000000009</v>
      </c>
      <c r="D83" s="130">
        <f>'Historical HDD &amp; CDD'!D230</f>
        <v>25.500000000000004</v>
      </c>
      <c r="E83" s="17">
        <v>30</v>
      </c>
      <c r="F83" s="17">
        <f>'CDM Activity'!B52</f>
        <v>291456.56603049813</v>
      </c>
      <c r="G83" s="23">
        <v>336</v>
      </c>
      <c r="H83" s="17">
        <v>1</v>
      </c>
      <c r="I83" s="34">
        <v>139.12535846444095</v>
      </c>
      <c r="J83" s="17">
        <f>'[15]Data Input'!AJ97</f>
        <v>20867</v>
      </c>
      <c r="K83" s="17">
        <f t="shared" si="5"/>
        <v>36096628.93416144</v>
      </c>
      <c r="L83" s="263">
        <f t="shared" si="6"/>
        <v>-3512721.0658385605</v>
      </c>
      <c r="M83" s="264">
        <f t="shared" si="7"/>
        <v>8.868413810977864E-2</v>
      </c>
    </row>
    <row r="84" spans="1:20" x14ac:dyDescent="0.2">
      <c r="A84" s="32">
        <v>39722</v>
      </c>
      <c r="B84" s="129">
        <f>'[15]Data Input'!B98</f>
        <v>37751930</v>
      </c>
      <c r="C84" s="17">
        <f>'Historical HDD &amp; CDD'!C231</f>
        <v>293.29999999999995</v>
      </c>
      <c r="D84" s="130">
        <f>'Historical HDD &amp; CDD'!D231</f>
        <v>0</v>
      </c>
      <c r="E84" s="17">
        <v>31</v>
      </c>
      <c r="F84" s="17">
        <f>'CDM Activity'!B53</f>
        <v>301681.72297913028</v>
      </c>
      <c r="G84" s="23">
        <v>352</v>
      </c>
      <c r="H84" s="17">
        <v>1</v>
      </c>
      <c r="I84" s="34">
        <v>139.02058153524823</v>
      </c>
      <c r="J84" s="17">
        <f>'[15]Data Input'!AJ98</f>
        <v>20969</v>
      </c>
      <c r="K84" s="17">
        <f t="shared" si="5"/>
        <v>37459474.653105266</v>
      </c>
      <c r="L84" s="263">
        <f t="shared" si="6"/>
        <v>-292455.34689473361</v>
      </c>
      <c r="M84" s="264">
        <f t="shared" si="7"/>
        <v>7.7467654473488802E-3</v>
      </c>
    </row>
    <row r="85" spans="1:20" x14ac:dyDescent="0.2">
      <c r="A85" s="32">
        <v>39753</v>
      </c>
      <c r="B85" s="129">
        <f>'[15]Data Input'!B99</f>
        <v>38864960</v>
      </c>
      <c r="C85" s="17">
        <f>'Historical HDD &amp; CDD'!C232</f>
        <v>447.40000000000003</v>
      </c>
      <c r="D85" s="130">
        <f>'Historical HDD &amp; CDD'!D232</f>
        <v>0</v>
      </c>
      <c r="E85" s="17">
        <v>30</v>
      </c>
      <c r="F85" s="17">
        <f>'CDM Activity'!B54</f>
        <v>311906.87992776243</v>
      </c>
      <c r="G85" s="23">
        <v>304</v>
      </c>
      <c r="H85" s="17">
        <v>1</v>
      </c>
      <c r="I85" s="34">
        <v>138.91588351478222</v>
      </c>
      <c r="J85" s="17">
        <f>'[15]Data Input'!AJ99</f>
        <v>20995</v>
      </c>
      <c r="K85" s="17">
        <f t="shared" si="5"/>
        <v>37134453.877454013</v>
      </c>
      <c r="L85" s="263">
        <f t="shared" si="6"/>
        <v>-1730506.1225459874</v>
      </c>
      <c r="M85" s="264">
        <f t="shared" si="7"/>
        <v>4.4526126427146387E-2</v>
      </c>
    </row>
    <row r="86" spans="1:20" s="33" customFormat="1" x14ac:dyDescent="0.2">
      <c r="A86" s="32">
        <v>39783</v>
      </c>
      <c r="B86" s="129">
        <f>'[15]Data Input'!B100</f>
        <v>41720160</v>
      </c>
      <c r="C86" s="17">
        <f>'Historical HDD &amp; CDD'!C233</f>
        <v>614.79999999999984</v>
      </c>
      <c r="D86" s="130">
        <f>'Historical HDD &amp; CDD'!D233</f>
        <v>0</v>
      </c>
      <c r="E86" s="17">
        <v>31</v>
      </c>
      <c r="F86" s="17">
        <f>'CDM Activity'!B55</f>
        <v>322132.03687639459</v>
      </c>
      <c r="G86" s="23">
        <v>336</v>
      </c>
      <c r="H86" s="17">
        <v>0</v>
      </c>
      <c r="I86" s="34">
        <v>138.8112643436159</v>
      </c>
      <c r="J86" s="17">
        <f>'[15]Data Input'!AJ100</f>
        <v>21113</v>
      </c>
      <c r="K86" s="17">
        <f t="shared" si="5"/>
        <v>41196460.258095771</v>
      </c>
      <c r="L86" s="263">
        <f t="shared" si="6"/>
        <v>-523699.74190422893</v>
      </c>
      <c r="M86" s="264">
        <f t="shared" si="7"/>
        <v>1.255267817535285E-2</v>
      </c>
      <c r="N86"/>
      <c r="O86"/>
      <c r="P86"/>
      <c r="Q86"/>
      <c r="R86"/>
      <c r="S86"/>
      <c r="T86"/>
    </row>
    <row r="87" spans="1:20" x14ac:dyDescent="0.2">
      <c r="A87" s="32">
        <v>39814</v>
      </c>
      <c r="B87" s="129">
        <f>'[15]Data Input'!B103</f>
        <v>42696540</v>
      </c>
      <c r="C87" s="17">
        <f>'Historical HDD &amp; CDD'!C234</f>
        <v>829.40000000000009</v>
      </c>
      <c r="D87" s="130">
        <f>'Historical HDD &amp; CDD'!D234</f>
        <v>0</v>
      </c>
      <c r="E87" s="17">
        <v>31</v>
      </c>
      <c r="F87" s="17">
        <f>'CDM Activity'!B56</f>
        <v>332158.7806621865</v>
      </c>
      <c r="G87" s="23">
        <v>336</v>
      </c>
      <c r="H87" s="17">
        <v>0</v>
      </c>
      <c r="I87" s="34">
        <v>138.43555825854429</v>
      </c>
      <c r="J87" s="17">
        <f>'[15]Data Input'!AJ103</f>
        <v>21168</v>
      </c>
      <c r="K87" s="17">
        <f t="shared" si="5"/>
        <v>43404030.746617153</v>
      </c>
      <c r="L87" s="263">
        <f t="shared" si="6"/>
        <v>707490.74661715329</v>
      </c>
      <c r="M87" s="264">
        <f t="shared" si="7"/>
        <v>1.6570212635898678E-2</v>
      </c>
    </row>
    <row r="88" spans="1:20" x14ac:dyDescent="0.2">
      <c r="A88" s="32">
        <v>39845</v>
      </c>
      <c r="B88" s="129">
        <f>'[15]Data Input'!B104</f>
        <v>35865870</v>
      </c>
      <c r="C88" s="17">
        <f>'Historical HDD &amp; CDD'!C235</f>
        <v>605.50000000000011</v>
      </c>
      <c r="D88" s="130">
        <f>'Historical HDD &amp; CDD'!D235</f>
        <v>0</v>
      </c>
      <c r="E88" s="17">
        <v>28</v>
      </c>
      <c r="F88" s="17">
        <f>'CDM Activity'!B57</f>
        <v>342185.52444797842</v>
      </c>
      <c r="G88" s="23">
        <v>304</v>
      </c>
      <c r="H88" s="17">
        <v>0</v>
      </c>
      <c r="I88" s="34">
        <v>138.06086905825526</v>
      </c>
      <c r="J88" s="17">
        <f>'[15]Data Input'!AJ104</f>
        <v>21196</v>
      </c>
      <c r="K88" s="17">
        <f t="shared" si="5"/>
        <v>37973567.498099186</v>
      </c>
      <c r="L88" s="263">
        <f t="shared" si="6"/>
        <v>2107697.4980991855</v>
      </c>
      <c r="M88" s="264">
        <f t="shared" si="7"/>
        <v>5.8766105439494024E-2</v>
      </c>
    </row>
    <row r="89" spans="1:20" x14ac:dyDescent="0.2">
      <c r="A89" s="32">
        <v>39873</v>
      </c>
      <c r="B89" s="129">
        <f>'[15]Data Input'!B105</f>
        <v>36893370</v>
      </c>
      <c r="C89" s="17">
        <f>'Historical HDD &amp; CDD'!C236</f>
        <v>528.69999999999993</v>
      </c>
      <c r="D89" s="130">
        <f>'Historical HDD &amp; CDD'!D236</f>
        <v>0</v>
      </c>
      <c r="E89" s="17">
        <v>31</v>
      </c>
      <c r="F89" s="17">
        <f>'CDM Activity'!B58</f>
        <v>352212.26823377033</v>
      </c>
      <c r="G89" s="23">
        <v>352</v>
      </c>
      <c r="H89" s="17">
        <v>1</v>
      </c>
      <c r="I89" s="34">
        <v>137.68719399045199</v>
      </c>
      <c r="J89" s="17">
        <f>'[15]Data Input'!AJ105</f>
        <v>21181</v>
      </c>
      <c r="K89" s="17">
        <f t="shared" si="5"/>
        <v>39568508.844616614</v>
      </c>
      <c r="L89" s="263">
        <f t="shared" si="6"/>
        <v>2675138.8446166143</v>
      </c>
      <c r="M89" s="264">
        <f t="shared" si="7"/>
        <v>7.2510015881352516E-2</v>
      </c>
    </row>
    <row r="90" spans="1:20" x14ac:dyDescent="0.2">
      <c r="A90" s="32">
        <v>39904</v>
      </c>
      <c r="B90" s="129">
        <f>'[15]Data Input'!B106</f>
        <v>32546810</v>
      </c>
      <c r="C90" s="17">
        <f>'Historical HDD &amp; CDD'!C237</f>
        <v>316.50000000000006</v>
      </c>
      <c r="D90" s="130">
        <f>'Historical HDD &amp; CDD'!D237</f>
        <v>2</v>
      </c>
      <c r="E90" s="17">
        <v>30</v>
      </c>
      <c r="F90" s="17">
        <f>'CDM Activity'!B59</f>
        <v>362239.01201956224</v>
      </c>
      <c r="G90" s="23">
        <v>320</v>
      </c>
      <c r="H90" s="17">
        <v>1</v>
      </c>
      <c r="I90" s="34">
        <v>137.31453031028698</v>
      </c>
      <c r="J90" s="17">
        <f>'[15]Data Input'!AJ106</f>
        <v>21170</v>
      </c>
      <c r="K90" s="17">
        <f t="shared" si="5"/>
        <v>35887384.068789557</v>
      </c>
      <c r="L90" s="263">
        <f t="shared" si="6"/>
        <v>3340574.0687895566</v>
      </c>
      <c r="M90" s="264">
        <f t="shared" si="7"/>
        <v>0.10263906259291022</v>
      </c>
    </row>
    <row r="91" spans="1:20" x14ac:dyDescent="0.2">
      <c r="A91" s="32">
        <v>39934</v>
      </c>
      <c r="B91" s="129">
        <f>'[15]Data Input'!B107</f>
        <v>30411992.307692301</v>
      </c>
      <c r="C91" s="17">
        <f>'Historical HDD &amp; CDD'!C238</f>
        <v>157.19999999999996</v>
      </c>
      <c r="D91" s="130">
        <f>'Historical HDD &amp; CDD'!D238</f>
        <v>1.8</v>
      </c>
      <c r="E91" s="17">
        <v>31</v>
      </c>
      <c r="F91" s="17">
        <f>'CDM Activity'!B60</f>
        <v>372265.75580535416</v>
      </c>
      <c r="G91" s="23">
        <v>320</v>
      </c>
      <c r="H91" s="17">
        <v>1</v>
      </c>
      <c r="I91" s="34">
        <v>136.94287528034204</v>
      </c>
      <c r="J91" s="17">
        <f>'[15]Data Input'!AJ107</f>
        <v>21149</v>
      </c>
      <c r="K91" s="17">
        <f t="shared" si="5"/>
        <v>34826369.161884949</v>
      </c>
      <c r="L91" s="263">
        <f t="shared" si="6"/>
        <v>4414376.8541926481</v>
      </c>
      <c r="M91" s="264">
        <f t="shared" si="7"/>
        <v>0.14515250462811971</v>
      </c>
    </row>
    <row r="92" spans="1:20" x14ac:dyDescent="0.2">
      <c r="A92" s="32">
        <v>39965</v>
      </c>
      <c r="B92" s="129">
        <f>'[15]Data Input'!B108</f>
        <v>32954969.230769198</v>
      </c>
      <c r="C92" s="17">
        <f>'Historical HDD &amp; CDD'!C239</f>
        <v>44.4</v>
      </c>
      <c r="D92" s="130">
        <f>'Historical HDD &amp; CDD'!D239</f>
        <v>29.999999999999996</v>
      </c>
      <c r="E92" s="17">
        <v>30</v>
      </c>
      <c r="F92" s="17">
        <f>'CDM Activity'!B61</f>
        <v>382292.49959114607</v>
      </c>
      <c r="G92" s="23">
        <v>352</v>
      </c>
      <c r="H92" s="17">
        <v>0</v>
      </c>
      <c r="I92" s="34">
        <v>136.57222617060793</v>
      </c>
      <c r="J92" s="17">
        <f>'[15]Data Input'!AJ108</f>
        <v>21118</v>
      </c>
      <c r="K92" s="17">
        <f t="shared" si="5"/>
        <v>36709011.480950579</v>
      </c>
      <c r="L92" s="263">
        <f t="shared" si="6"/>
        <v>3754042.2501813807</v>
      </c>
      <c r="M92" s="264">
        <f t="shared" si="7"/>
        <v>0.11391429996166796</v>
      </c>
    </row>
    <row r="93" spans="1:20" x14ac:dyDescent="0.2">
      <c r="A93" s="32">
        <v>39995</v>
      </c>
      <c r="B93" s="129">
        <f>'[15]Data Input'!B109</f>
        <v>35112530.769230798</v>
      </c>
      <c r="C93" s="17">
        <f>'Historical HDD &amp; CDD'!C240</f>
        <v>19.600000000000001</v>
      </c>
      <c r="D93" s="130">
        <f>'Historical HDD &amp; CDD'!D240</f>
        <v>33.1</v>
      </c>
      <c r="E93" s="17">
        <v>31</v>
      </c>
      <c r="F93" s="17">
        <f>'CDM Activity'!B62</f>
        <v>392319.24337693799</v>
      </c>
      <c r="G93" s="23">
        <v>352</v>
      </c>
      <c r="H93" s="17">
        <v>0</v>
      </c>
      <c r="I93" s="34">
        <v>136.20258025846454</v>
      </c>
      <c r="J93" s="17">
        <f>'[15]Data Input'!AJ109</f>
        <v>21020</v>
      </c>
      <c r="K93" s="17">
        <f t="shared" si="5"/>
        <v>37346750.514328197</v>
      </c>
      <c r="L93" s="263">
        <f t="shared" si="6"/>
        <v>2234219.7450973988</v>
      </c>
      <c r="M93" s="264">
        <f t="shared" si="7"/>
        <v>6.3630268059608266E-2</v>
      </c>
    </row>
    <row r="94" spans="1:20" x14ac:dyDescent="0.2">
      <c r="A94" s="32">
        <v>40026</v>
      </c>
      <c r="B94" s="129">
        <f>'[15]Data Input'!B110</f>
        <v>38795184.615384601</v>
      </c>
      <c r="C94" s="17">
        <f>'Historical HDD &amp; CDD'!C241</f>
        <v>14.200000000000001</v>
      </c>
      <c r="D94" s="130">
        <f>'Historical HDD &amp; CDD'!D241</f>
        <v>74.199999999999974</v>
      </c>
      <c r="E94" s="17">
        <v>31</v>
      </c>
      <c r="F94" s="17">
        <f>'CDM Activity'!B63</f>
        <v>402345.9871627299</v>
      </c>
      <c r="G94" s="23">
        <v>320</v>
      </c>
      <c r="H94" s="17">
        <v>0</v>
      </c>
      <c r="I94" s="34">
        <v>135.83393482866074</v>
      </c>
      <c r="J94" s="17">
        <f>'[15]Data Input'!AJ110</f>
        <v>20991</v>
      </c>
      <c r="K94" s="17">
        <f t="shared" si="5"/>
        <v>39746841.519165486</v>
      </c>
      <c r="L94" s="263">
        <f t="shared" si="6"/>
        <v>951656.90378088504</v>
      </c>
      <c r="M94" s="264">
        <f t="shared" si="7"/>
        <v>2.4530284189020108E-2</v>
      </c>
    </row>
    <row r="95" spans="1:20" x14ac:dyDescent="0.2">
      <c r="A95" s="32">
        <v>40057</v>
      </c>
      <c r="B95" s="129">
        <f>'[15]Data Input'!B111</f>
        <v>32382923.076923098</v>
      </c>
      <c r="C95" s="17">
        <f>'Historical HDD &amp; CDD'!C242</f>
        <v>70.8</v>
      </c>
      <c r="D95" s="130">
        <f>'Historical HDD &amp; CDD'!D242</f>
        <v>12</v>
      </c>
      <c r="E95" s="17">
        <v>30</v>
      </c>
      <c r="F95" s="17">
        <f>'CDM Activity'!B64</f>
        <v>412372.73094852181</v>
      </c>
      <c r="G95" s="23">
        <v>336</v>
      </c>
      <c r="H95" s="17">
        <v>1</v>
      </c>
      <c r="I95" s="34">
        <v>135.46628717329455</v>
      </c>
      <c r="J95" s="17">
        <f>'[15]Data Input'!AJ111</f>
        <v>21063</v>
      </c>
      <c r="K95" s="17">
        <f t="shared" si="5"/>
        <v>34062149.956018545</v>
      </c>
      <c r="L95" s="263">
        <f t="shared" si="6"/>
        <v>1679226.8790954463</v>
      </c>
      <c r="M95" s="264">
        <f t="shared" si="7"/>
        <v>5.1855321247763035E-2</v>
      </c>
    </row>
    <row r="96" spans="1:20" x14ac:dyDescent="0.2">
      <c r="A96" s="32">
        <v>40087</v>
      </c>
      <c r="B96" s="129">
        <f>'[15]Data Input'!B112</f>
        <v>32302730.769230802</v>
      </c>
      <c r="C96" s="17">
        <f>'Historical HDD &amp; CDD'!C243</f>
        <v>290</v>
      </c>
      <c r="D96" s="130">
        <f>'Historical HDD &amp; CDD'!D243</f>
        <v>0</v>
      </c>
      <c r="E96" s="17">
        <v>31</v>
      </c>
      <c r="F96" s="17">
        <f>'CDM Activity'!B65</f>
        <v>422399.47473431373</v>
      </c>
      <c r="G96" s="23">
        <v>336</v>
      </c>
      <c r="H96" s="17">
        <v>1</v>
      </c>
      <c r="I96" s="34">
        <v>135.09963459179312</v>
      </c>
      <c r="J96" s="17">
        <f>'[15]Data Input'!AJ112</f>
        <v>21140</v>
      </c>
      <c r="K96" s="17">
        <f t="shared" si="5"/>
        <v>36085210.284506522</v>
      </c>
      <c r="L96" s="263">
        <f t="shared" si="6"/>
        <v>3782479.5152757205</v>
      </c>
      <c r="M96" s="264">
        <f t="shared" si="7"/>
        <v>0.11709472930624898</v>
      </c>
    </row>
    <row r="97" spans="1:13" x14ac:dyDescent="0.2">
      <c r="A97" s="32">
        <v>40118</v>
      </c>
      <c r="B97" s="129">
        <f>'[15]Data Input'!B113</f>
        <v>32596484.615384601</v>
      </c>
      <c r="C97" s="17">
        <f>'Historical HDD &amp; CDD'!C244</f>
        <v>336.4</v>
      </c>
      <c r="D97" s="130">
        <f>'Historical HDD &amp; CDD'!D244</f>
        <v>0</v>
      </c>
      <c r="E97" s="17">
        <v>30</v>
      </c>
      <c r="F97" s="17">
        <f>'CDM Activity'!B66</f>
        <v>432426.21852010564</v>
      </c>
      <c r="G97" s="23">
        <v>320</v>
      </c>
      <c r="H97" s="17">
        <v>1</v>
      </c>
      <c r="I97" s="34">
        <v>134.733974390893</v>
      </c>
      <c r="J97" s="17">
        <f>'[15]Data Input'!AJ113</f>
        <v>21205</v>
      </c>
      <c r="K97" s="17">
        <f t="shared" si="5"/>
        <v>35383705.566927657</v>
      </c>
      <c r="L97" s="263">
        <f t="shared" si="6"/>
        <v>2787220.9515430555</v>
      </c>
      <c r="M97" s="264">
        <f t="shared" si="7"/>
        <v>8.5506795730591376E-2</v>
      </c>
    </row>
    <row r="98" spans="1:13" x14ac:dyDescent="0.2">
      <c r="A98" s="32">
        <v>40148</v>
      </c>
      <c r="B98" s="129">
        <f>'[15]Data Input'!B114</f>
        <v>37057807.692307703</v>
      </c>
      <c r="C98" s="17">
        <f>'Historical HDD &amp; CDD'!C245</f>
        <v>612.29999999999984</v>
      </c>
      <c r="D98" s="130">
        <f>'Historical HDD &amp; CDD'!D245</f>
        <v>0</v>
      </c>
      <c r="E98" s="17">
        <v>31</v>
      </c>
      <c r="F98" s="17">
        <f>'CDM Activity'!B67</f>
        <v>442452.96230589756</v>
      </c>
      <c r="G98" s="23">
        <v>352</v>
      </c>
      <c r="H98" s="17">
        <v>0</v>
      </c>
      <c r="I98" s="34">
        <v>134.36930388462019</v>
      </c>
      <c r="J98" s="17">
        <f>'[15]Data Input'!AJ114</f>
        <v>21285</v>
      </c>
      <c r="K98" s="17">
        <f t="shared" si="5"/>
        <v>40603484.363919646</v>
      </c>
      <c r="L98" s="263">
        <f t="shared" si="6"/>
        <v>3545676.6716119424</v>
      </c>
      <c r="M98" s="264">
        <f t="shared" si="7"/>
        <v>9.5679612270963846E-2</v>
      </c>
    </row>
    <row r="99" spans="1:13" x14ac:dyDescent="0.2">
      <c r="A99" s="32">
        <v>40179</v>
      </c>
      <c r="B99" s="129">
        <f>'[15]Data Input'!B117</f>
        <v>38555453.846153803</v>
      </c>
      <c r="C99" s="17">
        <f>'Historical HDD &amp; CDD'!C246</f>
        <v>711.09999999999991</v>
      </c>
      <c r="D99" s="130">
        <f>'Historical HDD &amp; CDD'!D246</f>
        <v>0</v>
      </c>
      <c r="E99" s="17">
        <v>31</v>
      </c>
      <c r="F99" s="17">
        <f>'CDM Activity'!B68</f>
        <v>439903.3128392903</v>
      </c>
      <c r="G99" s="17">
        <v>320</v>
      </c>
      <c r="H99" s="17">
        <v>0</v>
      </c>
      <c r="I99" s="34">
        <v>134.73334561620703</v>
      </c>
      <c r="J99" s="17">
        <f>'[15]Data Input'!AJ117</f>
        <v>21337</v>
      </c>
      <c r="K99" s="17">
        <f t="shared" si="5"/>
        <v>40906851.313781537</v>
      </c>
      <c r="L99" s="263">
        <f t="shared" si="6"/>
        <v>2351397.4676277339</v>
      </c>
      <c r="M99" s="264">
        <f t="shared" si="7"/>
        <v>6.0987415088158886E-2</v>
      </c>
    </row>
    <row r="100" spans="1:13" x14ac:dyDescent="0.2">
      <c r="A100" s="32">
        <v>40210</v>
      </c>
      <c r="B100" s="129">
        <f>'[15]Data Input'!B118</f>
        <v>35503923.076923102</v>
      </c>
      <c r="C100" s="17">
        <f>'Historical HDD &amp; CDD'!C247</f>
        <v>632.5</v>
      </c>
      <c r="D100" s="130">
        <f>'Historical HDD &amp; CDD'!D247</f>
        <v>0</v>
      </c>
      <c r="E100" s="17">
        <v>28</v>
      </c>
      <c r="F100" s="17">
        <f>'CDM Activity'!B69</f>
        <v>437353.66337268305</v>
      </c>
      <c r="G100" s="17">
        <v>304</v>
      </c>
      <c r="H100" s="17">
        <v>0</v>
      </c>
      <c r="I100" s="34">
        <v>135.09837363244745</v>
      </c>
      <c r="J100" s="17">
        <f>'[15]Data Input'!AJ118</f>
        <v>21373</v>
      </c>
      <c r="K100" s="17">
        <f t="shared" si="5"/>
        <v>37508973.142794281</v>
      </c>
      <c r="L100" s="263">
        <f t="shared" si="6"/>
        <v>2005050.0658711791</v>
      </c>
      <c r="M100" s="264">
        <f t="shared" si="7"/>
        <v>5.6474042643879681E-2</v>
      </c>
    </row>
    <row r="101" spans="1:13" x14ac:dyDescent="0.2">
      <c r="A101" s="32">
        <v>40238</v>
      </c>
      <c r="B101" s="129">
        <f>'[15]Data Input'!B119</f>
        <v>36616969.230769202</v>
      </c>
      <c r="C101" s="17">
        <f>'Historical HDD &amp; CDD'!C248</f>
        <v>468</v>
      </c>
      <c r="D101" s="130">
        <f>'Historical HDD &amp; CDD'!D248</f>
        <v>0</v>
      </c>
      <c r="E101" s="17">
        <v>31</v>
      </c>
      <c r="F101" s="17">
        <f>'CDM Activity'!B70</f>
        <v>434804.01390607579</v>
      </c>
      <c r="G101" s="17">
        <v>368</v>
      </c>
      <c r="H101" s="17">
        <v>1</v>
      </c>
      <c r="I101" s="34">
        <v>135.46439060544563</v>
      </c>
      <c r="J101" s="17">
        <f>'[15]Data Input'!AJ119</f>
        <v>21285</v>
      </c>
      <c r="K101" s="17">
        <f t="shared" si="5"/>
        <v>38653591.564125605</v>
      </c>
      <c r="L101" s="263">
        <f t="shared" si="6"/>
        <v>2036622.3333564028</v>
      </c>
      <c r="M101" s="264">
        <f t="shared" si="7"/>
        <v>5.5619631447952581E-2</v>
      </c>
    </row>
    <row r="102" spans="1:13" x14ac:dyDescent="0.2">
      <c r="A102" s="32">
        <v>40269</v>
      </c>
      <c r="B102" s="129">
        <f>'[15]Data Input'!B120</f>
        <v>31620684.615384601</v>
      </c>
      <c r="C102" s="17">
        <f>'Historical HDD &amp; CDD'!C249</f>
        <v>243</v>
      </c>
      <c r="D102" s="130">
        <f>'Historical HDD &amp; CDD'!D249</f>
        <v>0</v>
      </c>
      <c r="E102" s="17">
        <v>30</v>
      </c>
      <c r="F102" s="17">
        <f>'CDM Activity'!B71</f>
        <v>432254.36443946854</v>
      </c>
      <c r="G102" s="17">
        <v>320</v>
      </c>
      <c r="H102" s="17">
        <v>1</v>
      </c>
      <c r="I102" s="34">
        <v>135.83139921454512</v>
      </c>
      <c r="J102" s="17">
        <f>'[15]Data Input'!AJ120</f>
        <v>21292</v>
      </c>
      <c r="K102" s="17">
        <f t="shared" si="5"/>
        <v>34389769.637403399</v>
      </c>
      <c r="L102" s="263">
        <f t="shared" si="6"/>
        <v>2769085.0220187977</v>
      </c>
      <c r="M102" s="264">
        <f t="shared" si="7"/>
        <v>8.757195031354692E-2</v>
      </c>
    </row>
    <row r="103" spans="1:13" x14ac:dyDescent="0.2">
      <c r="A103" s="32">
        <v>40299</v>
      </c>
      <c r="B103" s="129">
        <f>'[15]Data Input'!B121</f>
        <v>34713300</v>
      </c>
      <c r="C103" s="17">
        <f>'Historical HDD &amp; CDD'!C250</f>
        <v>125.40000000000003</v>
      </c>
      <c r="D103" s="130">
        <f>'Historical HDD &amp; CDD'!D250</f>
        <v>27.5</v>
      </c>
      <c r="E103" s="17">
        <v>31</v>
      </c>
      <c r="F103" s="17">
        <f>'CDM Activity'!B72</f>
        <v>429704.71497286129</v>
      </c>
      <c r="G103" s="17">
        <v>320</v>
      </c>
      <c r="H103" s="17">
        <v>1</v>
      </c>
      <c r="I103" s="34">
        <v>136.19940214634852</v>
      </c>
      <c r="J103" s="17">
        <f>'[15]Data Input'!AJ121</f>
        <v>21256</v>
      </c>
      <c r="K103" s="17">
        <f t="shared" si="5"/>
        <v>36101022.605292492</v>
      </c>
      <c r="L103" s="263">
        <f t="shared" si="6"/>
        <v>1387722.6052924916</v>
      </c>
      <c r="M103" s="264">
        <f t="shared" si="7"/>
        <v>3.9976683441000756E-2</v>
      </c>
    </row>
    <row r="104" spans="1:13" x14ac:dyDescent="0.2">
      <c r="A104" s="32">
        <v>40330</v>
      </c>
      <c r="B104" s="129">
        <f>'[15]Data Input'!B122</f>
        <v>38175215.384615399</v>
      </c>
      <c r="C104" s="17">
        <f>'Historical HDD &amp; CDD'!C251</f>
        <v>23.599999999999994</v>
      </c>
      <c r="D104" s="130">
        <f>'Historical HDD &amp; CDD'!D251</f>
        <v>51.300000000000011</v>
      </c>
      <c r="E104" s="17">
        <v>30</v>
      </c>
      <c r="F104" s="17">
        <f>'CDM Activity'!B73</f>
        <v>427155.06550625403</v>
      </c>
      <c r="G104" s="17">
        <v>352</v>
      </c>
      <c r="H104" s="17">
        <v>0</v>
      </c>
      <c r="I104" s="34">
        <v>136.56840209473719</v>
      </c>
      <c r="J104" s="17">
        <f>'[15]Data Input'!AJ122</f>
        <v>21221</v>
      </c>
      <c r="K104" s="17">
        <f t="shared" si="5"/>
        <v>37846318.286239408</v>
      </c>
      <c r="L104" s="263">
        <f t="shared" si="6"/>
        <v>-328897.09837599099</v>
      </c>
      <c r="M104" s="264">
        <f t="shared" si="7"/>
        <v>8.6154614993616107E-3</v>
      </c>
    </row>
    <row r="105" spans="1:13" x14ac:dyDescent="0.2">
      <c r="A105" s="32">
        <v>40360</v>
      </c>
      <c r="B105" s="129">
        <f>'[15]Data Input'!B123</f>
        <v>43449461.538461499</v>
      </c>
      <c r="C105" s="17">
        <f>'Historical HDD &amp; CDD'!C252</f>
        <v>4.5999999999999996</v>
      </c>
      <c r="D105" s="130">
        <f>'Historical HDD &amp; CDD'!D252</f>
        <v>123.99999999999999</v>
      </c>
      <c r="E105" s="17">
        <v>31</v>
      </c>
      <c r="F105" s="17">
        <f>'CDM Activity'!B74</f>
        <v>424605.41603964678</v>
      </c>
      <c r="G105" s="17">
        <v>336</v>
      </c>
      <c r="H105" s="17">
        <v>0</v>
      </c>
      <c r="I105" s="34">
        <v>136.93840176089088</v>
      </c>
      <c r="J105" s="17">
        <f>'[15]Data Input'!AJ123</f>
        <v>21238</v>
      </c>
      <c r="K105" s="17">
        <f t="shared" si="5"/>
        <v>43859836.538059294</v>
      </c>
      <c r="L105" s="263">
        <f t="shared" si="6"/>
        <v>410374.99959779531</v>
      </c>
      <c r="M105" s="264">
        <f t="shared" si="7"/>
        <v>9.4448811347070671E-3</v>
      </c>
    </row>
    <row r="106" spans="1:13" x14ac:dyDescent="0.2">
      <c r="A106" s="32">
        <v>40391</v>
      </c>
      <c r="B106" s="129">
        <f>'[15]Data Input'!B124</f>
        <v>42901115.384615399</v>
      </c>
      <c r="C106" s="17">
        <f>'Historical HDD &amp; CDD'!C253</f>
        <v>7.6999999999999993</v>
      </c>
      <c r="D106" s="130">
        <f>'Historical HDD &amp; CDD'!D253</f>
        <v>103.40000000000003</v>
      </c>
      <c r="E106" s="17">
        <v>31</v>
      </c>
      <c r="F106" s="17">
        <f>'CDM Activity'!B75</f>
        <v>422055.76657303952</v>
      </c>
      <c r="G106" s="17">
        <v>336</v>
      </c>
      <c r="H106" s="17">
        <v>0</v>
      </c>
      <c r="I106" s="34">
        <v>137.30940385330757</v>
      </c>
      <c r="J106" s="17">
        <f>'[15]Data Input'!AJ124</f>
        <v>21219</v>
      </c>
      <c r="K106" s="17">
        <f t="shared" si="5"/>
        <v>42255741.781537235</v>
      </c>
      <c r="L106" s="263">
        <f t="shared" si="6"/>
        <v>-645373.60307816416</v>
      </c>
      <c r="M106" s="264">
        <f t="shared" si="7"/>
        <v>1.5043282611472593E-2</v>
      </c>
    </row>
    <row r="107" spans="1:13" x14ac:dyDescent="0.2">
      <c r="A107" s="32">
        <v>40422</v>
      </c>
      <c r="B107" s="129">
        <f>'[15]Data Input'!B125</f>
        <v>34876669.230769202</v>
      </c>
      <c r="C107" s="17">
        <f>'Historical HDD &amp; CDD'!C254</f>
        <v>69.599999999999994</v>
      </c>
      <c r="D107" s="130">
        <f>'Historical HDD &amp; CDD'!D254</f>
        <v>13.899999999999999</v>
      </c>
      <c r="E107" s="17">
        <v>30</v>
      </c>
      <c r="F107" s="17">
        <f>'CDM Activity'!B76</f>
        <v>419506.11710643227</v>
      </c>
      <c r="G107" s="17">
        <v>336</v>
      </c>
      <c r="H107" s="17">
        <v>1</v>
      </c>
      <c r="I107" s="34">
        <v>137.68141108782325</v>
      </c>
      <c r="J107" s="17">
        <f>'[15]Data Input'!AJ125</f>
        <v>21290</v>
      </c>
      <c r="K107" s="17">
        <f t="shared" si="5"/>
        <v>34145828.668324262</v>
      </c>
      <c r="L107" s="263">
        <f t="shared" si="6"/>
        <v>-730840.56244494021</v>
      </c>
      <c r="M107" s="264">
        <f t="shared" si="7"/>
        <v>2.0954998816233621E-2</v>
      </c>
    </row>
    <row r="108" spans="1:13" x14ac:dyDescent="0.2">
      <c r="A108" s="32">
        <v>40452</v>
      </c>
      <c r="B108" s="129">
        <f>'[15]Data Input'!B126</f>
        <v>33323746.1538461</v>
      </c>
      <c r="C108" s="17">
        <f>'Historical HDD &amp; CDD'!C255</f>
        <v>247.29999999999998</v>
      </c>
      <c r="D108" s="130">
        <f>'Historical HDD &amp; CDD'!D255</f>
        <v>0.1</v>
      </c>
      <c r="E108" s="17">
        <v>31</v>
      </c>
      <c r="F108" s="17">
        <f>'CDM Activity'!B77</f>
        <v>416956.46763982502</v>
      </c>
      <c r="G108" s="17">
        <v>320</v>
      </c>
      <c r="H108" s="17">
        <v>1</v>
      </c>
      <c r="I108" s="34">
        <v>138.0544261876318</v>
      </c>
      <c r="J108" s="17">
        <f>'[15]Data Input'!AJ126</f>
        <v>21329</v>
      </c>
      <c r="K108" s="17">
        <f t="shared" si="5"/>
        <v>35296447.394631825</v>
      </c>
      <c r="L108" s="263">
        <f t="shared" si="6"/>
        <v>1972701.2407857254</v>
      </c>
      <c r="M108" s="264">
        <f t="shared" si="7"/>
        <v>5.9198063497373138E-2</v>
      </c>
    </row>
    <row r="109" spans="1:13" x14ac:dyDescent="0.2">
      <c r="A109" s="32">
        <v>40483</v>
      </c>
      <c r="B109" s="129">
        <f>'[15]Data Input'!B127</f>
        <v>35291992.307692297</v>
      </c>
      <c r="C109" s="17">
        <f>'Historical HDD &amp; CDD'!C256</f>
        <v>239.9</v>
      </c>
      <c r="D109" s="130">
        <f>'Historical HDD &amp; CDD'!D256</f>
        <v>0</v>
      </c>
      <c r="E109" s="17">
        <v>30</v>
      </c>
      <c r="F109" s="17">
        <f>'CDM Activity'!B78</f>
        <v>414406.81817321776</v>
      </c>
      <c r="G109" s="17">
        <v>336</v>
      </c>
      <c r="H109" s="17">
        <v>1</v>
      </c>
      <c r="I109" s="34">
        <v>138.42845188330503</v>
      </c>
      <c r="J109" s="17">
        <f>'[15]Data Input'!AJ127</f>
        <v>21323</v>
      </c>
      <c r="K109" s="17">
        <f t="shared" si="5"/>
        <v>34882635.071103625</v>
      </c>
      <c r="L109" s="263">
        <f t="shared" si="6"/>
        <v>-409357.2365886718</v>
      </c>
      <c r="M109" s="264">
        <f t="shared" si="7"/>
        <v>1.1599153513910511E-2</v>
      </c>
    </row>
    <row r="110" spans="1:13" x14ac:dyDescent="0.2">
      <c r="A110" s="32">
        <v>40513</v>
      </c>
      <c r="B110" s="129">
        <f>'[15]Data Input'!B128</f>
        <v>38566092.307692297</v>
      </c>
      <c r="C110" s="17">
        <f>'Historical HDD &amp; CDD'!C257</f>
        <v>671.3</v>
      </c>
      <c r="D110" s="130">
        <f>'Historical HDD &amp; CDD'!D257</f>
        <v>0</v>
      </c>
      <c r="E110" s="17">
        <v>31</v>
      </c>
      <c r="F110" s="17">
        <f>'CDM Activity'!B79</f>
        <v>411857.16870661051</v>
      </c>
      <c r="G110" s="17">
        <v>368</v>
      </c>
      <c r="H110" s="17">
        <v>0</v>
      </c>
      <c r="I110" s="34">
        <v>138.80349091281266</v>
      </c>
      <c r="J110" s="17">
        <f>'[15]Data Input'!AJ128</f>
        <v>21421</v>
      </c>
      <c r="K110" s="17">
        <f t="shared" si="5"/>
        <v>41858879.513323292</v>
      </c>
      <c r="L110" s="263">
        <f t="shared" si="6"/>
        <v>3292787.2056309953</v>
      </c>
      <c r="M110" s="264">
        <f t="shared" si="7"/>
        <v>8.5380369350363874E-2</v>
      </c>
    </row>
    <row r="111" spans="1:13" x14ac:dyDescent="0.2">
      <c r="A111" s="32">
        <v>40544</v>
      </c>
      <c r="B111" s="129">
        <f>'[15]Data Input'!B131</f>
        <v>40900176.416666664</v>
      </c>
      <c r="C111" s="17">
        <f>'Historical HDD &amp; CDD'!C258</f>
        <v>794.6</v>
      </c>
      <c r="D111" s="130">
        <f>'Historical HDD &amp; CDD'!D258</f>
        <v>0</v>
      </c>
      <c r="E111" s="131">
        <v>31</v>
      </c>
      <c r="F111" s="17">
        <f>'CDM Activity'!B80</f>
        <v>437345.132977342</v>
      </c>
      <c r="G111" s="17">
        <v>336</v>
      </c>
      <c r="H111" s="17">
        <v>0</v>
      </c>
      <c r="I111" s="34">
        <v>139.10070640604135</v>
      </c>
      <c r="J111" s="17">
        <f>'[15]Data Input'!AJ131</f>
        <v>21445.222222222223</v>
      </c>
      <c r="K111" s="17">
        <f t="shared" si="5"/>
        <v>42201684.734242238</v>
      </c>
      <c r="L111" s="263">
        <f t="shared" si="6"/>
        <v>1301508.3175755739</v>
      </c>
      <c r="M111" s="264">
        <f t="shared" si="7"/>
        <v>3.1821581997998775E-2</v>
      </c>
    </row>
    <row r="112" spans="1:13" x14ac:dyDescent="0.2">
      <c r="A112" s="32">
        <v>40575</v>
      </c>
      <c r="B112" s="129">
        <f>'[15]Data Input'!B132</f>
        <v>37002004.416666664</v>
      </c>
      <c r="C112" s="17">
        <f>'Historical HDD &amp; CDD'!C259</f>
        <v>645.30000000000007</v>
      </c>
      <c r="D112" s="130">
        <f>'Historical HDD &amp; CDD'!D259</f>
        <v>0</v>
      </c>
      <c r="E112" s="131">
        <v>28</v>
      </c>
      <c r="F112" s="17">
        <f>'CDM Activity'!B81</f>
        <v>462833.09724807349</v>
      </c>
      <c r="G112" s="17">
        <v>304</v>
      </c>
      <c r="H112" s="17">
        <v>0</v>
      </c>
      <c r="I112" s="34">
        <v>139.39855831733732</v>
      </c>
      <c r="J112" s="17">
        <f>'[15]Data Input'!AJ132</f>
        <v>21469.444444444445</v>
      </c>
      <c r="K112" s="17">
        <f t="shared" si="5"/>
        <v>37443955.859149128</v>
      </c>
      <c r="L112" s="263">
        <f t="shared" si="6"/>
        <v>441951.44248246402</v>
      </c>
      <c r="M112" s="264">
        <f t="shared" si="7"/>
        <v>1.1943986533967268E-2</v>
      </c>
    </row>
    <row r="113" spans="1:13" x14ac:dyDescent="0.2">
      <c r="A113" s="32">
        <v>40603</v>
      </c>
      <c r="B113" s="129">
        <f>'[15]Data Input'!B133</f>
        <v>39251866.416666664</v>
      </c>
      <c r="C113" s="17">
        <f>'Historical HDD &amp; CDD'!C260</f>
        <v>550.6</v>
      </c>
      <c r="D113" s="130">
        <f>'Historical HDD &amp; CDD'!D260</f>
        <v>0</v>
      </c>
      <c r="E113" s="131">
        <v>31</v>
      </c>
      <c r="F113" s="17">
        <f>'CDM Activity'!B82</f>
        <v>488321.06151880499</v>
      </c>
      <c r="G113" s="17">
        <v>368</v>
      </c>
      <c r="H113" s="17">
        <v>1</v>
      </c>
      <c r="I113" s="34">
        <v>139.69704800944226</v>
      </c>
      <c r="J113" s="17">
        <f>'[15]Data Input'!AJ133</f>
        <v>21493.666666666672</v>
      </c>
      <c r="K113" s="17">
        <f t="shared" si="5"/>
        <v>39110741.017301768</v>
      </c>
      <c r="L113" s="263">
        <f t="shared" si="6"/>
        <v>-141125.39936489612</v>
      </c>
      <c r="M113" s="264">
        <f t="shared" si="7"/>
        <v>3.5953806085759306E-3</v>
      </c>
    </row>
    <row r="114" spans="1:13" x14ac:dyDescent="0.2">
      <c r="A114" s="32">
        <v>40634</v>
      </c>
      <c r="B114" s="129">
        <f>'[15]Data Input'!B134</f>
        <v>34076716.416666664</v>
      </c>
      <c r="C114" s="17">
        <f>'Historical HDD &amp; CDD'!C261</f>
        <v>324.89999999999998</v>
      </c>
      <c r="D114" s="130">
        <f>'Historical HDD &amp; CDD'!D261</f>
        <v>0.4</v>
      </c>
      <c r="E114" s="131">
        <v>30</v>
      </c>
      <c r="F114" s="17">
        <f>'CDM Activity'!B83</f>
        <v>513809.02578953648</v>
      </c>
      <c r="G114" s="17">
        <v>320</v>
      </c>
      <c r="H114" s="17">
        <v>1</v>
      </c>
      <c r="I114" s="34">
        <v>139.99617684801592</v>
      </c>
      <c r="J114" s="17">
        <f>'[15]Data Input'!AJ134</f>
        <v>21517.888888888894</v>
      </c>
      <c r="K114" s="17">
        <f t="shared" si="5"/>
        <v>34649999.951287046</v>
      </c>
      <c r="L114" s="263">
        <f t="shared" si="6"/>
        <v>573283.53462038189</v>
      </c>
      <c r="M114" s="264">
        <f t="shared" si="7"/>
        <v>1.6823320874307986E-2</v>
      </c>
    </row>
    <row r="115" spans="1:13" x14ac:dyDescent="0.2">
      <c r="A115" s="32">
        <v>40664</v>
      </c>
      <c r="B115" s="129">
        <f>'[15]Data Input'!B135</f>
        <v>34411223.416666664</v>
      </c>
      <c r="C115" s="17">
        <f>'Historical HDD &amp; CDD'!C262</f>
        <v>136.00000000000003</v>
      </c>
      <c r="D115" s="130">
        <f>'Historical HDD &amp; CDD'!D262</f>
        <v>12.5</v>
      </c>
      <c r="E115" s="131">
        <v>31</v>
      </c>
      <c r="F115" s="17">
        <f>'CDM Activity'!B84</f>
        <v>539296.99006026797</v>
      </c>
      <c r="G115" s="17">
        <v>336</v>
      </c>
      <c r="H115" s="17">
        <v>1</v>
      </c>
      <c r="I115" s="34">
        <v>140.29594620164227</v>
      </c>
      <c r="J115" s="17">
        <f>'[15]Data Input'!AJ135</f>
        <v>21542.11111111112</v>
      </c>
      <c r="K115" s="17">
        <f t="shared" si="5"/>
        <v>34525694.228855938</v>
      </c>
      <c r="L115" s="263">
        <f t="shared" si="6"/>
        <v>114470.81218927354</v>
      </c>
      <c r="M115" s="264">
        <f t="shared" si="7"/>
        <v>3.3265545605051334E-3</v>
      </c>
    </row>
    <row r="116" spans="1:13" x14ac:dyDescent="0.2">
      <c r="A116" s="32">
        <v>40695</v>
      </c>
      <c r="B116" s="129">
        <f>'[15]Data Input'!B136</f>
        <v>38049473.416666664</v>
      </c>
      <c r="C116" s="17">
        <f>'Historical HDD &amp; CDD'!C263</f>
        <v>22.700000000000003</v>
      </c>
      <c r="D116" s="130">
        <f>'Historical HDD &amp; CDD'!D263</f>
        <v>40.200000000000003</v>
      </c>
      <c r="E116" s="131">
        <v>30</v>
      </c>
      <c r="F116" s="17">
        <f>'CDM Activity'!B85</f>
        <v>564784.95433099952</v>
      </c>
      <c r="G116" s="17">
        <v>352</v>
      </c>
      <c r="H116" s="17">
        <v>0</v>
      </c>
      <c r="I116" s="34">
        <v>140.59635744183578</v>
      </c>
      <c r="J116" s="17">
        <f>'[15]Data Input'!AJ136</f>
        <v>21566.333333333343</v>
      </c>
      <c r="K116" s="17">
        <f t="shared" si="5"/>
        <v>35855747.373365223</v>
      </c>
      <c r="L116" s="263">
        <f t="shared" si="6"/>
        <v>-2193726.0433014408</v>
      </c>
      <c r="M116" s="264">
        <f t="shared" si="7"/>
        <v>5.7654570387313989E-2</v>
      </c>
    </row>
    <row r="117" spans="1:13" x14ac:dyDescent="0.2">
      <c r="A117" s="32">
        <v>40725</v>
      </c>
      <c r="B117" s="129">
        <f>'[15]Data Input'!B137</f>
        <v>46034684.416666664</v>
      </c>
      <c r="C117" s="17">
        <f>'Historical HDD &amp; CDD'!C264</f>
        <v>0.2</v>
      </c>
      <c r="D117" s="130">
        <f>'Historical HDD &amp; CDD'!D264</f>
        <v>158.6</v>
      </c>
      <c r="E117" s="131">
        <v>31</v>
      </c>
      <c r="F117" s="17">
        <f>'CDM Activity'!B86</f>
        <v>590272.91860173107</v>
      </c>
      <c r="G117" s="17">
        <v>320</v>
      </c>
      <c r="H117" s="17">
        <v>0</v>
      </c>
      <c r="I117" s="34">
        <v>140.89741194304773</v>
      </c>
      <c r="J117" s="17">
        <f>'[15]Data Input'!AJ137</f>
        <v>21590.555555555569</v>
      </c>
      <c r="K117" s="17">
        <f t="shared" si="5"/>
        <v>44902112.326856732</v>
      </c>
      <c r="L117" s="263">
        <f t="shared" si="6"/>
        <v>-1132572.0898099318</v>
      </c>
      <c r="M117" s="264">
        <f t="shared" si="7"/>
        <v>2.4602581817632464E-2</v>
      </c>
    </row>
    <row r="118" spans="1:13" x14ac:dyDescent="0.2">
      <c r="A118" s="32">
        <v>40756</v>
      </c>
      <c r="B118" s="129">
        <f>'[15]Data Input'!B138</f>
        <v>42762335.416666664</v>
      </c>
      <c r="C118" s="17">
        <f>'Historical HDD &amp; CDD'!C265</f>
        <v>4.0999999999999996</v>
      </c>
      <c r="D118" s="130">
        <f>'Historical HDD &amp; CDD'!D265</f>
        <v>88.8</v>
      </c>
      <c r="E118" s="131">
        <v>31</v>
      </c>
      <c r="F118" s="17">
        <f>'CDM Activity'!B87</f>
        <v>615760.88287246262</v>
      </c>
      <c r="G118" s="17">
        <v>352</v>
      </c>
      <c r="H118" s="17">
        <v>0</v>
      </c>
      <c r="I118" s="34">
        <v>141.19911108267243</v>
      </c>
      <c r="J118" s="17">
        <f>'[15]Data Input'!AJ138</f>
        <v>21614.777777777792</v>
      </c>
      <c r="K118" s="17">
        <f t="shared" si="5"/>
        <v>39896354.712772913</v>
      </c>
      <c r="L118" s="263">
        <f t="shared" si="6"/>
        <v>-2865980.7038937509</v>
      </c>
      <c r="M118" s="264">
        <f t="shared" si="7"/>
        <v>6.7021145500316431E-2</v>
      </c>
    </row>
    <row r="119" spans="1:13" x14ac:dyDescent="0.2">
      <c r="A119" s="32">
        <v>40787</v>
      </c>
      <c r="B119" s="129">
        <f>'[15]Data Input'!B139</f>
        <v>34007841.416666664</v>
      </c>
      <c r="C119" s="17">
        <f>'Historical HDD &amp; CDD'!C266</f>
        <v>53.8</v>
      </c>
      <c r="D119" s="130">
        <f>'Historical HDD &amp; CDD'!D266</f>
        <v>24.9</v>
      </c>
      <c r="E119" s="131">
        <v>30</v>
      </c>
      <c r="F119" s="17">
        <f>'CDM Activity'!B88</f>
        <v>641248.84714319417</v>
      </c>
      <c r="G119" s="17">
        <v>336</v>
      </c>
      <c r="H119" s="17">
        <v>1</v>
      </c>
      <c r="I119" s="34">
        <v>141.50145624105357</v>
      </c>
      <c r="J119" s="17">
        <f>'[15]Data Input'!AJ139</f>
        <v>21639.000000000015</v>
      </c>
      <c r="K119" s="17">
        <f t="shared" si="5"/>
        <v>33109519.830250982</v>
      </c>
      <c r="L119" s="263">
        <f t="shared" si="6"/>
        <v>-898321.58641568199</v>
      </c>
      <c r="M119" s="264">
        <f t="shared" si="7"/>
        <v>2.6415131010797701E-2</v>
      </c>
    </row>
    <row r="120" spans="1:13" x14ac:dyDescent="0.2">
      <c r="A120" s="32">
        <v>40817</v>
      </c>
      <c r="B120" s="129">
        <f>'[15]Data Input'!B140</f>
        <v>32896105.416666668</v>
      </c>
      <c r="C120" s="17">
        <f>'Historical HDD &amp; CDD'!C267</f>
        <v>234.5</v>
      </c>
      <c r="D120" s="130">
        <f>'Historical HDD &amp; CDD'!D267</f>
        <v>0</v>
      </c>
      <c r="E120" s="131">
        <v>31</v>
      </c>
      <c r="F120" s="17">
        <f>'CDM Activity'!B89</f>
        <v>666736.81141392572</v>
      </c>
      <c r="G120" s="17">
        <v>320</v>
      </c>
      <c r="H120" s="17">
        <v>1</v>
      </c>
      <c r="I120" s="34">
        <v>141.80444880149057</v>
      </c>
      <c r="J120" s="17">
        <f>'[15]Data Input'!AJ140</f>
        <v>21663.222222222237</v>
      </c>
      <c r="K120" s="17">
        <f t="shared" si="5"/>
        <v>33177464.542677905</v>
      </c>
      <c r="L120" s="263">
        <f t="shared" si="6"/>
        <v>281359.1260112375</v>
      </c>
      <c r="M120" s="264">
        <f t="shared" si="7"/>
        <v>8.5529615876257532E-3</v>
      </c>
    </row>
    <row r="121" spans="1:13" x14ac:dyDescent="0.2">
      <c r="A121" s="32">
        <v>40848</v>
      </c>
      <c r="B121" s="129">
        <f>'[15]Data Input'!B141</f>
        <v>34363376.416666664</v>
      </c>
      <c r="C121" s="17">
        <f>'Historical HDD &amp; CDD'!C268</f>
        <v>320.00000000000006</v>
      </c>
      <c r="D121" s="130">
        <f>'Historical HDD &amp; CDD'!D268</f>
        <v>0</v>
      </c>
      <c r="E121" s="131">
        <v>30</v>
      </c>
      <c r="F121" s="17">
        <f>'CDM Activity'!B90</f>
        <v>692224.77568465727</v>
      </c>
      <c r="G121" s="17">
        <v>352</v>
      </c>
      <c r="H121" s="17">
        <v>1</v>
      </c>
      <c r="I121" s="34">
        <v>142.10809015024478</v>
      </c>
      <c r="J121" s="17">
        <f>'[15]Data Input'!AJ141</f>
        <v>21687.44444444446</v>
      </c>
      <c r="K121" s="17">
        <f t="shared" si="5"/>
        <v>33924836.833573304</v>
      </c>
      <c r="L121" s="263">
        <f t="shared" si="6"/>
        <v>-438539.58309336007</v>
      </c>
      <c r="M121" s="264">
        <f t="shared" si="7"/>
        <v>1.2761830437612729E-2</v>
      </c>
    </row>
    <row r="122" spans="1:13" x14ac:dyDescent="0.2">
      <c r="A122" s="32">
        <v>40878</v>
      </c>
      <c r="B122" s="129">
        <f>'[15]Data Input'!B142</f>
        <v>37465044.416666664</v>
      </c>
      <c r="C122" s="17">
        <f>'Historical HDD &amp; CDD'!C269</f>
        <v>512</v>
      </c>
      <c r="D122" s="17">
        <f>'Historical HDD &amp; CDD'!D269</f>
        <v>0</v>
      </c>
      <c r="E122" s="131">
        <v>31</v>
      </c>
      <c r="F122" s="17">
        <f>'CDM Activity'!B91</f>
        <v>717712.73995538882</v>
      </c>
      <c r="G122" s="17">
        <v>336</v>
      </c>
      <c r="H122" s="17">
        <v>0</v>
      </c>
      <c r="I122" s="34">
        <v>142.41238167654581</v>
      </c>
      <c r="J122" s="17">
        <f>'[15]Data Input'!AJ142</f>
        <v>21711.66666666669</v>
      </c>
      <c r="K122" s="17">
        <f t="shared" si="5"/>
        <v>36973893.409597129</v>
      </c>
      <c r="L122" s="263">
        <f t="shared" si="6"/>
        <v>-491151.00706953555</v>
      </c>
      <c r="M122" s="264">
        <f t="shared" si="7"/>
        <v>1.3109580269202685E-2</v>
      </c>
    </row>
    <row r="123" spans="1:13" x14ac:dyDescent="0.2">
      <c r="A123" s="32">
        <v>40909</v>
      </c>
      <c r="B123" s="129">
        <f>'[15]Data Input'!B145</f>
        <v>38332945</v>
      </c>
      <c r="C123" s="17">
        <f>'Historical HDD &amp; CDD'!C270</f>
        <v>600.80000000000007</v>
      </c>
      <c r="D123" s="17">
        <f>'Historical HDD &amp; CDD'!D270</f>
        <v>0</v>
      </c>
      <c r="E123" s="17">
        <v>31</v>
      </c>
      <c r="F123" s="17">
        <f>'CDM Activity'!B92</f>
        <v>717422.3662677079</v>
      </c>
      <c r="G123" s="17">
        <v>336</v>
      </c>
      <c r="H123" s="17">
        <v>0</v>
      </c>
      <c r="I123" s="34">
        <v>142.61257743956915</v>
      </c>
      <c r="J123" s="17">
        <f>'[15]Data Input'!AJ145</f>
        <v>21863</v>
      </c>
      <c r="K123" s="17">
        <f t="shared" si="5"/>
        <v>37922464.509566292</v>
      </c>
      <c r="L123" s="263">
        <f t="shared" si="6"/>
        <v>-410480.49043370783</v>
      </c>
      <c r="M123" s="264">
        <f t="shared" si="7"/>
        <v>1.0708295186652313E-2</v>
      </c>
    </row>
    <row r="124" spans="1:13" x14ac:dyDescent="0.2">
      <c r="A124" s="32">
        <v>40940</v>
      </c>
      <c r="B124" s="129">
        <f>'[15]Data Input'!B146</f>
        <v>35663980</v>
      </c>
      <c r="C124" s="17">
        <f>'Historical HDD &amp; CDD'!C271</f>
        <v>533.20000000000005</v>
      </c>
      <c r="D124" s="17">
        <f>'Historical HDD &amp; CDD'!D271</f>
        <v>0</v>
      </c>
      <c r="E124" s="17">
        <v>29</v>
      </c>
      <c r="F124" s="17">
        <f>'CDM Activity'!B93</f>
        <v>717131.99258002697</v>
      </c>
      <c r="G124" s="17">
        <v>320</v>
      </c>
      <c r="H124" s="17">
        <v>0</v>
      </c>
      <c r="I124" s="34">
        <v>142.81305462716429</v>
      </c>
      <c r="J124" s="17">
        <f>'[15]Data Input'!AJ146</f>
        <v>21957</v>
      </c>
      <c r="K124" s="17">
        <f t="shared" si="5"/>
        <v>35355824.810396522</v>
      </c>
      <c r="L124" s="263">
        <f t="shared" si="6"/>
        <v>-308155.18960347772</v>
      </c>
      <c r="M124" s="264">
        <f t="shared" si="7"/>
        <v>8.6405159941060333E-3</v>
      </c>
    </row>
    <row r="125" spans="1:13" x14ac:dyDescent="0.2">
      <c r="A125" s="32">
        <v>40969</v>
      </c>
      <c r="B125" s="129">
        <f>'[15]Data Input'!B147</f>
        <v>34848118</v>
      </c>
      <c r="C125" s="17">
        <f>'Historical HDD &amp; CDD'!C272</f>
        <v>333.80000000000007</v>
      </c>
      <c r="D125" s="17">
        <f>'Historical HDD &amp; CDD'!D272</f>
        <v>0</v>
      </c>
      <c r="E125" s="17">
        <v>31</v>
      </c>
      <c r="F125" s="17">
        <f>'CDM Activity'!B94</f>
        <v>716841.61889234604</v>
      </c>
      <c r="G125" s="17">
        <v>352</v>
      </c>
      <c r="H125" s="17">
        <v>1</v>
      </c>
      <c r="I125" s="34">
        <v>143.01381363494295</v>
      </c>
      <c r="J125" s="17">
        <f>'[15]Data Input'!AJ147</f>
        <v>21953</v>
      </c>
      <c r="K125" s="17">
        <f t="shared" si="5"/>
        <v>34609174.10159909</v>
      </c>
      <c r="L125" s="263">
        <f t="shared" si="6"/>
        <v>-238943.8984009102</v>
      </c>
      <c r="M125" s="264">
        <f t="shared" si="7"/>
        <v>6.8567231780181127E-3</v>
      </c>
    </row>
    <row r="126" spans="1:13" x14ac:dyDescent="0.2">
      <c r="A126" s="32">
        <v>41000</v>
      </c>
      <c r="B126" s="129">
        <f>'[15]Data Input'!B148</f>
        <v>29360304</v>
      </c>
      <c r="C126" s="17">
        <f>'Historical HDD &amp; CDD'!C273</f>
        <v>330.9</v>
      </c>
      <c r="D126" s="17">
        <f>'Historical HDD &amp; CDD'!D273</f>
        <v>0</v>
      </c>
      <c r="E126" s="17">
        <v>30</v>
      </c>
      <c r="F126" s="17">
        <f>'CDM Activity'!B95</f>
        <v>716551.24520466512</v>
      </c>
      <c r="G126" s="17">
        <v>320</v>
      </c>
      <c r="H126" s="17">
        <v>1</v>
      </c>
      <c r="I126" s="34">
        <v>143.21485485907297</v>
      </c>
      <c r="J126" s="17">
        <f>'[15]Data Input'!AJ148</f>
        <v>21950</v>
      </c>
      <c r="K126" s="17">
        <f t="shared" si="5"/>
        <v>33079060.436899398</v>
      </c>
      <c r="L126" s="263">
        <f t="shared" si="6"/>
        <v>3718756.4368993975</v>
      </c>
      <c r="M126" s="264">
        <f t="shared" si="7"/>
        <v>0.12665933012476294</v>
      </c>
    </row>
    <row r="127" spans="1:13" x14ac:dyDescent="0.2">
      <c r="A127" s="32">
        <v>41030</v>
      </c>
      <c r="B127" s="129">
        <f>'[15]Data Input'!B149</f>
        <v>33203358</v>
      </c>
      <c r="C127" s="17">
        <f>'Historical HDD &amp; CDD'!C274</f>
        <v>82.300000000000011</v>
      </c>
      <c r="D127" s="17">
        <f>'Historical HDD &amp; CDD'!D274</f>
        <v>28.9</v>
      </c>
      <c r="E127" s="17">
        <v>31</v>
      </c>
      <c r="F127" s="17">
        <f>'CDM Activity'!B96</f>
        <v>716260.87151698419</v>
      </c>
      <c r="G127" s="17">
        <v>352</v>
      </c>
      <c r="H127" s="17">
        <v>1</v>
      </c>
      <c r="I127" s="34">
        <v>143.41617869627913</v>
      </c>
      <c r="J127" s="17">
        <f>'[15]Data Input'!AJ149</f>
        <v>21973</v>
      </c>
      <c r="K127" s="17">
        <f t="shared" si="5"/>
        <v>34258741.371937849</v>
      </c>
      <c r="L127" s="263">
        <f t="shared" si="6"/>
        <v>1055383.3719378486</v>
      </c>
      <c r="M127" s="264">
        <f t="shared" si="7"/>
        <v>3.1785440856248598E-2</v>
      </c>
    </row>
    <row r="128" spans="1:13" x14ac:dyDescent="0.2">
      <c r="A128" s="32">
        <v>41061</v>
      </c>
      <c r="B128" s="129">
        <f>'[15]Data Input'!B150</f>
        <v>33725678</v>
      </c>
      <c r="C128" s="17">
        <f>'Historical HDD &amp; CDD'!C275</f>
        <v>31.599999999999998</v>
      </c>
      <c r="D128" s="17">
        <f>'Historical HDD &amp; CDD'!D275</f>
        <v>58.8</v>
      </c>
      <c r="E128" s="17">
        <v>30</v>
      </c>
      <c r="F128" s="17">
        <f>'CDM Activity'!B97</f>
        <v>715970.49782930326</v>
      </c>
      <c r="G128" s="17">
        <v>336</v>
      </c>
      <c r="H128" s="17">
        <v>0</v>
      </c>
      <c r="I128" s="34">
        <v>143.61778554384387</v>
      </c>
      <c r="J128" s="17">
        <f>'[15]Data Input'!AJ150</f>
        <v>21985</v>
      </c>
      <c r="K128" s="17">
        <f t="shared" si="5"/>
        <v>35867021.500476263</v>
      </c>
      <c r="L128" s="263">
        <f t="shared" si="6"/>
        <v>2141343.5004762635</v>
      </c>
      <c r="M128" s="264">
        <f t="shared" si="7"/>
        <v>6.34929711561696E-2</v>
      </c>
    </row>
    <row r="129" spans="1:13" x14ac:dyDescent="0.2">
      <c r="A129" s="32">
        <v>41091</v>
      </c>
      <c r="B129" s="129">
        <f>'[15]Data Input'!B151</f>
        <v>42152151.322580643</v>
      </c>
      <c r="C129" s="17">
        <f>'Historical HDD &amp; CDD'!C276</f>
        <v>0</v>
      </c>
      <c r="D129" s="17">
        <f>'Historical HDD &amp; CDD'!D276</f>
        <v>130.89999999999998</v>
      </c>
      <c r="E129" s="17">
        <v>31</v>
      </c>
      <c r="F129" s="17">
        <f>'CDM Activity'!B98</f>
        <v>715680.12414162233</v>
      </c>
      <c r="G129" s="17">
        <v>336</v>
      </c>
      <c r="H129" s="17">
        <v>0</v>
      </c>
      <c r="I129" s="34">
        <v>143.81967579960809</v>
      </c>
      <c r="J129" s="17">
        <f>'[15]Data Input'!AJ151</f>
        <v>21988</v>
      </c>
      <c r="K129" s="17">
        <f t="shared" si="5"/>
        <v>42064953.954991825</v>
      </c>
      <c r="L129" s="263">
        <f t="shared" si="6"/>
        <v>-87197.367588818073</v>
      </c>
      <c r="M129" s="264">
        <f t="shared" si="7"/>
        <v>2.0686338621608382E-3</v>
      </c>
    </row>
    <row r="130" spans="1:13" x14ac:dyDescent="0.2">
      <c r="A130" s="32">
        <v>41122</v>
      </c>
      <c r="B130" s="129">
        <f>'[15]Data Input'!B152</f>
        <v>39128268</v>
      </c>
      <c r="C130" s="17">
        <f>'Historical HDD &amp; CDD'!C277</f>
        <v>6</v>
      </c>
      <c r="D130" s="17">
        <f>'Historical HDD &amp; CDD'!D277</f>
        <v>76.600000000000009</v>
      </c>
      <c r="E130" s="17">
        <v>31</v>
      </c>
      <c r="F130" s="17">
        <f>'CDM Activity'!B99</f>
        <v>715389.75045394141</v>
      </c>
      <c r="G130" s="17">
        <v>352</v>
      </c>
      <c r="H130" s="17">
        <v>0</v>
      </c>
      <c r="I130" s="34">
        <v>144.02184986197204</v>
      </c>
      <c r="J130" s="17">
        <f>'[15]Data Input'!AJ152</f>
        <v>22002</v>
      </c>
      <c r="K130" s="17">
        <f t="shared" si="5"/>
        <v>38147527.287750833</v>
      </c>
      <c r="L130" s="263">
        <f t="shared" si="6"/>
        <v>-980740.71224916726</v>
      </c>
      <c r="M130" s="264">
        <f t="shared" si="7"/>
        <v>2.5064761676881972E-2</v>
      </c>
    </row>
    <row r="131" spans="1:13" x14ac:dyDescent="0.2">
      <c r="A131" s="32">
        <v>41153</v>
      </c>
      <c r="B131" s="129">
        <f>'[15]Data Input'!B153</f>
        <v>33338864</v>
      </c>
      <c r="C131" s="17">
        <f>'Historical HDD &amp; CDD'!C278</f>
        <v>86.1</v>
      </c>
      <c r="D131" s="17">
        <f>'Historical HDD &amp; CDD'!D278</f>
        <v>28.900000000000002</v>
      </c>
      <c r="E131" s="17">
        <v>30</v>
      </c>
      <c r="F131" s="17">
        <f>'CDM Activity'!B100</f>
        <v>715099.37676626048</v>
      </c>
      <c r="G131" s="17">
        <v>304</v>
      </c>
      <c r="H131" s="17">
        <v>1</v>
      </c>
      <c r="I131" s="34">
        <v>144.22430812989595</v>
      </c>
      <c r="J131" s="17">
        <f>'[15]Data Input'!AJ153</f>
        <v>22010</v>
      </c>
      <c r="K131" s="17">
        <f t="shared" si="5"/>
        <v>32422097.669549569</v>
      </c>
      <c r="L131" s="263">
        <f t="shared" si="6"/>
        <v>-916766.33045043051</v>
      </c>
      <c r="M131" s="264">
        <f t="shared" si="7"/>
        <v>2.7498427374442948E-2</v>
      </c>
    </row>
    <row r="132" spans="1:13" x14ac:dyDescent="0.2">
      <c r="A132" s="32">
        <v>41183</v>
      </c>
      <c r="B132" s="129">
        <f>'[15]Data Input'!B154</f>
        <v>32606142</v>
      </c>
      <c r="C132" s="17">
        <f>'Historical HDD &amp; CDD'!C279</f>
        <v>227.39999999999998</v>
      </c>
      <c r="D132" s="17">
        <f>'Historical HDD &amp; CDD'!D279</f>
        <v>0.8</v>
      </c>
      <c r="E132" s="17">
        <v>31</v>
      </c>
      <c r="F132" s="17">
        <f>'CDM Activity'!B101</f>
        <v>714809.00307857955</v>
      </c>
      <c r="G132" s="17">
        <v>352</v>
      </c>
      <c r="H132" s="17">
        <v>1</v>
      </c>
      <c r="I132" s="34">
        <v>144.42705100290087</v>
      </c>
      <c r="J132" s="17">
        <f>'[15]Data Input'!AJ154</f>
        <v>22014</v>
      </c>
      <c r="K132" s="17">
        <f t="shared" ref="K132:K194" si="8">$O$18+$O$19*C132+$O$20*D132+$O$21*E132+$O$22*F132+$O$23*G132+H132*$O$24</f>
        <v>33555776.883512676</v>
      </c>
      <c r="L132" s="263">
        <f t="shared" si="6"/>
        <v>949634.88351267576</v>
      </c>
      <c r="M132" s="264">
        <f t="shared" si="7"/>
        <v>2.9124417219083317E-2</v>
      </c>
    </row>
    <row r="133" spans="1:13" x14ac:dyDescent="0.2">
      <c r="A133" s="32">
        <v>41214</v>
      </c>
      <c r="B133" s="129">
        <f>'[15]Data Input'!B155</f>
        <v>34295421</v>
      </c>
      <c r="C133" s="17">
        <f>'Historical HDD &amp; CDD'!C280</f>
        <v>415.19999999999993</v>
      </c>
      <c r="D133" s="17">
        <f>'Historical HDD &amp; CDD'!D280</f>
        <v>0</v>
      </c>
      <c r="E133" s="17">
        <v>30</v>
      </c>
      <c r="F133" s="17">
        <f>'CDM Activity'!B102</f>
        <v>714518.62939089863</v>
      </c>
      <c r="G133" s="17">
        <v>352</v>
      </c>
      <c r="H133" s="17">
        <v>1</v>
      </c>
      <c r="I133" s="34">
        <v>144.63007888106955</v>
      </c>
      <c r="J133" s="17">
        <f>'[15]Data Input'!AJ155</f>
        <v>22047</v>
      </c>
      <c r="K133" s="17">
        <f t="shared" si="8"/>
        <v>34763077.487966262</v>
      </c>
      <c r="L133" s="263">
        <f t="shared" si="6"/>
        <v>467656.4879662618</v>
      </c>
      <c r="M133" s="264">
        <f t="shared" si="7"/>
        <v>1.3636120342895391E-2</v>
      </c>
    </row>
    <row r="134" spans="1:13" x14ac:dyDescent="0.2">
      <c r="A134" s="32">
        <v>41244</v>
      </c>
      <c r="B134" s="129">
        <f>'[15]Data Input'!B156</f>
        <v>35015935</v>
      </c>
      <c r="C134" s="17">
        <f>'Historical HDD &amp; CDD'!C281</f>
        <v>505.1</v>
      </c>
      <c r="D134" s="17">
        <f>'Historical HDD &amp; CDD'!D281</f>
        <v>0</v>
      </c>
      <c r="E134" s="17">
        <v>31</v>
      </c>
      <c r="F134" s="17">
        <f>'CDM Activity'!B103</f>
        <v>714228.2557032177</v>
      </c>
      <c r="G134" s="17">
        <v>304</v>
      </c>
      <c r="H134" s="17">
        <v>0</v>
      </c>
      <c r="I134" s="34">
        <v>144.83339216504706</v>
      </c>
      <c r="J134" s="17">
        <f>'[15]Data Input'!AJ156</f>
        <v>22053</v>
      </c>
      <c r="K134" s="17">
        <f t="shared" si="8"/>
        <v>36158283.898401089</v>
      </c>
      <c r="L134" s="263">
        <f t="shared" ref="L134:L170" si="9">K134-B134</f>
        <v>1142348.898401089</v>
      </c>
      <c r="M134" s="264">
        <f t="shared" ref="M134:M170" si="10">ABS(L134/B134)</f>
        <v>3.2623686855744079E-2</v>
      </c>
    </row>
    <row r="135" spans="1:13" x14ac:dyDescent="0.2">
      <c r="A135" s="32">
        <v>41275</v>
      </c>
      <c r="B135" s="27">
        <f>'[15]Data Input'!B159</f>
        <v>37762681.75</v>
      </c>
      <c r="C135" s="17">
        <f>'Historical HDD &amp; CDD'!C282</f>
        <v>617.29999999999995</v>
      </c>
      <c r="D135" s="17">
        <f>'Historical HDD &amp; CDD'!D282</f>
        <v>0</v>
      </c>
      <c r="E135" s="17">
        <v>31</v>
      </c>
      <c r="F135" s="17">
        <f>'CDM Activity'!B104</f>
        <v>749564.45657906611</v>
      </c>
      <c r="G135" s="17">
        <v>352</v>
      </c>
      <c r="H135" s="17">
        <v>0</v>
      </c>
      <c r="I135" s="34">
        <v>144.98936781896037</v>
      </c>
      <c r="J135" s="17">
        <f>'[15]Data Input'!AJ159</f>
        <v>22066</v>
      </c>
      <c r="K135" s="17">
        <f t="shared" si="8"/>
        <v>38229019.696658947</v>
      </c>
      <c r="L135" s="263">
        <f t="shared" si="9"/>
        <v>466337.94665894657</v>
      </c>
      <c r="M135" s="264">
        <f t="shared" si="10"/>
        <v>1.2349174503713487E-2</v>
      </c>
    </row>
    <row r="136" spans="1:13" x14ac:dyDescent="0.2">
      <c r="A136" s="32">
        <v>41306</v>
      </c>
      <c r="B136" s="27">
        <f>'[15]Data Input'!B160</f>
        <v>33318398.75</v>
      </c>
      <c r="C136" s="17">
        <f>'Historical HDD &amp; CDD'!C283</f>
        <v>640.1</v>
      </c>
      <c r="D136" s="17">
        <f>'Historical HDD &amp; CDD'!D283</f>
        <v>0</v>
      </c>
      <c r="E136" s="17">
        <v>28</v>
      </c>
      <c r="F136" s="17">
        <f>'CDM Activity'!B105</f>
        <v>784900.65745491453</v>
      </c>
      <c r="G136" s="17">
        <v>304</v>
      </c>
      <c r="H136" s="17">
        <v>0</v>
      </c>
      <c r="I136" s="34">
        <v>145.14551144798114</v>
      </c>
      <c r="J136" s="17">
        <f>'[15]Data Input'!AJ160</f>
        <v>22089</v>
      </c>
      <c r="K136" s="17">
        <f t="shared" si="8"/>
        <v>34842568.222818062</v>
      </c>
      <c r="L136" s="263">
        <f t="shared" si="9"/>
        <v>1524169.4728180617</v>
      </c>
      <c r="M136" s="264">
        <f t="shared" si="10"/>
        <v>4.5745579919805171E-2</v>
      </c>
    </row>
    <row r="137" spans="1:13" x14ac:dyDescent="0.2">
      <c r="A137" s="32">
        <v>41334</v>
      </c>
      <c r="B137" s="27">
        <f>'[15]Data Input'!B161</f>
        <v>34776845.75</v>
      </c>
      <c r="C137" s="17">
        <f>'Historical HDD &amp; CDD'!C284</f>
        <v>555.40000000000009</v>
      </c>
      <c r="D137" s="17">
        <f>'Historical HDD &amp; CDD'!D284</f>
        <v>0</v>
      </c>
      <c r="E137" s="17">
        <v>31</v>
      </c>
      <c r="F137" s="17">
        <f>'CDM Activity'!B106</f>
        <v>820236.85833076295</v>
      </c>
      <c r="G137" s="17">
        <v>320</v>
      </c>
      <c r="H137" s="17">
        <v>1</v>
      </c>
      <c r="I137" s="34">
        <v>145.30182323300707</v>
      </c>
      <c r="J137" s="17">
        <f>'[15]Data Input'!AJ161</f>
        <v>22091</v>
      </c>
      <c r="K137" s="17">
        <f t="shared" si="8"/>
        <v>35383624.919780724</v>
      </c>
      <c r="L137" s="263">
        <f t="shared" si="9"/>
        <v>606779.16978072375</v>
      </c>
      <c r="M137" s="264">
        <f t="shared" si="10"/>
        <v>1.7447791963154789E-2</v>
      </c>
    </row>
    <row r="138" spans="1:13" x14ac:dyDescent="0.2">
      <c r="A138" s="32">
        <v>41365</v>
      </c>
      <c r="B138" s="27">
        <f>'[15]Data Input'!B162</f>
        <v>31363088.75</v>
      </c>
      <c r="C138" s="17">
        <f>'Historical HDD &amp; CDD'!C285</f>
        <v>339.90000000000003</v>
      </c>
      <c r="D138" s="17">
        <f>'Historical HDD &amp; CDD'!D285</f>
        <v>0</v>
      </c>
      <c r="E138" s="17">
        <v>30</v>
      </c>
      <c r="F138" s="17">
        <f>'CDM Activity'!B107</f>
        <v>855573.05920661136</v>
      </c>
      <c r="G138" s="17">
        <v>352</v>
      </c>
      <c r="H138" s="17">
        <v>1</v>
      </c>
      <c r="I138" s="34">
        <v>145.45830335513068</v>
      </c>
      <c r="J138" s="17">
        <f>'[15]Data Input'!AJ162</f>
        <v>22090</v>
      </c>
      <c r="K138" s="17">
        <f t="shared" si="8"/>
        <v>32845612.437117163</v>
      </c>
      <c r="L138" s="263">
        <f t="shared" si="9"/>
        <v>1482523.6871171631</v>
      </c>
      <c r="M138" s="264">
        <f t="shared" si="10"/>
        <v>4.7269696519197685E-2</v>
      </c>
    </row>
    <row r="139" spans="1:13" x14ac:dyDescent="0.2">
      <c r="A139" s="32">
        <v>41395</v>
      </c>
      <c r="B139" s="27">
        <f>'[15]Data Input'!B163</f>
        <v>31691626.75</v>
      </c>
      <c r="C139" s="17">
        <f>'Historical HDD &amp; CDD'!C286</f>
        <v>116.5</v>
      </c>
      <c r="D139" s="17">
        <f>'Historical HDD &amp; CDD'!D286</f>
        <v>24.200000000000003</v>
      </c>
      <c r="E139" s="17">
        <v>31</v>
      </c>
      <c r="F139" s="17">
        <f>'CDM Activity'!B108</f>
        <v>890909.26008245978</v>
      </c>
      <c r="G139" s="17">
        <v>352</v>
      </c>
      <c r="H139" s="17">
        <v>1</v>
      </c>
      <c r="I139" s="34">
        <v>145.6149519956395</v>
      </c>
      <c r="J139" s="17">
        <f>'[15]Data Input'!AJ163</f>
        <v>22106</v>
      </c>
      <c r="K139" s="17">
        <f t="shared" si="8"/>
        <v>32864454.758055482</v>
      </c>
      <c r="L139" s="263">
        <f t="shared" si="9"/>
        <v>1172828.0080554821</v>
      </c>
      <c r="M139" s="264">
        <f t="shared" si="10"/>
        <v>3.7007504136892626E-2</v>
      </c>
    </row>
    <row r="140" spans="1:13" x14ac:dyDescent="0.2">
      <c r="A140" s="32">
        <v>41426</v>
      </c>
      <c r="B140" s="27">
        <f>'[15]Data Input'!B164</f>
        <v>33388744.75</v>
      </c>
      <c r="C140" s="17">
        <f>'Historical HDD &amp; CDD'!C287</f>
        <v>42.8</v>
      </c>
      <c r="D140" s="17">
        <f>'Historical HDD &amp; CDD'!D287</f>
        <v>48.5</v>
      </c>
      <c r="E140" s="17">
        <v>30</v>
      </c>
      <c r="F140" s="17">
        <f>'CDM Activity'!B109</f>
        <v>926245.46095830819</v>
      </c>
      <c r="G140" s="17">
        <v>320</v>
      </c>
      <c r="H140" s="17">
        <v>0</v>
      </c>
      <c r="I140" s="34">
        <v>145.77176933601632</v>
      </c>
      <c r="J140" s="17">
        <f>'[15]Data Input'!AJ164</f>
        <v>22128</v>
      </c>
      <c r="K140" s="17">
        <f t="shared" si="8"/>
        <v>33110672.290713079</v>
      </c>
      <c r="L140" s="263">
        <f t="shared" si="9"/>
        <v>-278072.45928692073</v>
      </c>
      <c r="M140" s="264">
        <f t="shared" si="10"/>
        <v>8.328329242953068E-3</v>
      </c>
    </row>
    <row r="141" spans="1:13" x14ac:dyDescent="0.2">
      <c r="A141" s="32">
        <v>41456</v>
      </c>
      <c r="B141" s="27">
        <f>'[15]Data Input'!B165</f>
        <v>40707062.75</v>
      </c>
      <c r="C141" s="17">
        <f>'Historical HDD &amp; CDD'!C288</f>
        <v>5.5</v>
      </c>
      <c r="D141" s="17">
        <f>'Historical HDD &amp; CDD'!D288</f>
        <v>117.00000000000001</v>
      </c>
      <c r="E141" s="17">
        <v>31</v>
      </c>
      <c r="F141" s="17">
        <f>'CDM Activity'!B110</f>
        <v>961581.66183415661</v>
      </c>
      <c r="G141" s="17">
        <v>352</v>
      </c>
      <c r="H141" s="17">
        <v>0</v>
      </c>
      <c r="I141" s="34">
        <v>145.92875555793933</v>
      </c>
      <c r="J141" s="17">
        <f>'[15]Data Input'!AJ165</f>
        <v>22132</v>
      </c>
      <c r="K141" s="17">
        <f t="shared" si="8"/>
        <v>39446236.577652603</v>
      </c>
      <c r="L141" s="263">
        <f t="shared" si="9"/>
        <v>-1260826.1723473966</v>
      </c>
      <c r="M141" s="264">
        <f t="shared" si="10"/>
        <v>3.0973155201363591E-2</v>
      </c>
    </row>
    <row r="142" spans="1:13" x14ac:dyDescent="0.2">
      <c r="A142" s="32">
        <v>41487</v>
      </c>
      <c r="B142" s="27">
        <f>'[15]Data Input'!B166</f>
        <v>35841331.75</v>
      </c>
      <c r="C142" s="17">
        <f>'Historical HDD &amp; CDD'!C289</f>
        <v>15</v>
      </c>
      <c r="D142" s="17">
        <f>'Historical HDD &amp; CDD'!D289</f>
        <v>51.900000000000006</v>
      </c>
      <c r="E142" s="17">
        <v>31</v>
      </c>
      <c r="F142" s="17">
        <f>'CDM Activity'!B111</f>
        <v>996917.86271000502</v>
      </c>
      <c r="G142" s="17">
        <v>336</v>
      </c>
      <c r="H142" s="17">
        <v>0</v>
      </c>
      <c r="I142" s="34">
        <v>146.08591084328242</v>
      </c>
      <c r="J142" s="17">
        <f>'[15]Data Input'!AJ166</f>
        <v>22153</v>
      </c>
      <c r="K142" s="17">
        <f t="shared" si="8"/>
        <v>33645981.25005234</v>
      </c>
      <c r="L142" s="263">
        <f t="shared" si="9"/>
        <v>-2195350.4999476597</v>
      </c>
      <c r="M142" s="264">
        <f t="shared" si="10"/>
        <v>6.1251923205885329E-2</v>
      </c>
    </row>
    <row r="143" spans="1:13" x14ac:dyDescent="0.2">
      <c r="A143" s="32">
        <v>41518</v>
      </c>
      <c r="B143" s="27">
        <f>'[15]Data Input'!B167</f>
        <v>32423202.75</v>
      </c>
      <c r="C143" s="17">
        <f>'Historical HDD &amp; CDD'!C290</f>
        <v>110.40000000000002</v>
      </c>
      <c r="D143" s="17">
        <f>'Historical HDD &amp; CDD'!D290</f>
        <v>22.9</v>
      </c>
      <c r="E143" s="17">
        <v>30</v>
      </c>
      <c r="F143" s="17">
        <f>'CDM Activity'!B112</f>
        <v>1032254.0635858534</v>
      </c>
      <c r="G143" s="17">
        <v>320</v>
      </c>
      <c r="H143" s="17">
        <v>1</v>
      </c>
      <c r="I143" s="34">
        <v>146.2432353741153</v>
      </c>
      <c r="J143" s="17">
        <f>'[15]Data Input'!AJ167</f>
        <v>22169</v>
      </c>
      <c r="K143" s="17">
        <f t="shared" si="8"/>
        <v>30076015.438461531</v>
      </c>
      <c r="L143" s="263">
        <f t="shared" si="9"/>
        <v>-2347187.311538469</v>
      </c>
      <c r="M143" s="264">
        <f t="shared" si="10"/>
        <v>7.2392210283373962E-2</v>
      </c>
    </row>
    <row r="144" spans="1:13" x14ac:dyDescent="0.2">
      <c r="A144" s="32">
        <v>41548</v>
      </c>
      <c r="B144" s="27">
        <f>'[15]Data Input'!B168</f>
        <v>32735799.75</v>
      </c>
      <c r="C144" s="17">
        <f>'Historical HDD &amp; CDD'!C291</f>
        <v>197.7</v>
      </c>
      <c r="D144" s="17">
        <f>'Historical HDD &amp; CDD'!D291</f>
        <v>4.1999999999999993</v>
      </c>
      <c r="E144" s="17">
        <v>31</v>
      </c>
      <c r="F144" s="17">
        <f>'CDM Activity'!B113</f>
        <v>1067590.2644617017</v>
      </c>
      <c r="G144" s="17">
        <v>352</v>
      </c>
      <c r="H144" s="17">
        <v>1</v>
      </c>
      <c r="I144" s="34">
        <v>146.4007293327038</v>
      </c>
      <c r="J144" s="17">
        <f>'[15]Data Input'!AJ168</f>
        <v>22189</v>
      </c>
      <c r="K144" s="17">
        <f t="shared" si="8"/>
        <v>30724048.543898806</v>
      </c>
      <c r="L144" s="263">
        <f t="shared" si="9"/>
        <v>-2011751.206101194</v>
      </c>
      <c r="M144" s="264">
        <f t="shared" si="10"/>
        <v>6.1454163987583472E-2</v>
      </c>
    </row>
    <row r="145" spans="1:13" x14ac:dyDescent="0.2">
      <c r="A145" s="32">
        <v>41579</v>
      </c>
      <c r="B145" s="27">
        <f>'[15]Data Input'!B169</f>
        <v>33760116.75</v>
      </c>
      <c r="C145" s="17">
        <f>'Historical HDD &amp; CDD'!C292</f>
        <v>450.90000000000003</v>
      </c>
      <c r="D145" s="17">
        <f>'Historical HDD &amp; CDD'!D292</f>
        <v>0</v>
      </c>
      <c r="E145" s="17">
        <v>30</v>
      </c>
      <c r="F145" s="17">
        <f>'CDM Activity'!B114</f>
        <v>1102926.4653375503</v>
      </c>
      <c r="G145" s="17">
        <v>336</v>
      </c>
      <c r="H145" s="17">
        <v>1</v>
      </c>
      <c r="I145" s="34">
        <v>146.55839290151005</v>
      </c>
      <c r="J145" s="17">
        <f>'[15]Data Input'!AJ169</f>
        <v>22208</v>
      </c>
      <c r="K145" s="17">
        <f t="shared" si="8"/>
        <v>31688291.253131349</v>
      </c>
      <c r="L145" s="263">
        <f t="shared" si="9"/>
        <v>-2071825.4968686514</v>
      </c>
      <c r="M145" s="264">
        <f t="shared" si="10"/>
        <v>6.1369026422832242E-2</v>
      </c>
    </row>
    <row r="146" spans="1:13" x14ac:dyDescent="0.2">
      <c r="A146" s="32">
        <v>41609</v>
      </c>
      <c r="B146" s="27">
        <f>'[15]Data Input'!B170</f>
        <v>37600715.75</v>
      </c>
      <c r="C146" s="17">
        <f>'Historical HDD &amp; CDD'!C293</f>
        <v>640.80000000000007</v>
      </c>
      <c r="D146" s="17">
        <f>'Historical HDD &amp; CDD'!D293</f>
        <v>0</v>
      </c>
      <c r="E146" s="17">
        <v>31</v>
      </c>
      <c r="F146" s="17">
        <f>'CDM Activity'!B115</f>
        <v>1138262.6662133988</v>
      </c>
      <c r="G146" s="17">
        <v>320</v>
      </c>
      <c r="H146" s="17">
        <v>0</v>
      </c>
      <c r="I146" s="34">
        <v>146.71622626319265</v>
      </c>
      <c r="J146" s="17">
        <f>'[15]Data Input'!AJ170</f>
        <v>22234</v>
      </c>
      <c r="K146" s="17">
        <f t="shared" si="8"/>
        <v>34637118.429038517</v>
      </c>
      <c r="L146" s="263">
        <f t="shared" si="9"/>
        <v>-2963597.3209614828</v>
      </c>
      <c r="M146" s="264">
        <f t="shared" si="10"/>
        <v>7.88175773212903E-2</v>
      </c>
    </row>
    <row r="147" spans="1:13" x14ac:dyDescent="0.2">
      <c r="A147" s="32">
        <v>41640</v>
      </c>
      <c r="B147" s="27">
        <f>'[15]Data Input'!B173</f>
        <v>40157304.416666664</v>
      </c>
      <c r="C147" s="17">
        <f>'Historical HDD &amp; CDD'!C294</f>
        <v>783.19999999999993</v>
      </c>
      <c r="D147" s="17">
        <f>'Historical HDD &amp; CDD'!D294</f>
        <v>0</v>
      </c>
      <c r="E147" s="17">
        <v>31</v>
      </c>
      <c r="F147" s="17">
        <f>'CDM Activity'!B116</f>
        <v>1144257.5999350336</v>
      </c>
      <c r="G147" s="17">
        <v>352</v>
      </c>
      <c r="H147" s="17">
        <v>0</v>
      </c>
      <c r="I147" s="34">
        <v>147.04232175221028</v>
      </c>
      <c r="J147" s="17">
        <f>'[15]Data Input'!AJ173</f>
        <v>22330</v>
      </c>
      <c r="K147" s="17">
        <f t="shared" si="8"/>
        <v>36876805.489560425</v>
      </c>
      <c r="L147" s="263">
        <f t="shared" si="9"/>
        <v>-3280498.9271062389</v>
      </c>
      <c r="M147" s="264">
        <f t="shared" si="10"/>
        <v>8.1691213460650489E-2</v>
      </c>
    </row>
    <row r="148" spans="1:13" x14ac:dyDescent="0.2">
      <c r="A148" s="32">
        <v>41671</v>
      </c>
      <c r="B148" s="27">
        <f>'[15]Data Input'!B174</f>
        <v>35890736.416666664</v>
      </c>
      <c r="C148" s="17">
        <f>'Historical HDD &amp; CDD'!C295</f>
        <v>743.69999999999993</v>
      </c>
      <c r="D148" s="17">
        <f>'Historical HDD &amp; CDD'!D295</f>
        <v>0</v>
      </c>
      <c r="E148" s="17">
        <v>28</v>
      </c>
      <c r="F148" s="17">
        <f>'CDM Activity'!B117</f>
        <v>1150252.5336566684</v>
      </c>
      <c r="G148" s="17">
        <v>304</v>
      </c>
      <c r="H148" s="17">
        <v>0</v>
      </c>
      <c r="I148" s="34">
        <v>147.36914202996238</v>
      </c>
      <c r="J148" s="17">
        <f>'[15]Data Input'!AJ174</f>
        <v>22326</v>
      </c>
      <c r="K148" s="17">
        <f t="shared" si="8"/>
        <v>33058414.716193963</v>
      </c>
      <c r="L148" s="263">
        <f t="shared" si="9"/>
        <v>-2832321.7004727013</v>
      </c>
      <c r="M148" s="264">
        <f t="shared" si="10"/>
        <v>7.8915118029103726E-2</v>
      </c>
    </row>
    <row r="149" spans="1:13" x14ac:dyDescent="0.2">
      <c r="A149" s="32">
        <v>41699</v>
      </c>
      <c r="B149" s="27">
        <f>'[15]Data Input'!B175</f>
        <v>37345081.416666664</v>
      </c>
      <c r="C149" s="17">
        <f>'Historical HDD &amp; CDD'!C296</f>
        <v>692.30000000000007</v>
      </c>
      <c r="D149" s="17">
        <f>'Historical HDD &amp; CDD'!D296</f>
        <v>0</v>
      </c>
      <c r="E149" s="17">
        <v>31</v>
      </c>
      <c r="F149" s="17">
        <f>'CDM Activity'!B118</f>
        <v>1156247.4673783032</v>
      </c>
      <c r="G149" s="17">
        <v>336</v>
      </c>
      <c r="H149" s="17">
        <v>1</v>
      </c>
      <c r="I149" s="34">
        <v>147.69668870738414</v>
      </c>
      <c r="J149" s="17">
        <f>'[15]Data Input'!AJ175</f>
        <v>22340</v>
      </c>
      <c r="K149" s="17">
        <f t="shared" si="8"/>
        <v>34571083.591802903</v>
      </c>
      <c r="L149" s="263">
        <f t="shared" si="9"/>
        <v>-2773997.8248637617</v>
      </c>
      <c r="M149" s="264">
        <f t="shared" si="10"/>
        <v>7.4280138632279419E-2</v>
      </c>
    </row>
    <row r="150" spans="1:13" x14ac:dyDescent="0.2">
      <c r="A150" s="32">
        <v>41730</v>
      </c>
      <c r="B150" s="27">
        <f>'[15]Data Input'!B176</f>
        <v>29856156.416666668</v>
      </c>
      <c r="C150" s="17">
        <f>'Historical HDD &amp; CDD'!C297</f>
        <v>338.40000000000009</v>
      </c>
      <c r="D150" s="17">
        <f>'Historical HDD &amp; CDD'!D297</f>
        <v>0</v>
      </c>
      <c r="E150" s="17">
        <v>30</v>
      </c>
      <c r="F150" s="17">
        <f>'CDM Activity'!B119</f>
        <v>1162242.401099938</v>
      </c>
      <c r="G150" s="17">
        <v>320</v>
      </c>
      <c r="H150" s="17">
        <v>1</v>
      </c>
      <c r="I150" s="34">
        <v>148.02496339899133</v>
      </c>
      <c r="J150" s="17">
        <f>'[15]Data Input'!AJ176</f>
        <v>22334</v>
      </c>
      <c r="K150" s="17">
        <f t="shared" si="8"/>
        <v>29635750.835065652</v>
      </c>
      <c r="L150" s="263">
        <f t="shared" si="9"/>
        <v>-220405.58160101622</v>
      </c>
      <c r="M150" s="264">
        <f t="shared" si="10"/>
        <v>7.3822490251283226E-3</v>
      </c>
    </row>
    <row r="151" spans="1:13" x14ac:dyDescent="0.2">
      <c r="A151" s="32">
        <v>41760</v>
      </c>
      <c r="B151" s="27">
        <f>'[15]Data Input'!B177</f>
        <v>27591366.416666668</v>
      </c>
      <c r="C151" s="17">
        <f>'Historical HDD &amp; CDD'!C298</f>
        <v>143.89999999999995</v>
      </c>
      <c r="D151" s="17">
        <f>'Historical HDD &amp; CDD'!D298</f>
        <v>7.3</v>
      </c>
      <c r="E151" s="17">
        <v>31</v>
      </c>
      <c r="F151" s="17">
        <f>'CDM Activity'!B120</f>
        <v>1168237.3348215728</v>
      </c>
      <c r="G151" s="17">
        <v>336</v>
      </c>
      <c r="H151" s="17">
        <v>1</v>
      </c>
      <c r="I151" s="34">
        <v>148.35396772288814</v>
      </c>
      <c r="J151" s="17">
        <f>'[15]Data Input'!AJ177</f>
        <v>22336</v>
      </c>
      <c r="K151" s="17">
        <f t="shared" si="8"/>
        <v>29219701.004733112</v>
      </c>
      <c r="L151" s="263">
        <f t="shared" si="9"/>
        <v>1628334.5880664438</v>
      </c>
      <c r="M151" s="264">
        <f t="shared" si="10"/>
        <v>5.9016090884242769E-2</v>
      </c>
    </row>
    <row r="152" spans="1:13" x14ac:dyDescent="0.2">
      <c r="A152" s="32">
        <v>41791</v>
      </c>
      <c r="B152" s="27">
        <f>'[15]Data Input'!B178</f>
        <v>32152920.416666668</v>
      </c>
      <c r="C152" s="17">
        <f>'Historical HDD &amp; CDD'!C299</f>
        <v>21.3</v>
      </c>
      <c r="D152" s="17">
        <f>'Historical HDD &amp; CDD'!D299</f>
        <v>62.800000000000004</v>
      </c>
      <c r="E152" s="17">
        <v>30</v>
      </c>
      <c r="F152" s="17">
        <f>'CDM Activity'!B121</f>
        <v>1174232.2685432076</v>
      </c>
      <c r="G152" s="17">
        <v>336</v>
      </c>
      <c r="H152" s="17">
        <v>0</v>
      </c>
      <c r="I152" s="34">
        <v>148.68370330077519</v>
      </c>
      <c r="J152" s="17">
        <f>'[15]Data Input'!AJ178</f>
        <v>22351</v>
      </c>
      <c r="K152" s="17">
        <f t="shared" si="8"/>
        <v>32456461.385470077</v>
      </c>
      <c r="L152" s="263">
        <f t="shared" si="9"/>
        <v>303540.96880340949</v>
      </c>
      <c r="M152" s="264">
        <f t="shared" si="10"/>
        <v>9.4405411660854026E-3</v>
      </c>
    </row>
    <row r="153" spans="1:13" x14ac:dyDescent="0.2">
      <c r="A153" s="32">
        <v>41821</v>
      </c>
      <c r="B153" s="27">
        <f>'[15]Data Input'!B179</f>
        <v>33898997.416666664</v>
      </c>
      <c r="C153" s="17">
        <f>'Historical HDD &amp; CDD'!C300</f>
        <v>13.700000000000001</v>
      </c>
      <c r="D153" s="17">
        <f>'Historical HDD &amp; CDD'!D300</f>
        <v>51</v>
      </c>
      <c r="E153" s="17">
        <v>31</v>
      </c>
      <c r="F153" s="17">
        <f>'CDM Activity'!B122</f>
        <v>1180227.2022648423</v>
      </c>
      <c r="G153" s="17">
        <v>352</v>
      </c>
      <c r="H153" s="17">
        <v>0</v>
      </c>
      <c r="I153" s="34">
        <v>149.0141717579576</v>
      </c>
      <c r="J153" s="17">
        <f>'[15]Data Input'!AJ179</f>
        <v>22375</v>
      </c>
      <c r="K153" s="17">
        <f t="shared" si="8"/>
        <v>32495457.753573015</v>
      </c>
      <c r="L153" s="263">
        <f t="shared" si="9"/>
        <v>-1403539.6630936489</v>
      </c>
      <c r="M153" s="264">
        <f t="shared" si="10"/>
        <v>4.1403574443283957E-2</v>
      </c>
    </row>
    <row r="154" spans="1:13" x14ac:dyDescent="0.2">
      <c r="A154" s="32">
        <v>41852</v>
      </c>
      <c r="B154" s="27">
        <f>'[15]Data Input'!B180</f>
        <v>33235703.416666668</v>
      </c>
      <c r="C154" s="17">
        <f>'Historical HDD &amp; CDD'!C301</f>
        <v>11.999999999999998</v>
      </c>
      <c r="D154" s="17">
        <f>'Historical HDD &amp; CDD'!D301</f>
        <v>56.999999999999993</v>
      </c>
      <c r="E154" s="17">
        <v>31</v>
      </c>
      <c r="F154" s="17">
        <f>'CDM Activity'!B123</f>
        <v>1186222.1359864771</v>
      </c>
      <c r="G154" s="17">
        <v>320</v>
      </c>
      <c r="H154" s="17">
        <v>0</v>
      </c>
      <c r="I154" s="34">
        <v>149.34537472335285</v>
      </c>
      <c r="J154" s="17">
        <f>'[15]Data Input'!AJ180</f>
        <v>22386</v>
      </c>
      <c r="K154" s="17">
        <f t="shared" si="8"/>
        <v>32143029.257212527</v>
      </c>
      <c r="L154" s="263">
        <f t="shared" si="9"/>
        <v>-1092674.1594541408</v>
      </c>
      <c r="M154" s="264">
        <f t="shared" si="10"/>
        <v>3.2876516731287199E-2</v>
      </c>
    </row>
    <row r="155" spans="1:13" x14ac:dyDescent="0.2">
      <c r="A155" s="32">
        <v>41883</v>
      </c>
      <c r="B155" s="27">
        <f>'[15]Data Input'!B181</f>
        <v>28690043.416666668</v>
      </c>
      <c r="C155" s="17">
        <f>'Historical HDD &amp; CDD'!C302</f>
        <v>85.300000000000011</v>
      </c>
      <c r="D155" s="17">
        <f>'Historical HDD &amp; CDD'!D302</f>
        <v>27.500000000000004</v>
      </c>
      <c r="E155" s="17">
        <v>30</v>
      </c>
      <c r="F155" s="17">
        <f>'CDM Activity'!B124</f>
        <v>1192217.0697081119</v>
      </c>
      <c r="G155" s="17">
        <v>336</v>
      </c>
      <c r="H155" s="17">
        <v>1</v>
      </c>
      <c r="I155" s="34">
        <v>149.67731382949896</v>
      </c>
      <c r="J155" s="17">
        <f>'[15]Data Input'!AJ181</f>
        <v>22411</v>
      </c>
      <c r="K155" s="17">
        <f t="shared" si="8"/>
        <v>29298906.867540736</v>
      </c>
      <c r="L155" s="263">
        <f t="shared" si="9"/>
        <v>608863.45087406784</v>
      </c>
      <c r="M155" s="264">
        <f t="shared" si="10"/>
        <v>2.1222116747316104E-2</v>
      </c>
    </row>
    <row r="156" spans="1:13" x14ac:dyDescent="0.2">
      <c r="A156" s="32">
        <v>41913</v>
      </c>
      <c r="B156" s="27">
        <f>'[15]Data Input'!B182</f>
        <v>29545098.416666668</v>
      </c>
      <c r="C156" s="17">
        <f>'Historical HDD &amp; CDD'!C303</f>
        <v>223.09999999999997</v>
      </c>
      <c r="D156" s="17">
        <f>'Historical HDD &amp; CDD'!D303</f>
        <v>4.5</v>
      </c>
      <c r="E156" s="17">
        <v>31</v>
      </c>
      <c r="F156" s="17">
        <f>'CDM Activity'!B125</f>
        <v>1198212.0034297467</v>
      </c>
      <c r="G156" s="17">
        <v>352</v>
      </c>
      <c r="H156" s="17">
        <v>1</v>
      </c>
      <c r="I156" s="34">
        <v>150.00999071256246</v>
      </c>
      <c r="J156" s="17">
        <f>'[15]Data Input'!AJ182</f>
        <v>22460</v>
      </c>
      <c r="K156" s="17">
        <f t="shared" si="8"/>
        <v>29986275.26138917</v>
      </c>
      <c r="L156" s="263">
        <f t="shared" si="9"/>
        <v>441176.84472250193</v>
      </c>
      <c r="M156" s="264">
        <f t="shared" si="10"/>
        <v>1.4932319347889866E-2</v>
      </c>
    </row>
    <row r="157" spans="1:13" x14ac:dyDescent="0.2">
      <c r="A157" s="32">
        <v>41944</v>
      </c>
      <c r="B157" s="27">
        <f>'[15]Data Input'!B183</f>
        <v>30497875.416666668</v>
      </c>
      <c r="C157" s="17">
        <f>'Historical HDD &amp; CDD'!C304</f>
        <v>465.7</v>
      </c>
      <c r="D157" s="17">
        <f>'Historical HDD &amp; CDD'!D304</f>
        <v>0</v>
      </c>
      <c r="E157" s="17">
        <v>30</v>
      </c>
      <c r="F157" s="17">
        <f>'CDM Activity'!B126</f>
        <v>1204206.9371513815</v>
      </c>
      <c r="G157" s="17">
        <v>304</v>
      </c>
      <c r="H157" s="17">
        <v>1</v>
      </c>
      <c r="I157" s="34">
        <v>150.34340701234646</v>
      </c>
      <c r="J157" s="17">
        <f>'[15]Data Input'!AJ183</f>
        <v>22458</v>
      </c>
      <c r="K157" s="17">
        <f t="shared" si="8"/>
        <v>30275745.457529865</v>
      </c>
      <c r="L157" s="263">
        <f t="shared" si="9"/>
        <v>-222129.9591368027</v>
      </c>
      <c r="M157" s="264">
        <f t="shared" si="10"/>
        <v>7.2834568343541645E-3</v>
      </c>
    </row>
    <row r="158" spans="1:13" x14ac:dyDescent="0.2">
      <c r="A158" s="32">
        <v>41974</v>
      </c>
      <c r="B158" s="27">
        <f>'[15]Data Input'!B184</f>
        <v>32693713.416666668</v>
      </c>
      <c r="C158" s="17">
        <f>'Historical HDD &amp; CDD'!C305</f>
        <v>540.79999999999995</v>
      </c>
      <c r="D158" s="17">
        <f>'Historical HDD &amp; CDD'!D305</f>
        <v>0</v>
      </c>
      <c r="E158" s="17">
        <v>31</v>
      </c>
      <c r="F158" s="17">
        <f>'CDM Activity'!B127</f>
        <v>1210201.8708730163</v>
      </c>
      <c r="G158" s="17">
        <v>336</v>
      </c>
      <c r="H158" s="17">
        <v>0</v>
      </c>
      <c r="I158" s="34">
        <v>150.67756437229883</v>
      </c>
      <c r="J158" s="17">
        <f>'[15]Data Input'!AJ184</f>
        <v>22470</v>
      </c>
      <c r="K158" s="17">
        <f t="shared" si="8"/>
        <v>33387619.591080233</v>
      </c>
      <c r="L158" s="263">
        <f t="shared" si="9"/>
        <v>693906.17441356555</v>
      </c>
      <c r="M158" s="264">
        <f t="shared" si="10"/>
        <v>2.1224452712668138E-2</v>
      </c>
    </row>
    <row r="159" spans="1:13" x14ac:dyDescent="0.2">
      <c r="A159" s="32">
        <v>42005</v>
      </c>
      <c r="B159" s="27">
        <f>'[15]Data Input'!B187</f>
        <v>35250727.083333336</v>
      </c>
      <c r="C159" s="17">
        <f>'Historical HDD &amp; CDD'!C306</f>
        <v>753.1</v>
      </c>
      <c r="D159" s="17">
        <f>'Historical HDD &amp; CDD'!D306</f>
        <v>0</v>
      </c>
      <c r="E159" s="17">
        <v>31</v>
      </c>
      <c r="F159" s="17">
        <f>'CDM Activity'!B128</f>
        <v>1218507.6295574729</v>
      </c>
      <c r="G159" s="17">
        <v>336</v>
      </c>
      <c r="H159" s="17">
        <v>0</v>
      </c>
      <c r="I159" s="34">
        <v>150.98793548444445</v>
      </c>
      <c r="J159" s="17">
        <f>'[15]Data Input'!AJ187</f>
        <v>22484</v>
      </c>
      <c r="K159" s="17">
        <f t="shared" si="8"/>
        <v>35584285.240356818</v>
      </c>
      <c r="L159" s="263">
        <f t="shared" si="9"/>
        <v>333558.15702348202</v>
      </c>
      <c r="M159" s="264">
        <f t="shared" si="10"/>
        <v>9.4624475754768039E-3</v>
      </c>
    </row>
    <row r="160" spans="1:13" x14ac:dyDescent="0.2">
      <c r="A160" s="32">
        <v>42036</v>
      </c>
      <c r="B160" s="27">
        <f>'[15]Data Input'!B188</f>
        <v>32507721.083333332</v>
      </c>
      <c r="C160" s="17">
        <f>'Historical HDD &amp; CDD'!C307</f>
        <v>871.9</v>
      </c>
      <c r="D160" s="17">
        <f>'Historical HDD &amp; CDD'!D307</f>
        <v>0</v>
      </c>
      <c r="E160" s="17">
        <v>28</v>
      </c>
      <c r="F160" s="17">
        <f>'CDM Activity'!B129</f>
        <v>1226813.3882419295</v>
      </c>
      <c r="G160" s="17">
        <v>304</v>
      </c>
      <c r="H160" s="17">
        <v>0</v>
      </c>
      <c r="I160" s="34">
        <v>151.298945910264</v>
      </c>
      <c r="J160" s="17">
        <f>'[15]Data Input'!AJ188</f>
        <v>22480</v>
      </c>
      <c r="K160" s="17">
        <f t="shared" si="8"/>
        <v>33819325.997818537</v>
      </c>
      <c r="L160" s="263">
        <f t="shared" si="9"/>
        <v>1311604.914485205</v>
      </c>
      <c r="M160" s="264">
        <f t="shared" si="10"/>
        <v>4.0347488866503876E-2</v>
      </c>
    </row>
    <row r="161" spans="1:13" x14ac:dyDescent="0.2">
      <c r="A161" s="32">
        <v>42064</v>
      </c>
      <c r="B161" s="27">
        <f>'[15]Data Input'!B189</f>
        <v>32200533.083333332</v>
      </c>
      <c r="C161" s="17">
        <f>'Historical HDD &amp; CDD'!C308</f>
        <v>637</v>
      </c>
      <c r="D161" s="17">
        <f>'Historical HDD &amp; CDD'!D308</f>
        <v>0</v>
      </c>
      <c r="E161" s="17">
        <v>31</v>
      </c>
      <c r="F161" s="17">
        <f>'CDM Activity'!B130</f>
        <v>1235119.146926386</v>
      </c>
      <c r="G161" s="17">
        <v>352</v>
      </c>
      <c r="H161" s="17">
        <v>1</v>
      </c>
      <c r="I161" s="34">
        <v>151.61059696663892</v>
      </c>
      <c r="J161" s="17">
        <f>'[15]Data Input'!AJ189</f>
        <v>22502</v>
      </c>
      <c r="K161" s="17">
        <f t="shared" si="8"/>
        <v>33743117.583102845</v>
      </c>
      <c r="L161" s="263">
        <f t="shared" si="9"/>
        <v>1542584.4997695126</v>
      </c>
      <c r="M161" s="264">
        <f t="shared" si="10"/>
        <v>4.7905557829660238E-2</v>
      </c>
    </row>
    <row r="162" spans="1:13" x14ac:dyDescent="0.2">
      <c r="A162" s="32">
        <v>42095</v>
      </c>
      <c r="B162" s="27">
        <f>'[15]Data Input'!B190</f>
        <v>27396995.083333332</v>
      </c>
      <c r="C162" s="17">
        <f>'Historical HDD &amp; CDD'!C309</f>
        <v>319.59999999999997</v>
      </c>
      <c r="D162" s="17">
        <f>'Historical HDD &amp; CDD'!D309</f>
        <v>0</v>
      </c>
      <c r="E162" s="17">
        <v>30</v>
      </c>
      <c r="F162" s="17">
        <f>'CDM Activity'!B131</f>
        <v>1243424.9056108426</v>
      </c>
      <c r="G162" s="17">
        <v>336</v>
      </c>
      <c r="H162" s="17">
        <v>1</v>
      </c>
      <c r="I162" s="34">
        <v>151.92288997316331</v>
      </c>
      <c r="J162" s="17">
        <f>'[15]Data Input'!AJ190</f>
        <v>22537</v>
      </c>
      <c r="K162" s="17">
        <f t="shared" si="8"/>
        <v>29178470.931935277</v>
      </c>
      <c r="L162" s="263">
        <f t="shared" si="9"/>
        <v>1781475.8486019447</v>
      </c>
      <c r="M162" s="264">
        <f t="shared" si="10"/>
        <v>6.502449787588882E-2</v>
      </c>
    </row>
    <row r="163" spans="1:13" x14ac:dyDescent="0.2">
      <c r="A163" s="32">
        <v>42125</v>
      </c>
      <c r="B163" s="27">
        <f>'[15]Data Input'!B191</f>
        <v>28717672.083333332</v>
      </c>
      <c r="C163" s="17">
        <f>'Historical HDD &amp; CDD'!C310</f>
        <v>96.5</v>
      </c>
      <c r="D163" s="17">
        <f>'Historical HDD &amp; CDD'!D310</f>
        <v>34.200000000000003</v>
      </c>
      <c r="E163" s="17">
        <v>31</v>
      </c>
      <c r="F163" s="17">
        <f>'CDM Activity'!B132</f>
        <v>1251730.6642952992</v>
      </c>
      <c r="G163" s="17">
        <v>320</v>
      </c>
      <c r="H163" s="17">
        <v>1</v>
      </c>
      <c r="I163" s="34">
        <v>152.23582625214937</v>
      </c>
      <c r="J163" s="17">
        <f>'[15]Data Input'!AJ191</f>
        <v>22526</v>
      </c>
      <c r="K163" s="17">
        <f t="shared" si="8"/>
        <v>29833882.101586733</v>
      </c>
      <c r="L163" s="263">
        <f t="shared" si="9"/>
        <v>1116210.0182534009</v>
      </c>
      <c r="M163" s="264">
        <f t="shared" si="10"/>
        <v>3.8868401833350816E-2</v>
      </c>
    </row>
    <row r="164" spans="1:13" x14ac:dyDescent="0.2">
      <c r="A164" s="32">
        <v>42156</v>
      </c>
      <c r="B164" s="27">
        <f>'[15]Data Input'!B192</f>
        <v>29735254.083333332</v>
      </c>
      <c r="C164" s="17">
        <f>'Historical HDD &amp; CDD'!C311</f>
        <v>35.9</v>
      </c>
      <c r="D164" s="17">
        <f>'Historical HDD &amp; CDD'!D311</f>
        <v>28.599999999999998</v>
      </c>
      <c r="E164" s="17">
        <v>30</v>
      </c>
      <c r="F164" s="17">
        <f>'CDM Activity'!B133</f>
        <v>1260036.4229797558</v>
      </c>
      <c r="G164" s="17">
        <v>352</v>
      </c>
      <c r="H164" s="17">
        <v>0</v>
      </c>
      <c r="I164" s="34">
        <v>152.54940712863302</v>
      </c>
      <c r="J164" s="17">
        <f>'[15]Data Input'!AJ192</f>
        <v>22535</v>
      </c>
      <c r="K164" s="17">
        <f t="shared" si="8"/>
        <v>29567152.022740535</v>
      </c>
      <c r="L164" s="263">
        <f t="shared" si="9"/>
        <v>-168102.06059279665</v>
      </c>
      <c r="M164" s="264">
        <f t="shared" si="10"/>
        <v>5.6532915481969327E-3</v>
      </c>
    </row>
    <row r="165" spans="1:13" x14ac:dyDescent="0.2">
      <c r="A165" s="32">
        <v>42186</v>
      </c>
      <c r="B165" s="27">
        <f>'[15]Data Input'!B193</f>
        <v>35302271.083333336</v>
      </c>
      <c r="C165" s="17">
        <f>'Historical HDD &amp; CDD'!C312</f>
        <v>7.6</v>
      </c>
      <c r="D165" s="17">
        <f>'Historical HDD &amp; CDD'!D312</f>
        <v>79.100000000000009</v>
      </c>
      <c r="E165" s="17">
        <v>31</v>
      </c>
      <c r="F165" s="17">
        <f>'CDM Activity'!B134</f>
        <v>1268342.1816642124</v>
      </c>
      <c r="G165" s="17">
        <v>352</v>
      </c>
      <c r="H165" s="17">
        <v>0</v>
      </c>
      <c r="I165" s="34">
        <v>152.86363393037959</v>
      </c>
      <c r="J165" s="17">
        <f>'[15]Data Input'!AJ193</f>
        <v>22560</v>
      </c>
      <c r="K165" s="17">
        <f t="shared" si="8"/>
        <v>33994561.794781603</v>
      </c>
      <c r="L165" s="263">
        <f t="shared" si="9"/>
        <v>-1307709.2885517329</v>
      </c>
      <c r="M165" s="264">
        <f t="shared" si="10"/>
        <v>3.7043205675487537E-2</v>
      </c>
    </row>
    <row r="166" spans="1:13" x14ac:dyDescent="0.2">
      <c r="A166" s="32">
        <v>42217</v>
      </c>
      <c r="B166" s="27">
        <f>'[15]Data Input'!B194</f>
        <v>33761714.083333336</v>
      </c>
      <c r="C166" s="17">
        <f>'Historical HDD &amp; CDD'!C313</f>
        <v>12</v>
      </c>
      <c r="D166" s="17">
        <f>'Historical HDD &amp; CDD'!D313</f>
        <v>59</v>
      </c>
      <c r="E166" s="17">
        <v>31</v>
      </c>
      <c r="F166" s="17">
        <f>'CDM Activity'!B135</f>
        <v>1276647.940348669</v>
      </c>
      <c r="G166" s="17">
        <v>320</v>
      </c>
      <c r="H166" s="17">
        <v>0</v>
      </c>
      <c r="I166" s="34">
        <v>153.17850798788936</v>
      </c>
      <c r="J166" s="17">
        <f>'[15]Data Input'!AJ194</f>
        <v>22588</v>
      </c>
      <c r="K166" s="17">
        <f t="shared" si="8"/>
        <v>31589105.956554756</v>
      </c>
      <c r="L166" s="263">
        <f t="shared" si="9"/>
        <v>-2172608.1267785802</v>
      </c>
      <c r="M166" s="264">
        <f t="shared" si="10"/>
        <v>6.4351238844567449E-2</v>
      </c>
    </row>
    <row r="167" spans="1:13" x14ac:dyDescent="0.2">
      <c r="A167" s="32">
        <v>42248</v>
      </c>
      <c r="B167" s="27">
        <f>'[15]Data Input'!B195</f>
        <v>32384101.083333332</v>
      </c>
      <c r="C167" s="17">
        <f>'Historical HDD &amp; CDD'!C314</f>
        <v>37</v>
      </c>
      <c r="D167" s="17">
        <f>'Historical HDD &amp; CDD'!D314</f>
        <v>54.4</v>
      </c>
      <c r="E167" s="17">
        <v>30</v>
      </c>
      <c r="F167" s="17">
        <f>'CDM Activity'!B136</f>
        <v>1284953.6990331255</v>
      </c>
      <c r="G167" s="17">
        <v>336</v>
      </c>
      <c r="H167" s="17">
        <v>1</v>
      </c>
      <c r="I167" s="34">
        <v>153.4940306344032</v>
      </c>
      <c r="J167" s="17">
        <f>'[15]Data Input'!AJ195</f>
        <v>22606</v>
      </c>
      <c r="K167" s="17">
        <f t="shared" si="8"/>
        <v>30215241.415665481</v>
      </c>
      <c r="L167" s="263">
        <f t="shared" si="9"/>
        <v>-2168859.6676678509</v>
      </c>
      <c r="M167" s="264">
        <f t="shared" si="10"/>
        <v>6.697297732880618E-2</v>
      </c>
    </row>
    <row r="168" spans="1:13" x14ac:dyDescent="0.2">
      <c r="A168" s="32">
        <v>42278</v>
      </c>
      <c r="B168" s="27">
        <f>'[15]Data Input'!B196</f>
        <v>27193803.083333332</v>
      </c>
      <c r="C168" s="17">
        <f>'Historical HDD &amp; CDD'!C315</f>
        <v>252.3</v>
      </c>
      <c r="D168" s="17">
        <f>'Historical HDD &amp; CDD'!D315</f>
        <v>0.9</v>
      </c>
      <c r="E168" s="17">
        <v>31</v>
      </c>
      <c r="F168" s="17">
        <f>'CDM Activity'!B137</f>
        <v>1293259.4577175821</v>
      </c>
      <c r="G168" s="17">
        <v>336</v>
      </c>
      <c r="H168" s="17">
        <v>1</v>
      </c>
      <c r="I168" s="34">
        <v>153.81020320590829</v>
      </c>
      <c r="J168" s="17">
        <f>'[15]Data Input'!AJ196</f>
        <v>22626</v>
      </c>
      <c r="K168" s="17">
        <f t="shared" si="8"/>
        <v>28871642.924353708</v>
      </c>
      <c r="L168" s="263">
        <f t="shared" si="9"/>
        <v>1677839.8410203755</v>
      </c>
      <c r="M168" s="264">
        <f t="shared" si="10"/>
        <v>6.1699345100012806E-2</v>
      </c>
    </row>
    <row r="169" spans="1:13" x14ac:dyDescent="0.2">
      <c r="A169" s="32">
        <v>42309</v>
      </c>
      <c r="B169" s="27">
        <f>'[15]Data Input'!B197</f>
        <v>27893759.083333332</v>
      </c>
      <c r="C169" s="17">
        <f>'Historical HDD &amp; CDD'!C316</f>
        <v>337</v>
      </c>
      <c r="D169" s="17">
        <f>'Historical HDD &amp; CDD'!D316</f>
        <v>0</v>
      </c>
      <c r="E169" s="17">
        <v>30</v>
      </c>
      <c r="F169" s="17">
        <f>'CDM Activity'!B138</f>
        <v>1301565.2164020387</v>
      </c>
      <c r="G169" s="17">
        <v>320</v>
      </c>
      <c r="H169" s="17">
        <v>1</v>
      </c>
      <c r="I169" s="34">
        <v>154.12702704114372</v>
      </c>
      <c r="J169" s="17">
        <f>'[15]Data Input'!AJ197</f>
        <v>22650</v>
      </c>
      <c r="K169" s="17">
        <f t="shared" si="8"/>
        <v>28519471.794706132</v>
      </c>
      <c r="L169" s="263">
        <f t="shared" si="9"/>
        <v>625712.71137280017</v>
      </c>
      <c r="M169" s="264">
        <f t="shared" si="10"/>
        <v>2.243199668798555E-2</v>
      </c>
    </row>
    <row r="170" spans="1:13" x14ac:dyDescent="0.2">
      <c r="A170" s="32">
        <v>42339</v>
      </c>
      <c r="B170" s="27">
        <f>'[15]Data Input'!B198</f>
        <v>30136379.083333332</v>
      </c>
      <c r="C170" s="17">
        <f>'Historical HDD &amp; CDD'!C317</f>
        <v>408.99999999999989</v>
      </c>
      <c r="D170" s="17">
        <f>'Historical HDD &amp; CDD'!D317</f>
        <v>0</v>
      </c>
      <c r="E170" s="17">
        <v>31</v>
      </c>
      <c r="F170" s="17">
        <f>'CDM Activity'!B139</f>
        <v>1309870.9750864953</v>
      </c>
      <c r="G170" s="17">
        <v>352</v>
      </c>
      <c r="H170" s="17">
        <v>0</v>
      </c>
      <c r="I170" s="34">
        <v>154.44450348160629</v>
      </c>
      <c r="J170" s="17">
        <f>'[15]Data Input'!AJ198</f>
        <v>22667</v>
      </c>
      <c r="K170" s="17">
        <f t="shared" si="8"/>
        <v>31580044.235939555</v>
      </c>
      <c r="L170" s="263">
        <f t="shared" si="9"/>
        <v>1443665.1526062228</v>
      </c>
      <c r="M170" s="264">
        <f t="shared" si="10"/>
        <v>4.790439981572403E-2</v>
      </c>
    </row>
    <row r="171" spans="1:13" x14ac:dyDescent="0.2">
      <c r="A171" s="32">
        <v>42370</v>
      </c>
      <c r="C171" s="132">
        <f>(C3+C15+C27+C39+C51+C63+C75+C87+C99+C111+C123+C135+C147+C159)/14</f>
        <v>693.29285714285732</v>
      </c>
      <c r="D171" s="132">
        <f>(D3+D15+D27+D39+D51+D63+D75+D87+D99+D111+D123+D135+D147+D159)/14</f>
        <v>0</v>
      </c>
      <c r="E171" s="17">
        <v>31</v>
      </c>
      <c r="F171" s="17">
        <f ca="1">'CDM Activity'!B140</f>
        <v>1301560.0145390357</v>
      </c>
      <c r="G171" s="17">
        <v>320</v>
      </c>
      <c r="H171" s="17">
        <v>0</v>
      </c>
      <c r="I171" s="34">
        <v>154.72483615659849</v>
      </c>
      <c r="J171" s="17"/>
      <c r="K171" s="17">
        <f t="shared" ca="1" si="8"/>
        <v>33905614.559322022</v>
      </c>
      <c r="L171" s="10"/>
      <c r="M171" s="5">
        <f>AVERAGE(M3:M170)</f>
        <v>3.4182107202231415E-2</v>
      </c>
    </row>
    <row r="172" spans="1:13" x14ac:dyDescent="0.2">
      <c r="A172" s="32">
        <v>42401</v>
      </c>
      <c r="C172" s="132">
        <f t="shared" ref="C172:D182" si="11">(C4+C16+C28+C40+C52+C64+C76+C88+C100+C112+C124+C136+C148+C160)/14</f>
        <v>646.2071428571428</v>
      </c>
      <c r="D172" s="132">
        <f t="shared" si="11"/>
        <v>0</v>
      </c>
      <c r="E172" s="17">
        <v>29</v>
      </c>
      <c r="F172" s="17">
        <f ca="1">'CDM Activity'!B141</f>
        <v>1293249.0539915762</v>
      </c>
      <c r="G172" s="17">
        <v>320</v>
      </c>
      <c r="H172" s="17">
        <v>0</v>
      </c>
      <c r="I172" s="34">
        <v>155.00567766425806</v>
      </c>
      <c r="J172" s="17"/>
      <c r="K172" s="17">
        <f t="shared" ca="1" si="8"/>
        <v>32005797.142617084</v>
      </c>
      <c r="L172" s="10"/>
    </row>
    <row r="173" spans="1:13" x14ac:dyDescent="0.2">
      <c r="A173" s="32">
        <v>42430</v>
      </c>
      <c r="C173" s="132">
        <f t="shared" si="11"/>
        <v>538.09285714285716</v>
      </c>
      <c r="D173" s="132">
        <f t="shared" si="11"/>
        <v>0</v>
      </c>
      <c r="E173" s="17">
        <v>31</v>
      </c>
      <c r="F173" s="17">
        <f ca="1">'CDM Activity'!B142</f>
        <v>1284938.0934441166</v>
      </c>
      <c r="G173" s="17">
        <v>352</v>
      </c>
      <c r="H173" s="17">
        <v>1</v>
      </c>
      <c r="I173" s="34">
        <v>155.2870289281687</v>
      </c>
      <c r="J173" s="17"/>
      <c r="K173" s="17">
        <f t="shared" ca="1" si="8"/>
        <v>32295314.025337614</v>
      </c>
      <c r="L173" s="10"/>
    </row>
    <row r="174" spans="1:13" x14ac:dyDescent="0.2">
      <c r="A174" s="32">
        <v>42461</v>
      </c>
      <c r="C174" s="132">
        <f t="shared" si="11"/>
        <v>314.69285714285712</v>
      </c>
      <c r="D174" s="132">
        <f t="shared" si="11"/>
        <v>0.59285714285714275</v>
      </c>
      <c r="E174" s="17">
        <v>30</v>
      </c>
      <c r="F174" s="17">
        <f ca="1">'CDM Activity'!B143</f>
        <v>1276627.1328966571</v>
      </c>
      <c r="G174" s="17">
        <v>336</v>
      </c>
      <c r="H174" s="17">
        <v>1</v>
      </c>
      <c r="I174" s="34">
        <v>155.56889087359048</v>
      </c>
      <c r="J174" s="17"/>
      <c r="K174" s="17">
        <f t="shared" ca="1" si="8"/>
        <v>28911408.118935335</v>
      </c>
      <c r="L174" s="10"/>
    </row>
    <row r="175" spans="1:13" x14ac:dyDescent="0.2">
      <c r="A175" s="32">
        <v>42491</v>
      </c>
      <c r="C175" s="132">
        <f t="shared" si="11"/>
        <v>143.67857142857142</v>
      </c>
      <c r="D175" s="132">
        <f t="shared" si="11"/>
        <v>14.428571428571429</v>
      </c>
      <c r="E175" s="17">
        <v>31</v>
      </c>
      <c r="F175" s="17">
        <f ca="1">'CDM Activity'!B144</f>
        <v>1268316.1723491976</v>
      </c>
      <c r="G175" s="17">
        <v>336</v>
      </c>
      <c r="H175" s="17">
        <v>1</v>
      </c>
      <c r="I175" s="34">
        <v>155.85126442746289</v>
      </c>
      <c r="J175" s="17"/>
      <c r="K175" s="17">
        <f t="shared" ca="1" si="8"/>
        <v>28999707.098235022</v>
      </c>
      <c r="L175" s="10"/>
    </row>
    <row r="176" spans="1:13" x14ac:dyDescent="0.2">
      <c r="A176" s="32">
        <v>42522</v>
      </c>
      <c r="C176" s="132">
        <f t="shared" si="11"/>
        <v>28.635714285714283</v>
      </c>
      <c r="D176" s="132">
        <f t="shared" si="11"/>
        <v>59.24285714285714</v>
      </c>
      <c r="E176" s="17">
        <v>30</v>
      </c>
      <c r="F176" s="17">
        <f ca="1">'CDM Activity'!B145</f>
        <v>1260005.211801738</v>
      </c>
      <c r="G176" s="17">
        <v>352</v>
      </c>
      <c r="H176" s="17">
        <v>0</v>
      </c>
      <c r="I176" s="34">
        <v>156.13415051840798</v>
      </c>
      <c r="J176" s="17"/>
      <c r="K176" s="17">
        <f t="shared" ca="1" si="8"/>
        <v>31955227.897801414</v>
      </c>
      <c r="L176" s="10"/>
    </row>
    <row r="177" spans="1:12" x14ac:dyDescent="0.2">
      <c r="A177" s="32">
        <v>42552</v>
      </c>
      <c r="C177" s="132">
        <f t="shared" si="11"/>
        <v>4.7928571428571436</v>
      </c>
      <c r="D177" s="132">
        <f t="shared" si="11"/>
        <v>112.94285714285714</v>
      </c>
      <c r="E177" s="17">
        <v>31</v>
      </c>
      <c r="F177" s="17">
        <f ca="1">'CDM Activity'!B146</f>
        <v>1251694.2512542785</v>
      </c>
      <c r="G177" s="17">
        <v>320</v>
      </c>
      <c r="H177" s="17">
        <v>0</v>
      </c>
      <c r="I177" s="34">
        <v>156.41755007673331</v>
      </c>
      <c r="J177" s="17"/>
      <c r="K177" s="17">
        <f t="shared" ca="1" si="8"/>
        <v>36049306.614278384</v>
      </c>
      <c r="L177" s="10"/>
    </row>
    <row r="178" spans="1:12" x14ac:dyDescent="0.2">
      <c r="A178" s="32">
        <v>42583</v>
      </c>
      <c r="C178" s="132">
        <f t="shared" si="11"/>
        <v>8.1785714285714288</v>
      </c>
      <c r="D178" s="132">
        <f t="shared" si="11"/>
        <v>88.214285714285694</v>
      </c>
      <c r="E178" s="17">
        <v>31</v>
      </c>
      <c r="F178" s="17">
        <f ca="1">'CDM Activity'!B147</f>
        <v>1243383.2907068189</v>
      </c>
      <c r="G178" s="17">
        <v>352</v>
      </c>
      <c r="H178" s="17">
        <v>0</v>
      </c>
      <c r="I178" s="34">
        <v>156.70146403443502</v>
      </c>
      <c r="J178" s="17"/>
      <c r="K178" s="17">
        <f t="shared" ca="1" si="8"/>
        <v>34931280.286745422</v>
      </c>
      <c r="L178" s="10"/>
    </row>
    <row r="179" spans="1:12" x14ac:dyDescent="0.2">
      <c r="A179" s="32">
        <v>42614</v>
      </c>
      <c r="C179" s="132">
        <f t="shared" si="11"/>
        <v>58.871428571428574</v>
      </c>
      <c r="D179" s="132">
        <f t="shared" si="11"/>
        <v>33.699999999999989</v>
      </c>
      <c r="E179" s="17">
        <v>30</v>
      </c>
      <c r="F179" s="17">
        <f ca="1">'CDM Activity'!B148</f>
        <v>1235072.3301593594</v>
      </c>
      <c r="G179" s="17">
        <v>336</v>
      </c>
      <c r="H179" s="17">
        <v>1</v>
      </c>
      <c r="I179" s="34">
        <v>156.98589332520095</v>
      </c>
      <c r="J179" s="17"/>
      <c r="K179" s="17">
        <f t="shared" ca="1" si="8"/>
        <v>29177296.568962511</v>
      </c>
      <c r="L179" s="10"/>
    </row>
    <row r="180" spans="1:12" x14ac:dyDescent="0.2">
      <c r="A180" s="32">
        <v>42644</v>
      </c>
      <c r="C180" s="132">
        <f t="shared" si="11"/>
        <v>236.51428571428571</v>
      </c>
      <c r="D180" s="132">
        <f t="shared" si="11"/>
        <v>3.7357142857142862</v>
      </c>
      <c r="E180" s="17">
        <v>31</v>
      </c>
      <c r="F180" s="17">
        <f ca="1">'CDM Activity'!B149</f>
        <v>1226761.3696118998</v>
      </c>
      <c r="G180" s="17">
        <v>320</v>
      </c>
      <c r="H180" s="17">
        <v>1</v>
      </c>
      <c r="I180" s="34">
        <v>157.27083888441365</v>
      </c>
      <c r="J180" s="17"/>
      <c r="K180" s="17">
        <f t="shared" ca="1" si="8"/>
        <v>29072422.016533811</v>
      </c>
      <c r="L180" s="10"/>
    </row>
    <row r="181" spans="1:12" x14ac:dyDescent="0.2">
      <c r="A181" s="32">
        <v>42675</v>
      </c>
      <c r="C181" s="132">
        <f t="shared" si="11"/>
        <v>378.76428571428568</v>
      </c>
      <c r="D181" s="132">
        <f t="shared" si="11"/>
        <v>0</v>
      </c>
      <c r="E181" s="17">
        <v>30</v>
      </c>
      <c r="F181" s="17">
        <f ca="1">'CDM Activity'!B150</f>
        <v>1218450.4090644403</v>
      </c>
      <c r="G181" s="17">
        <v>336</v>
      </c>
      <c r="H181" s="17">
        <v>1</v>
      </c>
      <c r="I181" s="34">
        <v>157.55630164915351</v>
      </c>
      <c r="J181" s="17"/>
      <c r="K181" s="17">
        <f t="shared" ca="1" si="8"/>
        <v>30006366.598326307</v>
      </c>
      <c r="L181" s="10"/>
    </row>
    <row r="182" spans="1:12" x14ac:dyDescent="0.2">
      <c r="A182" s="32">
        <v>42705</v>
      </c>
      <c r="C182" s="132">
        <f t="shared" si="11"/>
        <v>569.47857142857151</v>
      </c>
      <c r="D182" s="132">
        <f t="shared" si="11"/>
        <v>0</v>
      </c>
      <c r="E182" s="17">
        <v>31</v>
      </c>
      <c r="F182" s="17">
        <f ca="1">'CDM Activity'!B151</f>
        <v>1210139.4485169807</v>
      </c>
      <c r="G182" s="17">
        <v>336</v>
      </c>
      <c r="H182" s="17">
        <v>0</v>
      </c>
      <c r="I182" s="34">
        <v>157.84228255820162</v>
      </c>
      <c r="J182" s="17"/>
      <c r="K182" s="17">
        <f t="shared" ca="1" si="8"/>
        <v>33693719.288336687</v>
      </c>
      <c r="L182" s="10"/>
    </row>
    <row r="183" spans="1:12" x14ac:dyDescent="0.2">
      <c r="A183" s="32">
        <v>42736</v>
      </c>
      <c r="C183" s="132">
        <f>C171</f>
        <v>693.29285714285732</v>
      </c>
      <c r="D183" s="132">
        <f>D171</f>
        <v>0</v>
      </c>
      <c r="E183" s="17">
        <v>31</v>
      </c>
      <c r="F183" s="17">
        <f ca="1">'CDM Activity'!B152</f>
        <v>1201838.5451896612</v>
      </c>
      <c r="G183" s="17">
        <v>336</v>
      </c>
      <c r="H183" s="17">
        <v>0</v>
      </c>
      <c r="I183" s="34">
        <v>158.15454692394951</v>
      </c>
      <c r="J183" s="17"/>
      <c r="K183" s="17">
        <f t="shared" ca="1" si="8"/>
        <v>35078735.642519608</v>
      </c>
      <c r="L183" s="10"/>
    </row>
    <row r="184" spans="1:12" x14ac:dyDescent="0.2">
      <c r="A184" s="32">
        <v>42767</v>
      </c>
      <c r="C184" s="132">
        <f t="shared" ref="C184:D194" si="12">C172</f>
        <v>646.2071428571428</v>
      </c>
      <c r="D184" s="132">
        <f t="shared" si="12"/>
        <v>0</v>
      </c>
      <c r="E184" s="17">
        <v>28</v>
      </c>
      <c r="F184" s="17">
        <f ca="1">'CDM Activity'!B153</f>
        <v>1193537.6418623417</v>
      </c>
      <c r="G184" s="17">
        <v>304</v>
      </c>
      <c r="H184" s="17">
        <v>0</v>
      </c>
      <c r="I184" s="34">
        <v>158.46742905214063</v>
      </c>
      <c r="J184" s="17"/>
      <c r="K184" s="17">
        <f t="shared" ca="1" si="8"/>
        <v>31677332.772654671</v>
      </c>
      <c r="L184" s="10"/>
    </row>
    <row r="185" spans="1:12" x14ac:dyDescent="0.2">
      <c r="A185" s="32">
        <v>42795</v>
      </c>
      <c r="C185" s="132">
        <f t="shared" si="12"/>
        <v>538.09285714285716</v>
      </c>
      <c r="D185" s="132">
        <f t="shared" si="12"/>
        <v>0</v>
      </c>
      <c r="E185" s="17">
        <v>31</v>
      </c>
      <c r="F185" s="17">
        <f ca="1">'CDM Activity'!B154</f>
        <v>1185236.7385350221</v>
      </c>
      <c r="G185" s="17">
        <v>368</v>
      </c>
      <c r="H185" s="17">
        <v>1</v>
      </c>
      <c r="I185" s="34">
        <v>158.78093016491388</v>
      </c>
      <c r="J185" s="17"/>
      <c r="K185" s="17">
        <f t="shared" ca="1" si="8"/>
        <v>33468276.101946596</v>
      </c>
      <c r="L185" s="10"/>
    </row>
    <row r="186" spans="1:12" x14ac:dyDescent="0.2">
      <c r="A186" s="32">
        <v>42826</v>
      </c>
      <c r="C186" s="132">
        <f t="shared" si="12"/>
        <v>314.69285714285712</v>
      </c>
      <c r="D186" s="132">
        <f t="shared" si="12"/>
        <v>0.59285714285714275</v>
      </c>
      <c r="E186" s="17">
        <v>30</v>
      </c>
      <c r="F186" s="17">
        <f ca="1">'CDM Activity'!B155</f>
        <v>1176935.8352077026</v>
      </c>
      <c r="G186" s="17">
        <v>304</v>
      </c>
      <c r="H186" s="17">
        <v>1</v>
      </c>
      <c r="I186" s="34">
        <v>159.09505148682601</v>
      </c>
      <c r="J186" s="17"/>
      <c r="K186" s="17">
        <f t="shared" ca="1" si="8"/>
        <v>28929850.915155776</v>
      </c>
      <c r="L186" s="10"/>
    </row>
    <row r="187" spans="1:12" x14ac:dyDescent="0.2">
      <c r="A187" s="32">
        <v>42856</v>
      </c>
      <c r="C187" s="132">
        <f t="shared" si="12"/>
        <v>143.67857142857142</v>
      </c>
      <c r="D187" s="132">
        <f t="shared" si="12"/>
        <v>14.428571428571429</v>
      </c>
      <c r="E187" s="17">
        <v>31</v>
      </c>
      <c r="F187" s="17">
        <f ca="1">'CDM Activity'!B156</f>
        <v>1168634.9318803831</v>
      </c>
      <c r="G187" s="17">
        <v>352</v>
      </c>
      <c r="H187" s="17">
        <v>1</v>
      </c>
      <c r="I187" s="34">
        <v>159.4097942448563</v>
      </c>
      <c r="J187" s="17"/>
      <c r="K187" s="17">
        <f t="shared" ca="1" si="8"/>
        <v>30172510.1682554</v>
      </c>
      <c r="L187" s="10"/>
    </row>
    <row r="188" spans="1:12" x14ac:dyDescent="0.2">
      <c r="A188" s="32">
        <v>42887</v>
      </c>
      <c r="C188" s="132">
        <f t="shared" si="12"/>
        <v>28.635714285714283</v>
      </c>
      <c r="D188" s="132">
        <f t="shared" si="12"/>
        <v>59.24285714285714</v>
      </c>
      <c r="E188" s="17">
        <v>30</v>
      </c>
      <c r="F188" s="17">
        <f ca="1">'CDM Activity'!B157</f>
        <v>1160334.0285530635</v>
      </c>
      <c r="G188" s="17">
        <v>352</v>
      </c>
      <c r="H188" s="17">
        <v>0</v>
      </c>
      <c r="I188" s="34">
        <v>159.72515966841141</v>
      </c>
      <c r="J188" s="17"/>
      <c r="K188" s="17">
        <f t="shared" ca="1" si="8"/>
        <v>32743138.20549608</v>
      </c>
      <c r="L188" s="10"/>
    </row>
    <row r="189" spans="1:12" x14ac:dyDescent="0.2">
      <c r="A189" s="32">
        <v>42917</v>
      </c>
      <c r="C189" s="132">
        <f t="shared" si="12"/>
        <v>4.7928571428571436</v>
      </c>
      <c r="D189" s="132">
        <f t="shared" si="12"/>
        <v>112.94285714285714</v>
      </c>
      <c r="E189" s="17">
        <v>31</v>
      </c>
      <c r="F189" s="17">
        <f ca="1">'CDM Activity'!B158</f>
        <v>1152033.125225744</v>
      </c>
      <c r="G189" s="17">
        <v>320</v>
      </c>
      <c r="H189" s="17">
        <v>0</v>
      </c>
      <c r="I189" s="34">
        <v>160.0411489893302</v>
      </c>
      <c r="J189" s="17"/>
      <c r="K189" s="17">
        <f t="shared" ca="1" si="8"/>
        <v>36837137.418678753</v>
      </c>
      <c r="L189" s="10"/>
    </row>
    <row r="190" spans="1:12" x14ac:dyDescent="0.2">
      <c r="A190" s="32">
        <v>42948</v>
      </c>
      <c r="C190" s="132">
        <f t="shared" si="12"/>
        <v>8.1785714285714288</v>
      </c>
      <c r="D190" s="132">
        <f t="shared" si="12"/>
        <v>88.214285714285694</v>
      </c>
      <c r="E190" s="17">
        <v>31</v>
      </c>
      <c r="F190" s="17">
        <f ca="1">'CDM Activity'!B159</f>
        <v>1143732.2218984244</v>
      </c>
      <c r="G190" s="17">
        <v>352</v>
      </c>
      <c r="H190" s="17">
        <v>0</v>
      </c>
      <c r="I190" s="34">
        <v>160.35776344188849</v>
      </c>
      <c r="J190" s="17"/>
      <c r="K190" s="17">
        <f t="shared" ca="1" si="8"/>
        <v>35719031.587851487</v>
      </c>
      <c r="L190" s="10"/>
    </row>
    <row r="191" spans="1:12" x14ac:dyDescent="0.2">
      <c r="A191" s="32">
        <v>42979</v>
      </c>
      <c r="C191" s="132">
        <f t="shared" si="12"/>
        <v>58.871428571428574</v>
      </c>
      <c r="D191" s="132">
        <f t="shared" si="12"/>
        <v>33.699999999999989</v>
      </c>
      <c r="E191" s="17">
        <v>30</v>
      </c>
      <c r="F191" s="17">
        <f ca="1">'CDM Activity'!B160</f>
        <v>1135431.3185711049</v>
      </c>
      <c r="G191" s="17">
        <v>320</v>
      </c>
      <c r="H191" s="17">
        <v>1</v>
      </c>
      <c r="I191" s="34">
        <v>160.67500426280395</v>
      </c>
      <c r="J191" s="17"/>
      <c r="K191" s="17">
        <f t="shared" ca="1" si="8"/>
        <v>29580155.107742857</v>
      </c>
      <c r="L191" s="10"/>
    </row>
    <row r="192" spans="1:12" x14ac:dyDescent="0.2">
      <c r="A192" s="32">
        <v>43009</v>
      </c>
      <c r="C192" s="132">
        <f t="shared" si="12"/>
        <v>236.51428571428571</v>
      </c>
      <c r="D192" s="132">
        <f t="shared" si="12"/>
        <v>3.7357142857142862</v>
      </c>
      <c r="E192" s="17">
        <v>31</v>
      </c>
      <c r="F192" s="17">
        <f ca="1">'CDM Activity'!B161</f>
        <v>1127130.4152437854</v>
      </c>
      <c r="G192" s="17">
        <v>336</v>
      </c>
      <c r="H192" s="17">
        <v>1</v>
      </c>
      <c r="I192" s="34">
        <v>160.99287269124085</v>
      </c>
      <c r="J192" s="17"/>
      <c r="K192" s="17">
        <f t="shared" ca="1" si="8"/>
        <v>30244827.570082691</v>
      </c>
      <c r="L192" s="10"/>
    </row>
    <row r="193" spans="1:16" x14ac:dyDescent="0.2">
      <c r="A193" s="32">
        <v>43040</v>
      </c>
      <c r="C193" s="132">
        <f t="shared" si="12"/>
        <v>378.76428571428568</v>
      </c>
      <c r="D193" s="132">
        <f t="shared" si="12"/>
        <v>0</v>
      </c>
      <c r="E193" s="17">
        <v>30</v>
      </c>
      <c r="F193" s="17">
        <f ca="1">'CDM Activity'!B162</f>
        <v>1118829.5119164658</v>
      </c>
      <c r="G193" s="17">
        <v>352</v>
      </c>
      <c r="H193" s="17">
        <v>1</v>
      </c>
      <c r="I193" s="34">
        <v>161.31136996881492</v>
      </c>
      <c r="J193" s="17"/>
      <c r="K193" s="17">
        <f t="shared" ca="1" si="8"/>
        <v>31178692.648580883</v>
      </c>
      <c r="L193" s="10"/>
    </row>
    <row r="194" spans="1:16" x14ac:dyDescent="0.2">
      <c r="A194" s="32">
        <v>43070</v>
      </c>
      <c r="C194" s="132">
        <f t="shared" si="12"/>
        <v>569.47857142857151</v>
      </c>
      <c r="D194" s="132">
        <f t="shared" si="12"/>
        <v>0</v>
      </c>
      <c r="E194" s="17">
        <v>31</v>
      </c>
      <c r="F194" s="17">
        <f ca="1">'CDM Activity'!B163</f>
        <v>1110528.6085891463</v>
      </c>
      <c r="G194" s="17">
        <v>304</v>
      </c>
      <c r="H194" s="17">
        <v>0</v>
      </c>
      <c r="I194" s="34">
        <v>161.63049733959846</v>
      </c>
      <c r="J194" s="17"/>
      <c r="K194" s="17">
        <f t="shared" ca="1" si="8"/>
        <v>33711526.058202721</v>
      </c>
      <c r="L194" s="10"/>
    </row>
    <row r="195" spans="1:16" x14ac:dyDescent="0.2">
      <c r="A195" s="32"/>
      <c r="F195" s="17"/>
    </row>
    <row r="196" spans="1:16" x14ac:dyDescent="0.2">
      <c r="A196" s="32"/>
      <c r="D196" s="23" t="s">
        <v>67</v>
      </c>
      <c r="K196" s="131">
        <f ca="1">SUM(K3:K195)</f>
        <v>7196961095.8890305</v>
      </c>
    </row>
    <row r="197" spans="1:16" x14ac:dyDescent="0.2">
      <c r="A197" s="32"/>
      <c r="N197" s="149" t="s">
        <v>67</v>
      </c>
      <c r="O197" s="332" t="s">
        <v>270</v>
      </c>
      <c r="P197" s="332"/>
    </row>
    <row r="198" spans="1:16" x14ac:dyDescent="0.2">
      <c r="A198" s="33">
        <v>2002</v>
      </c>
      <c r="B198" s="27">
        <f>SUM(B3:B14)</f>
        <v>522661540</v>
      </c>
      <c r="K198" s="27">
        <f>SUM(K3:K14)</f>
        <v>512066001.0901044</v>
      </c>
      <c r="L198" s="37">
        <f t="shared" ref="L198:L211" si="13">K198-B198</f>
        <v>-10595538.909895599</v>
      </c>
      <c r="M198" s="5">
        <f t="shared" ref="M198:M211" si="14">L198/B198</f>
        <v>-2.027227584010792E-2</v>
      </c>
      <c r="N198" s="6">
        <f>'Purchased Power Model WN'!K198</f>
        <v>499771589.55224931</v>
      </c>
      <c r="O198" s="24">
        <f>N198/K198</f>
        <v>0.97599057248151155</v>
      </c>
    </row>
    <row r="199" spans="1:16" x14ac:dyDescent="0.2">
      <c r="A199" s="133">
        <v>2003</v>
      </c>
      <c r="B199" s="27">
        <f>SUM(B15:B26)</f>
        <v>497113270</v>
      </c>
      <c r="K199" s="27">
        <f>SUM(K15:K26)</f>
        <v>499914630.07050908</v>
      </c>
      <c r="L199" s="37">
        <f t="shared" si="13"/>
        <v>2801360.0705090761</v>
      </c>
      <c r="M199" s="5">
        <f t="shared" si="14"/>
        <v>5.6352550607009066E-3</v>
      </c>
      <c r="N199" s="6">
        <f>'Purchased Power Model WN'!K199</f>
        <v>499806799.96545064</v>
      </c>
      <c r="O199" s="24">
        <f t="shared" ref="O199:O213" si="15">N199/K199</f>
        <v>0.99978430296180121</v>
      </c>
    </row>
    <row r="200" spans="1:16" x14ac:dyDescent="0.2">
      <c r="A200" s="33">
        <v>2004</v>
      </c>
      <c r="B200" s="27">
        <f>SUM(B27:B38)</f>
        <v>501185430</v>
      </c>
      <c r="K200" s="27">
        <f>SUM(K27:K38)</f>
        <v>496315907.5564568</v>
      </c>
      <c r="L200" s="37">
        <f t="shared" si="13"/>
        <v>-4869522.4435431957</v>
      </c>
      <c r="M200" s="5">
        <f t="shared" si="14"/>
        <v>-9.7160095885931788E-3</v>
      </c>
      <c r="N200" s="6">
        <f>'Purchased Power Model WN'!K200</f>
        <v>500954277.7170074</v>
      </c>
      <c r="O200" s="24">
        <f t="shared" si="15"/>
        <v>1.0093456004329722</v>
      </c>
    </row>
    <row r="201" spans="1:16" x14ac:dyDescent="0.2">
      <c r="A201" s="133">
        <v>2005</v>
      </c>
      <c r="B201" s="27">
        <f>SUM(B39:B50)</f>
        <v>520774860</v>
      </c>
      <c r="K201" s="27">
        <f>SUM(K39:K50)</f>
        <v>517404613.21408188</v>
      </c>
      <c r="L201" s="37">
        <f t="shared" si="13"/>
        <v>-3370246.7859181166</v>
      </c>
      <c r="M201" s="5">
        <f t="shared" si="14"/>
        <v>-6.4716003877723985E-3</v>
      </c>
      <c r="N201" s="6">
        <f>'Purchased Power Model WN'!K201</f>
        <v>499410249.90201873</v>
      </c>
      <c r="O201" s="24">
        <f t="shared" si="15"/>
        <v>0.96522187307089624</v>
      </c>
    </row>
    <row r="202" spans="1:16" x14ac:dyDescent="0.2">
      <c r="A202" s="33">
        <v>2006</v>
      </c>
      <c r="B202" s="27">
        <f>SUM(B51:B62)</f>
        <v>488381990</v>
      </c>
      <c r="K202" s="27">
        <f>SUM(K51:K62)</f>
        <v>493428796.72708476</v>
      </c>
      <c r="L202" s="37">
        <f t="shared" si="13"/>
        <v>5046806.7270847559</v>
      </c>
      <c r="M202" s="5">
        <f t="shared" si="14"/>
        <v>1.0333728168568944E-2</v>
      </c>
      <c r="N202" s="6">
        <f>'Purchased Power Model WN'!K202</f>
        <v>493118691.39882755</v>
      </c>
      <c r="O202" s="24">
        <f t="shared" si="15"/>
        <v>0.99937152973171783</v>
      </c>
    </row>
    <row r="203" spans="1:16" x14ac:dyDescent="0.2">
      <c r="A203" s="133">
        <v>2007</v>
      </c>
      <c r="B203" s="27">
        <f>SUM(B63:B74)</f>
        <v>493927030</v>
      </c>
      <c r="K203" s="27">
        <f>SUM(K63:K74)</f>
        <v>487595358.62470913</v>
      </c>
      <c r="L203" s="37">
        <f t="shared" si="13"/>
        <v>-6331671.3752908707</v>
      </c>
      <c r="M203" s="5">
        <f t="shared" si="14"/>
        <v>-1.2819042066377438E-2</v>
      </c>
      <c r="N203" s="6">
        <f>'Purchased Power Model WN'!K203</f>
        <v>484210386.69273919</v>
      </c>
      <c r="O203" s="24">
        <f t="shared" si="15"/>
        <v>0.99305782577275259</v>
      </c>
    </row>
    <row r="204" spans="1:16" x14ac:dyDescent="0.2">
      <c r="A204" s="33">
        <v>2008</v>
      </c>
      <c r="B204" s="27">
        <f>SUM(B75:B86)</f>
        <v>487062910</v>
      </c>
      <c r="K204" s="27">
        <f>SUM(K75:K86)</f>
        <v>469216998.90999269</v>
      </c>
      <c r="L204" s="37">
        <f t="shared" si="13"/>
        <v>-17845911.090007305</v>
      </c>
      <c r="M204" s="5">
        <f t="shared" si="14"/>
        <v>-3.6639848207713668E-2</v>
      </c>
      <c r="N204" s="6">
        <f>'Purchased Power Model WN'!K204</f>
        <v>474527023.2878558</v>
      </c>
      <c r="O204" s="24">
        <f t="shared" si="15"/>
        <v>1.0113167775042218</v>
      </c>
    </row>
    <row r="205" spans="1:16" x14ac:dyDescent="0.2">
      <c r="A205" s="133">
        <v>2009</v>
      </c>
      <c r="B205" s="27">
        <f>SUM(B87:B98)</f>
        <v>419617213.07692301</v>
      </c>
      <c r="K205" s="27">
        <f>SUM(K87:K98)</f>
        <v>451597014.00582421</v>
      </c>
      <c r="L205" s="37">
        <f t="shared" si="13"/>
        <v>31979800.928901196</v>
      </c>
      <c r="M205" s="5">
        <f t="shared" si="14"/>
        <v>7.6211842441836986E-2</v>
      </c>
      <c r="N205" s="6">
        <f>'Purchased Power Model WN'!K205</f>
        <v>462277842.38195193</v>
      </c>
      <c r="O205" s="24">
        <f t="shared" si="15"/>
        <v>1.0236512378179496</v>
      </c>
    </row>
    <row r="206" spans="1:16" x14ac:dyDescent="0.2">
      <c r="A206" s="33">
        <v>2010</v>
      </c>
      <c r="B206" s="27">
        <f>SUM(B99:B110)</f>
        <v>443594623.07692289</v>
      </c>
      <c r="K206" s="27">
        <f>SUM(K99:K110)</f>
        <v>457705895.51661623</v>
      </c>
      <c r="L206" s="37">
        <f t="shared" si="13"/>
        <v>14111272.439693332</v>
      </c>
      <c r="M206" s="5">
        <f t="shared" si="14"/>
        <v>3.1811189102818146E-2</v>
      </c>
      <c r="N206" s="6">
        <f>'Purchased Power Model WN'!K206</f>
        <v>459003446.36685783</v>
      </c>
      <c r="O206" s="24">
        <f t="shared" si="15"/>
        <v>1.002834900889308</v>
      </c>
    </row>
    <row r="207" spans="1:16" x14ac:dyDescent="0.2">
      <c r="A207" s="33">
        <v>2011</v>
      </c>
      <c r="B207" s="27">
        <f>SUM(B111:B122)</f>
        <v>451220848.00000006</v>
      </c>
      <c r="K207" s="27">
        <f>SUM(K111:K122)</f>
        <v>445772004.81993032</v>
      </c>
      <c r="L207" s="37">
        <f t="shared" si="13"/>
        <v>-5448843.1800697446</v>
      </c>
      <c r="M207" s="5">
        <f t="shared" si="14"/>
        <v>-1.2075778865762301E-2</v>
      </c>
      <c r="N207" s="6">
        <f>'Purchased Power Model WN'!K207</f>
        <v>445002689.00166786</v>
      </c>
      <c r="O207" s="24">
        <f t="shared" si="15"/>
        <v>0.99827419440892606</v>
      </c>
    </row>
    <row r="208" spans="1:16" x14ac:dyDescent="0.2">
      <c r="A208" s="33">
        <v>2012</v>
      </c>
      <c r="B208" s="27">
        <f>SUM(B123:B134)</f>
        <v>421671164.32258064</v>
      </c>
      <c r="K208" s="27">
        <f>SUM(K123:K134)</f>
        <v>428204003.91304761</v>
      </c>
      <c r="L208" s="37">
        <f t="shared" si="13"/>
        <v>6532839.5904669762</v>
      </c>
      <c r="M208" s="5">
        <f t="shared" si="14"/>
        <v>1.549273496318406E-2</v>
      </c>
      <c r="N208" s="6">
        <f>'Purchased Power Model WN'!K208</f>
        <v>432230801.17604595</v>
      </c>
      <c r="O208" s="24">
        <f t="shared" si="15"/>
        <v>1.0094039224906828</v>
      </c>
    </row>
    <row r="209" spans="1:15" x14ac:dyDescent="0.2">
      <c r="A209" s="33">
        <v>2013</v>
      </c>
      <c r="B209" s="27">
        <f>SUM(B135:B146)</f>
        <v>415369616</v>
      </c>
      <c r="K209" s="27">
        <f>SUM(K135:K146)</f>
        <v>407493643.81737864</v>
      </c>
      <c r="L209" s="37">
        <f t="shared" si="13"/>
        <v>-7875972.1826213598</v>
      </c>
      <c r="M209" s="5">
        <f t="shared" si="14"/>
        <v>-1.8961358460608636E-2</v>
      </c>
      <c r="N209" s="6">
        <f>'Purchased Power Model WN'!K209</f>
        <v>409862206.57280034</v>
      </c>
      <c r="O209" s="24">
        <f t="shared" si="15"/>
        <v>1.0058125146032539</v>
      </c>
    </row>
    <row r="210" spans="1:15" x14ac:dyDescent="0.2">
      <c r="A210" s="33">
        <v>2014</v>
      </c>
      <c r="B210" s="27">
        <f>SUM(B147:B158)</f>
        <v>391554997.00000006</v>
      </c>
      <c r="K210" s="27">
        <f>SUM(K147:K158)</f>
        <v>383405251.21115166</v>
      </c>
      <c r="L210" s="37">
        <f t="shared" si="13"/>
        <v>-8149745.7888484001</v>
      </c>
      <c r="M210" s="5">
        <f t="shared" si="14"/>
        <v>-2.081379589403733E-2</v>
      </c>
      <c r="N210" s="6">
        <f>'Purchased Power Model WN'!K210</f>
        <v>386959938.0058552</v>
      </c>
      <c r="O210" s="24">
        <f t="shared" si="15"/>
        <v>1.0092713565697771</v>
      </c>
    </row>
    <row r="211" spans="1:15" x14ac:dyDescent="0.2">
      <c r="A211" s="133">
        <v>2015</v>
      </c>
      <c r="B211" s="27">
        <f>SUM(B159:B170)</f>
        <v>372480929.99999994</v>
      </c>
      <c r="C211" s="137"/>
      <c r="D211" s="137"/>
      <c r="E211" s="137"/>
      <c r="F211" s="137"/>
      <c r="G211" s="137"/>
      <c r="H211" s="137"/>
      <c r="J211" s="137"/>
      <c r="K211" s="27">
        <f>SUM(K159:K170)</f>
        <v>376496301.999542</v>
      </c>
      <c r="L211" s="37">
        <f t="shared" si="13"/>
        <v>4015371.9995420575</v>
      </c>
      <c r="M211" s="5">
        <f t="shared" si="14"/>
        <v>1.0780074028332292E-2</v>
      </c>
      <c r="N211" s="6">
        <f>'Purchased Power Model WN'!K211</f>
        <v>379480479.45510191</v>
      </c>
      <c r="O211" s="24">
        <f t="shared" si="15"/>
        <v>1.0079261799909087</v>
      </c>
    </row>
    <row r="212" spans="1:15" x14ac:dyDescent="0.2">
      <c r="A212" s="33">
        <v>2016</v>
      </c>
      <c r="C212" s="137"/>
      <c r="D212" s="137"/>
      <c r="E212" s="137"/>
      <c r="F212" s="137"/>
      <c r="G212" s="137"/>
      <c r="H212" s="137"/>
      <c r="J212" s="137"/>
      <c r="K212" s="27">
        <f ca="1">SUM(K171:K182)</f>
        <v>381003460.21543163</v>
      </c>
      <c r="L212" s="138"/>
      <c r="M212" s="138"/>
      <c r="N212" s="6">
        <f ca="1">'Purchased Power Model WN'!K212</f>
        <v>381003460.21543163</v>
      </c>
      <c r="O212" s="24">
        <f t="shared" ca="1" si="15"/>
        <v>1</v>
      </c>
    </row>
    <row r="213" spans="1:15" x14ac:dyDescent="0.2">
      <c r="A213" s="133">
        <v>2017</v>
      </c>
      <c r="C213" s="137"/>
      <c r="D213" s="137"/>
      <c r="E213" s="137"/>
      <c r="F213" s="137"/>
      <c r="G213" s="137"/>
      <c r="H213" s="137"/>
      <c r="J213" s="137"/>
      <c r="K213" s="27">
        <f ca="1">SUM(K183:K194)</f>
        <v>389341214.19716752</v>
      </c>
      <c r="L213" s="138"/>
      <c r="M213" s="138"/>
      <c r="N213" s="6">
        <f ca="1">'Purchased Power Model WN'!K213</f>
        <v>389341214.19716752</v>
      </c>
      <c r="O213" s="24">
        <f t="shared" ca="1" si="15"/>
        <v>1</v>
      </c>
    </row>
    <row r="214" spans="1:15" x14ac:dyDescent="0.2">
      <c r="C214" s="137"/>
      <c r="D214" s="137"/>
      <c r="E214" s="137"/>
      <c r="F214" s="137"/>
      <c r="G214" s="137"/>
      <c r="H214" s="137"/>
      <c r="J214" s="137"/>
      <c r="K214" s="27"/>
      <c r="L214" s="138"/>
      <c r="M214" s="138"/>
    </row>
    <row r="215" spans="1:15" x14ac:dyDescent="0.2">
      <c r="A215" s="51" t="s">
        <v>181</v>
      </c>
      <c r="B215" s="27">
        <f>SUM(B198:B211)</f>
        <v>6426616421.4764261</v>
      </c>
      <c r="K215" s="27">
        <f>SUM(K198:K211)</f>
        <v>6426616421.4764299</v>
      </c>
      <c r="L215" s="6">
        <f>K215-B215</f>
        <v>0</v>
      </c>
    </row>
    <row r="217" spans="1:15" x14ac:dyDescent="0.2">
      <c r="K217" s="27">
        <f ca="1">SUM(K198:K213)</f>
        <v>7196961095.8890285</v>
      </c>
      <c r="L217" s="49">
        <f ca="1">K196-K217</f>
        <v>0</v>
      </c>
    </row>
    <row r="218" spans="1:15" x14ac:dyDescent="0.2">
      <c r="K218" s="18"/>
      <c r="L218" s="18" t="s">
        <v>64</v>
      </c>
      <c r="M218" s="18"/>
    </row>
    <row r="221" spans="1:15" x14ac:dyDescent="0.2">
      <c r="A221" s="51" t="s">
        <v>190</v>
      </c>
    </row>
    <row r="222" spans="1:15" x14ac:dyDescent="0.2">
      <c r="A222" s="32">
        <v>42736</v>
      </c>
      <c r="C222" s="132">
        <f>'Historical HDD &amp; CDD'!AK30</f>
        <v>684.37</v>
      </c>
      <c r="D222" s="132">
        <f>'Historical HDD &amp; CDD'!AK43</f>
        <v>0</v>
      </c>
      <c r="E222" s="17">
        <f>E183</f>
        <v>31</v>
      </c>
      <c r="F222" s="17">
        <f t="shared" ref="F222:H222" ca="1" si="16">F183</f>
        <v>1201838.5451896612</v>
      </c>
      <c r="G222" s="17">
        <f t="shared" si="16"/>
        <v>336</v>
      </c>
      <c r="H222" s="17">
        <f t="shared" si="16"/>
        <v>0</v>
      </c>
      <c r="I222" s="34">
        <v>143.1291789570798</v>
      </c>
      <c r="J222" s="17">
        <f>J221+($J$140-$J$128)/12</f>
        <v>11.916666666666666</v>
      </c>
      <c r="K222" s="17">
        <f ca="1">$O$18+$O$19*C222+$O$20*D222+$O$21*E222+$O$22*F222+$O$23*G222+H222*$O$24</f>
        <v>34983651.378969818</v>
      </c>
      <c r="L222" s="10"/>
      <c r="N222" s="146"/>
    </row>
    <row r="223" spans="1:15" x14ac:dyDescent="0.2">
      <c r="A223" s="32">
        <v>42767</v>
      </c>
      <c r="C223" s="132">
        <f>'Historical HDD &amp; CDD'!AK31</f>
        <v>663.53</v>
      </c>
      <c r="D223" s="132">
        <f>'Historical HDD &amp; CDD'!AK44</f>
        <v>0</v>
      </c>
      <c r="E223" s="17">
        <f t="shared" ref="E223:H223" si="17">E184</f>
        <v>28</v>
      </c>
      <c r="F223" s="17">
        <f t="shared" ca="1" si="17"/>
        <v>1193537.6418623417</v>
      </c>
      <c r="G223" s="17">
        <f t="shared" si="17"/>
        <v>304</v>
      </c>
      <c r="H223" s="17">
        <f t="shared" si="17"/>
        <v>0</v>
      </c>
      <c r="I223" s="34">
        <v>143.42400163116841</v>
      </c>
      <c r="J223" s="17">
        <f>J222+($J$140-$J$128)/12</f>
        <v>23.833333333333332</v>
      </c>
      <c r="K223" s="17">
        <f t="shared" ref="K223:K233" ca="1" si="18">$O$18+$O$19*C223+$O$20*D223+$O$21*E223+$O$22*F223+$O$23*G223+H223*$O$24</f>
        <v>31861929.59939253</v>
      </c>
      <c r="L223" s="10"/>
      <c r="N223" s="146"/>
    </row>
    <row r="224" spans="1:15" x14ac:dyDescent="0.2">
      <c r="A224" s="32">
        <v>42795</v>
      </c>
      <c r="C224" s="132">
        <f>'Historical HDD &amp; CDD'!AK32</f>
        <v>542.12</v>
      </c>
      <c r="D224" s="132">
        <f>'Historical HDD &amp; CDD'!AK45</f>
        <v>0</v>
      </c>
      <c r="E224" s="17">
        <f t="shared" ref="E224:H224" si="19">E185</f>
        <v>31</v>
      </c>
      <c r="F224" s="17">
        <f t="shared" ca="1" si="19"/>
        <v>1185236.7385350221</v>
      </c>
      <c r="G224" s="17">
        <f t="shared" si="19"/>
        <v>368</v>
      </c>
      <c r="H224" s="17">
        <f t="shared" si="19"/>
        <v>1</v>
      </c>
      <c r="I224" s="34">
        <v>143.71943159169427</v>
      </c>
      <c r="J224" s="17">
        <f>J223+($J$140-$J$128)/12</f>
        <v>35.75</v>
      </c>
      <c r="K224" s="17">
        <f t="shared" ca="1" si="18"/>
        <v>33511190.373311762</v>
      </c>
      <c r="L224" s="10"/>
      <c r="N224" s="146"/>
    </row>
    <row r="225" spans="1:14" x14ac:dyDescent="0.2">
      <c r="A225" s="32">
        <v>42826</v>
      </c>
      <c r="C225" s="132">
        <f>'Historical HDD &amp; CDD'!AK33</f>
        <v>313.20999999999998</v>
      </c>
      <c r="D225" s="132">
        <f>'Historical HDD &amp; CDD'!AK46</f>
        <v>0.24</v>
      </c>
      <c r="E225" s="17">
        <f t="shared" ref="E225:H225" si="20">E186</f>
        <v>30</v>
      </c>
      <c r="F225" s="17">
        <f t="shared" ca="1" si="20"/>
        <v>1176935.8352077026</v>
      </c>
      <c r="G225" s="17">
        <f t="shared" si="20"/>
        <v>304</v>
      </c>
      <c r="H225" s="17">
        <f t="shared" si="20"/>
        <v>1</v>
      </c>
      <c r="I225" s="34">
        <v>144.01547008956803</v>
      </c>
      <c r="J225" s="17">
        <f>J224+($J$140-$J$128)/12</f>
        <v>47.666666666666664</v>
      </c>
      <c r="K225" s="17">
        <f t="shared" ca="1" si="18"/>
        <v>28885661.604122512</v>
      </c>
      <c r="L225" s="10"/>
      <c r="N225" s="146"/>
    </row>
    <row r="226" spans="1:14" x14ac:dyDescent="0.2">
      <c r="A226" s="32">
        <v>42856</v>
      </c>
      <c r="C226" s="132">
        <f>'Historical HDD &amp; CDD'!AK34</f>
        <v>134.59999999999997</v>
      </c>
      <c r="D226" s="132">
        <f>'Historical HDD &amp; CDD'!AK47</f>
        <v>17.610000000000003</v>
      </c>
      <c r="E226" s="17">
        <f t="shared" ref="E226:H226" si="21">E187</f>
        <v>31</v>
      </c>
      <c r="F226" s="17">
        <f t="shared" ca="1" si="21"/>
        <v>1168634.9318803831</v>
      </c>
      <c r="G226" s="17">
        <f t="shared" si="21"/>
        <v>352</v>
      </c>
      <c r="H226" s="17">
        <f t="shared" si="21"/>
        <v>1</v>
      </c>
      <c r="I226" s="34">
        <v>144.31211837827698</v>
      </c>
      <c r="J226" s="17">
        <f>J225+($J$140-$J$128)/12</f>
        <v>59.583333333333329</v>
      </c>
      <c r="K226" s="17">
        <f t="shared" ca="1" si="18"/>
        <v>30331714.722502161</v>
      </c>
      <c r="L226" s="10"/>
      <c r="N226" s="146"/>
    </row>
    <row r="227" spans="1:14" x14ac:dyDescent="0.2">
      <c r="A227" s="32">
        <v>42887</v>
      </c>
      <c r="C227" s="132">
        <f>'Historical HDD &amp; CDD'!AK35</f>
        <v>28.799999999999994</v>
      </c>
      <c r="D227" s="132">
        <f>'Historical HDD &amp; CDD'!AK48</f>
        <v>53.589999999999996</v>
      </c>
      <c r="E227" s="17">
        <f t="shared" ref="E227:H227" si="22">E188</f>
        <v>30</v>
      </c>
      <c r="F227" s="17">
        <f t="shared" ca="1" si="22"/>
        <v>1160334.0285530635</v>
      </c>
      <c r="G227" s="17">
        <f t="shared" si="22"/>
        <v>352</v>
      </c>
      <c r="H227" s="17">
        <f t="shared" si="22"/>
        <v>0</v>
      </c>
      <c r="I227" s="34">
        <v>144.60937771389038</v>
      </c>
      <c r="J227" s="17">
        <f>SUM('Rate Class Customer Model'!B57:E57)</f>
        <v>0</v>
      </c>
      <c r="K227" s="17">
        <f t="shared" ca="1" si="18"/>
        <v>32290112.573330689</v>
      </c>
      <c r="L227" s="10"/>
      <c r="N227" s="146"/>
    </row>
    <row r="228" spans="1:14" x14ac:dyDescent="0.2">
      <c r="A228" s="32">
        <v>42917</v>
      </c>
      <c r="C228" s="132">
        <f>'Historical HDD &amp; CDD'!AK36</f>
        <v>6.4800000000000013</v>
      </c>
      <c r="D228" s="132">
        <f>'Historical HDD &amp; CDD'!AK49</f>
        <v>102.28999999999999</v>
      </c>
      <c r="E228" s="17">
        <f t="shared" ref="E228:H228" si="23">E189</f>
        <v>31</v>
      </c>
      <c r="F228" s="17">
        <f t="shared" ca="1" si="23"/>
        <v>1152033.125225744</v>
      </c>
      <c r="G228" s="17">
        <f t="shared" si="23"/>
        <v>320</v>
      </c>
      <c r="H228" s="17">
        <f t="shared" si="23"/>
        <v>0</v>
      </c>
      <c r="I228" s="34">
        <v>144.90724935506483</v>
      </c>
      <c r="J228" s="17">
        <f t="shared" ref="J228:J233" si="24">J227+($J$140-$J$128)/12</f>
        <v>11.916666666666666</v>
      </c>
      <c r="K228" s="17">
        <f t="shared" ca="1" si="18"/>
        <v>35998086.254214428</v>
      </c>
      <c r="L228" s="10"/>
      <c r="N228" s="146"/>
    </row>
    <row r="229" spans="1:14" x14ac:dyDescent="0.2">
      <c r="A229" s="32">
        <v>42948</v>
      </c>
      <c r="C229" s="132">
        <f>'Historical HDD &amp; CDD'!AK37</f>
        <v>9.74</v>
      </c>
      <c r="D229" s="132">
        <f>'Historical HDD &amp; CDD'!AK50</f>
        <v>75.989999999999995</v>
      </c>
      <c r="E229" s="17">
        <f t="shared" ref="E229:H229" si="25">E190</f>
        <v>31</v>
      </c>
      <c r="F229" s="17">
        <f t="shared" ca="1" si="25"/>
        <v>1143732.2218984244</v>
      </c>
      <c r="G229" s="17">
        <f t="shared" si="25"/>
        <v>352</v>
      </c>
      <c r="H229" s="17">
        <f t="shared" si="25"/>
        <v>0</v>
      </c>
      <c r="I229" s="34">
        <v>145.20573456304953</v>
      </c>
      <c r="J229" s="17">
        <f t="shared" si="24"/>
        <v>23.833333333333332</v>
      </c>
      <c r="K229" s="17">
        <f t="shared" ca="1" si="18"/>
        <v>34752218.254098251</v>
      </c>
      <c r="L229" s="10"/>
      <c r="N229" s="146"/>
    </row>
    <row r="230" spans="1:14" x14ac:dyDescent="0.2">
      <c r="A230" s="32">
        <v>42979</v>
      </c>
      <c r="C230" s="132">
        <f>'Historical HDD &amp; CDD'!AK38</f>
        <v>70.37</v>
      </c>
      <c r="D230" s="132">
        <f>'Historical HDD &amp; CDD'!AK51</f>
        <v>26.9</v>
      </c>
      <c r="E230" s="17">
        <f t="shared" ref="E230:H230" si="26">E191</f>
        <v>30</v>
      </c>
      <c r="F230" s="17">
        <f t="shared" ca="1" si="26"/>
        <v>1135431.3185711049</v>
      </c>
      <c r="G230" s="17">
        <f t="shared" si="26"/>
        <v>320</v>
      </c>
      <c r="H230" s="17">
        <f t="shared" si="26"/>
        <v>1</v>
      </c>
      <c r="I230" s="34">
        <v>145.50483460169167</v>
      </c>
      <c r="J230" s="17">
        <f t="shared" si="24"/>
        <v>35.75</v>
      </c>
      <c r="K230" s="17">
        <f t="shared" ca="1" si="18"/>
        <v>29155622.099376392</v>
      </c>
      <c r="L230" s="10"/>
      <c r="N230" s="146"/>
    </row>
    <row r="231" spans="1:14" x14ac:dyDescent="0.2">
      <c r="A231" s="32">
        <v>43009</v>
      </c>
      <c r="C231" s="132">
        <f>'Historical HDD &amp; CDD'!AK39</f>
        <v>236.65000000000003</v>
      </c>
      <c r="D231" s="132">
        <f>'Historical HDD &amp; CDD'!AK52</f>
        <v>3.0700000000000003</v>
      </c>
      <c r="E231" s="17">
        <f t="shared" ref="E231:H231" si="27">E192</f>
        <v>31</v>
      </c>
      <c r="F231" s="17">
        <f t="shared" ca="1" si="27"/>
        <v>1127130.4152437854</v>
      </c>
      <c r="G231" s="17">
        <f t="shared" si="27"/>
        <v>336</v>
      </c>
      <c r="H231" s="17">
        <f t="shared" si="27"/>
        <v>1</v>
      </c>
      <c r="I231" s="34">
        <v>145.8045507374417</v>
      </c>
      <c r="J231" s="17">
        <f t="shared" si="24"/>
        <v>47.666666666666664</v>
      </c>
      <c r="K231" s="17">
        <f t="shared" ca="1" si="18"/>
        <v>30192716.597482074</v>
      </c>
      <c r="L231" s="10"/>
      <c r="N231" s="146"/>
    </row>
    <row r="232" spans="1:14" x14ac:dyDescent="0.2">
      <c r="A232" s="32">
        <v>43040</v>
      </c>
      <c r="C232" s="132">
        <f>'Historical HDD &amp; CDD'!AK40</f>
        <v>381.17999999999995</v>
      </c>
      <c r="D232" s="132">
        <f>'Historical HDD &amp; CDD'!AK53</f>
        <v>0</v>
      </c>
      <c r="E232" s="17">
        <f t="shared" ref="E232:H232" si="28">E193</f>
        <v>30</v>
      </c>
      <c r="F232" s="17">
        <f t="shared" ca="1" si="28"/>
        <v>1118829.5119164658</v>
      </c>
      <c r="G232" s="17">
        <f t="shared" si="28"/>
        <v>352</v>
      </c>
      <c r="H232" s="17">
        <f t="shared" si="28"/>
        <v>1</v>
      </c>
      <c r="I232" s="34">
        <v>146.1048842393588</v>
      </c>
      <c r="J232" s="17">
        <f t="shared" si="24"/>
        <v>59.583333333333329</v>
      </c>
      <c r="K232" s="17">
        <f t="shared" ca="1" si="18"/>
        <v>31204435.122109968</v>
      </c>
      <c r="L232" s="10"/>
      <c r="N232" s="146"/>
    </row>
    <row r="233" spans="1:14" x14ac:dyDescent="0.2">
      <c r="A233" s="32">
        <v>43070</v>
      </c>
      <c r="C233" s="132">
        <f>'Historical HDD &amp; CDD'!AK41</f>
        <v>558.82999999999993</v>
      </c>
      <c r="D233" s="132">
        <f>'Historical HDD &amp; CDD'!AK54</f>
        <v>0</v>
      </c>
      <c r="E233" s="17">
        <f t="shared" ref="E233:H233" si="29">E194</f>
        <v>31</v>
      </c>
      <c r="F233" s="17">
        <f t="shared" ca="1" si="29"/>
        <v>1110528.6085891463</v>
      </c>
      <c r="G233" s="17">
        <f t="shared" si="29"/>
        <v>304</v>
      </c>
      <c r="H233" s="17">
        <f t="shared" si="29"/>
        <v>0</v>
      </c>
      <c r="I233" s="34">
        <v>146.40583637911641</v>
      </c>
      <c r="J233" s="17">
        <f t="shared" si="24"/>
        <v>71.5</v>
      </c>
      <c r="K233" s="17">
        <f t="shared" ca="1" si="18"/>
        <v>33598052.138814308</v>
      </c>
      <c r="L233" s="10">
        <f ca="1">SUM(K222:K233)</f>
        <v>386765390.71772492</v>
      </c>
      <c r="N233" s="146"/>
    </row>
    <row r="235" spans="1:14" x14ac:dyDescent="0.2">
      <c r="A235" s="51" t="s">
        <v>192</v>
      </c>
      <c r="C235" s="137"/>
      <c r="D235" s="137"/>
      <c r="E235" s="137"/>
      <c r="F235" s="137"/>
      <c r="G235" s="137"/>
      <c r="H235" s="137"/>
      <c r="J235" s="137"/>
      <c r="K235" s="137"/>
      <c r="L235" s="142"/>
    </row>
    <row r="236" spans="1:14" x14ac:dyDescent="0.2">
      <c r="A236" s="32">
        <v>42736</v>
      </c>
      <c r="C236" s="132">
        <f>'Historical HDD &amp; CDD'!AJ30</f>
        <v>715.35278195488718</v>
      </c>
      <c r="D236" s="132">
        <f>'Historical HDD &amp; CDD'!AJ43</f>
        <v>0</v>
      </c>
      <c r="E236" s="17">
        <f>E222</f>
        <v>31</v>
      </c>
      <c r="F236" s="17">
        <f t="shared" ref="F236:H236" ca="1" si="30">F222</f>
        <v>1201838.5451896612</v>
      </c>
      <c r="G236" s="17">
        <f t="shared" si="30"/>
        <v>336</v>
      </c>
      <c r="H236" s="17">
        <f t="shared" si="30"/>
        <v>0</v>
      </c>
      <c r="I236" s="34">
        <v>143.1291789570798</v>
      </c>
      <c r="J236" s="17">
        <f>J235+($J$140-$J$128)/12</f>
        <v>11.916666666666666</v>
      </c>
      <c r="K236" s="17">
        <f t="shared" ref="K236:K247" ca="1" si="31">$O$18+$O$19*C236+$O$20*D236+$O$21*E236+$O$22*F236+$O$23*G236+H236*$O$24</f>
        <v>35313811.882241152</v>
      </c>
      <c r="L236" s="10"/>
      <c r="N236" s="146"/>
    </row>
    <row r="237" spans="1:14" x14ac:dyDescent="0.2">
      <c r="A237" s="32">
        <v>42767</v>
      </c>
      <c r="C237" s="132">
        <f>'Historical HDD &amp; CDD'!AJ31</f>
        <v>721.80323308270818</v>
      </c>
      <c r="D237" s="132">
        <f>'Historical HDD &amp; CDD'!AJ44</f>
        <v>0</v>
      </c>
      <c r="E237" s="17">
        <f t="shared" ref="E237:H247" si="32">E223</f>
        <v>28</v>
      </c>
      <c r="F237" s="17">
        <f t="shared" ca="1" si="32"/>
        <v>1193537.6418623417</v>
      </c>
      <c r="G237" s="17">
        <f t="shared" si="32"/>
        <v>304</v>
      </c>
      <c r="H237" s="17">
        <f t="shared" si="32"/>
        <v>0</v>
      </c>
      <c r="I237" s="34">
        <v>143.42400163116841</v>
      </c>
      <c r="J237" s="17">
        <f>J236+($J$140-$J$128)/12</f>
        <v>23.833333333333332</v>
      </c>
      <c r="K237" s="17">
        <f t="shared" ca="1" si="31"/>
        <v>32482904.177784111</v>
      </c>
      <c r="L237" s="10"/>
      <c r="N237" s="146"/>
    </row>
    <row r="238" spans="1:14" x14ac:dyDescent="0.2">
      <c r="A238" s="32">
        <v>42795</v>
      </c>
      <c r="C238" s="132">
        <f>'Historical HDD &amp; CDD'!AJ32</f>
        <v>555.00947368421066</v>
      </c>
      <c r="D238" s="132">
        <f>'Historical HDD &amp; CDD'!AJ45</f>
        <v>-6.3759398496241459E-2</v>
      </c>
      <c r="E238" s="17">
        <f t="shared" si="32"/>
        <v>31</v>
      </c>
      <c r="F238" s="17">
        <f t="shared" ca="1" si="32"/>
        <v>1185236.7385350221</v>
      </c>
      <c r="G238" s="17">
        <f t="shared" si="32"/>
        <v>368</v>
      </c>
      <c r="H238" s="17">
        <f t="shared" si="32"/>
        <v>1</v>
      </c>
      <c r="I238" s="34">
        <v>143.71943159169427</v>
      </c>
      <c r="J238" s="17">
        <f>J237+($J$140-$J$128)/12</f>
        <v>35.75</v>
      </c>
      <c r="K238" s="17">
        <f t="shared" ca="1" si="31"/>
        <v>33643414.436103359</v>
      </c>
      <c r="L238" s="10"/>
      <c r="N238" s="146"/>
    </row>
    <row r="239" spans="1:14" x14ac:dyDescent="0.2">
      <c r="A239" s="32">
        <v>42826</v>
      </c>
      <c r="C239" s="132">
        <f>'Historical HDD &amp; CDD'!AJ33</f>
        <v>306.33601503759382</v>
      </c>
      <c r="D239" s="132">
        <f>'Historical HDD &amp; CDD'!AJ46</f>
        <v>0.19458646616541841</v>
      </c>
      <c r="E239" s="17">
        <f t="shared" si="32"/>
        <v>30</v>
      </c>
      <c r="F239" s="17">
        <f t="shared" ca="1" si="32"/>
        <v>1176935.8352077026</v>
      </c>
      <c r="G239" s="17">
        <f t="shared" si="32"/>
        <v>304</v>
      </c>
      <c r="H239" s="17">
        <f t="shared" si="32"/>
        <v>1</v>
      </c>
      <c r="I239" s="34">
        <v>144.01547008956803</v>
      </c>
      <c r="J239" s="17">
        <f>J238+($J$140-$J$128)/12</f>
        <v>47.666666666666664</v>
      </c>
      <c r="K239" s="17">
        <f t="shared" ca="1" si="31"/>
        <v>28808757.099660777</v>
      </c>
      <c r="L239" s="10"/>
      <c r="N239" s="146"/>
    </row>
    <row r="240" spans="1:14" x14ac:dyDescent="0.2">
      <c r="A240" s="32">
        <v>42856</v>
      </c>
      <c r="C240" s="132">
        <f>'Historical HDD &amp; CDD'!AJ34</f>
        <v>116.62601503759379</v>
      </c>
      <c r="D240" s="132">
        <f>'Historical HDD &amp; CDD'!AJ47</f>
        <v>21.31872180451137</v>
      </c>
      <c r="E240" s="17">
        <f t="shared" si="32"/>
        <v>31</v>
      </c>
      <c r="F240" s="17">
        <f t="shared" ca="1" si="32"/>
        <v>1168634.9318803831</v>
      </c>
      <c r="G240" s="17">
        <f t="shared" si="32"/>
        <v>352</v>
      </c>
      <c r="H240" s="17">
        <f t="shared" si="32"/>
        <v>1</v>
      </c>
      <c r="I240" s="34">
        <v>144.31211837827698</v>
      </c>
      <c r="J240" s="17">
        <f>J239+($J$140-$J$128)/12</f>
        <v>59.583333333333329</v>
      </c>
      <c r="K240" s="17">
        <f t="shared" ca="1" si="31"/>
        <v>30438548.568035718</v>
      </c>
      <c r="L240" s="10"/>
      <c r="N240" s="146"/>
    </row>
    <row r="241" spans="1:14" x14ac:dyDescent="0.2">
      <c r="A241" s="32">
        <v>42887</v>
      </c>
      <c r="C241" s="132">
        <f>'Historical HDD &amp; CDD'!AJ35</f>
        <v>28.464210526315753</v>
      </c>
      <c r="D241" s="132">
        <f>'Historical HDD &amp; CDD'!AJ48</f>
        <v>47.76007518796996</v>
      </c>
      <c r="E241" s="17">
        <f t="shared" si="32"/>
        <v>30</v>
      </c>
      <c r="F241" s="17">
        <f t="shared" ca="1" si="32"/>
        <v>1160334.0285530635</v>
      </c>
      <c r="G241" s="17">
        <f t="shared" si="32"/>
        <v>352</v>
      </c>
      <c r="H241" s="17">
        <f t="shared" si="32"/>
        <v>0</v>
      </c>
      <c r="I241" s="34">
        <v>144.60937771389038</v>
      </c>
      <c r="J241" s="17">
        <f>SUM('Rate Class Customer Model'!B71:E71)</f>
        <v>0</v>
      </c>
      <c r="K241" s="17">
        <f t="shared" ca="1" si="31"/>
        <v>31817512.793597057</v>
      </c>
      <c r="L241" s="10"/>
      <c r="N241" s="146"/>
    </row>
    <row r="242" spans="1:14" x14ac:dyDescent="0.2">
      <c r="A242" s="32">
        <v>42917</v>
      </c>
      <c r="C242" s="132">
        <f>'Historical HDD &amp; CDD'!AJ36</f>
        <v>5.6444360902255646</v>
      </c>
      <c r="D242" s="132">
        <f>'Historical HDD &amp; CDD'!AJ49</f>
        <v>104.40353383458648</v>
      </c>
      <c r="E242" s="17">
        <f t="shared" si="32"/>
        <v>31</v>
      </c>
      <c r="F242" s="17">
        <f t="shared" ca="1" si="32"/>
        <v>1152033.125225744</v>
      </c>
      <c r="G242" s="17">
        <f t="shared" si="32"/>
        <v>320</v>
      </c>
      <c r="H242" s="17">
        <f t="shared" si="32"/>
        <v>0</v>
      </c>
      <c r="I242" s="34">
        <v>144.90724935506483</v>
      </c>
      <c r="J242" s="17">
        <f t="shared" ref="J242:J247" si="33">J241+($J$140-$J$128)/12</f>
        <v>11.916666666666666</v>
      </c>
      <c r="K242" s="17">
        <f t="shared" ca="1" si="31"/>
        <v>36159217.542331927</v>
      </c>
      <c r="L242" s="10"/>
      <c r="N242" s="146"/>
    </row>
    <row r="243" spans="1:14" x14ac:dyDescent="0.2">
      <c r="A243" s="32">
        <v>42948</v>
      </c>
      <c r="C243" s="132">
        <f>'Historical HDD &amp; CDD'!AJ37</f>
        <v>10.724736842105301</v>
      </c>
      <c r="D243" s="132">
        <f>'Historical HDD &amp; CDD'!AJ50</f>
        <v>68.140075187970069</v>
      </c>
      <c r="E243" s="17">
        <f t="shared" si="32"/>
        <v>31</v>
      </c>
      <c r="F243" s="17">
        <f t="shared" ca="1" si="32"/>
        <v>1143732.2218984244</v>
      </c>
      <c r="G243" s="17">
        <f t="shared" si="32"/>
        <v>352</v>
      </c>
      <c r="H243" s="17">
        <f t="shared" si="32"/>
        <v>0</v>
      </c>
      <c r="I243" s="34">
        <v>145.20573456304953</v>
      </c>
      <c r="J243" s="17">
        <f t="shared" si="33"/>
        <v>23.833333333333332</v>
      </c>
      <c r="K243" s="17">
        <f t="shared" ca="1" si="31"/>
        <v>34131179.932816833</v>
      </c>
      <c r="L243" s="10"/>
      <c r="N243" s="146"/>
    </row>
    <row r="244" spans="1:14" x14ac:dyDescent="0.2">
      <c r="A244" s="32">
        <v>42979</v>
      </c>
      <c r="C244" s="132">
        <f>'Historical HDD &amp; CDD'!AJ38</f>
        <v>67.793834586466119</v>
      </c>
      <c r="D244" s="132">
        <f>'Historical HDD &amp; CDD'!AJ51</f>
        <v>28.23699248120306</v>
      </c>
      <c r="E244" s="17">
        <f t="shared" si="32"/>
        <v>30</v>
      </c>
      <c r="F244" s="17">
        <f t="shared" ca="1" si="32"/>
        <v>1135431.3185711049</v>
      </c>
      <c r="G244" s="17">
        <f t="shared" si="32"/>
        <v>320</v>
      </c>
      <c r="H244" s="17">
        <f t="shared" si="32"/>
        <v>1</v>
      </c>
      <c r="I244" s="34">
        <v>145.50483460169167</v>
      </c>
      <c r="J244" s="17">
        <f t="shared" si="33"/>
        <v>35.75</v>
      </c>
      <c r="K244" s="17">
        <f t="shared" ca="1" si="31"/>
        <v>29235731.795691986</v>
      </c>
      <c r="L244" s="10"/>
      <c r="N244" s="146"/>
    </row>
    <row r="245" spans="1:14" x14ac:dyDescent="0.2">
      <c r="A245" s="32">
        <v>43009</v>
      </c>
      <c r="C245" s="132">
        <f>'Historical HDD &amp; CDD'!AJ39</f>
        <v>232.18360902255642</v>
      </c>
      <c r="D245" s="132">
        <f>'Historical HDD &amp; CDD'!AJ52</f>
        <v>3.3601503759398526</v>
      </c>
      <c r="E245" s="17">
        <f t="shared" si="32"/>
        <v>31</v>
      </c>
      <c r="F245" s="17">
        <f t="shared" ca="1" si="32"/>
        <v>1127130.4152437854</v>
      </c>
      <c r="G245" s="17">
        <f t="shared" si="32"/>
        <v>336</v>
      </c>
      <c r="H245" s="17">
        <f t="shared" si="32"/>
        <v>1</v>
      </c>
      <c r="I245" s="34">
        <v>145.8045507374417</v>
      </c>
      <c r="J245" s="17">
        <f t="shared" si="33"/>
        <v>47.666666666666664</v>
      </c>
      <c r="K245" s="17">
        <f t="shared" ca="1" si="31"/>
        <v>30168464.385310698</v>
      </c>
      <c r="L245" s="10"/>
      <c r="N245" s="146"/>
    </row>
    <row r="246" spans="1:14" x14ac:dyDescent="0.2">
      <c r="A246" s="32">
        <v>43040</v>
      </c>
      <c r="C246" s="132">
        <f>'Historical HDD &amp; CDD'!AJ40</f>
        <v>359.00962406014969</v>
      </c>
      <c r="D246" s="132">
        <f>'Historical HDD &amp; CDD'!AJ53</f>
        <v>0</v>
      </c>
      <c r="E246" s="17">
        <f t="shared" si="32"/>
        <v>30</v>
      </c>
      <c r="F246" s="17">
        <f t="shared" ca="1" si="32"/>
        <v>1118829.5119164658</v>
      </c>
      <c r="G246" s="17">
        <f t="shared" si="32"/>
        <v>352</v>
      </c>
      <c r="H246" s="17">
        <f t="shared" si="32"/>
        <v>1</v>
      </c>
      <c r="I246" s="34">
        <v>146.1048842393588</v>
      </c>
      <c r="J246" s="17">
        <f t="shared" si="33"/>
        <v>59.583333333333329</v>
      </c>
      <c r="K246" s="17">
        <f t="shared" ca="1" si="31"/>
        <v>30968181.886726733</v>
      </c>
      <c r="L246" s="10"/>
      <c r="N246" s="146"/>
    </row>
    <row r="247" spans="1:14" x14ac:dyDescent="0.2">
      <c r="A247" s="32">
        <v>43070</v>
      </c>
      <c r="C247" s="132">
        <f>'Historical HDD &amp; CDD'!AJ41</f>
        <v>545.96255639097762</v>
      </c>
      <c r="D247" s="132">
        <f>'Historical HDD &amp; CDD'!AJ54</f>
        <v>0</v>
      </c>
      <c r="E247" s="17">
        <f t="shared" si="32"/>
        <v>31</v>
      </c>
      <c r="F247" s="17">
        <f t="shared" ca="1" si="32"/>
        <v>1110528.6085891463</v>
      </c>
      <c r="G247" s="17">
        <f t="shared" si="32"/>
        <v>304</v>
      </c>
      <c r="H247" s="17">
        <f t="shared" si="32"/>
        <v>0</v>
      </c>
      <c r="I247" s="34">
        <v>146.40583637911641</v>
      </c>
      <c r="J247" s="17">
        <f t="shared" si="33"/>
        <v>71.5</v>
      </c>
      <c r="K247" s="17">
        <f t="shared" ca="1" si="31"/>
        <v>33460933.346061736</v>
      </c>
      <c r="L247" s="10">
        <f ca="1">SUM(K236:K247)</f>
        <v>386628657.84636211</v>
      </c>
      <c r="N247" s="146"/>
    </row>
  </sheetData>
  <mergeCells count="2">
    <mergeCell ref="I1:J1"/>
    <mergeCell ref="O197:P197"/>
  </mergeCells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7"/>
  <sheetViews>
    <sheetView topLeftCell="E198" workbookViewId="0">
      <selection activeCell="N2" sqref="N2:T24"/>
    </sheetView>
  </sheetViews>
  <sheetFormatPr defaultRowHeight="12.75" x14ac:dyDescent="0.2"/>
  <cols>
    <col min="1" max="1" width="11.85546875" style="33" customWidth="1"/>
    <col min="2" max="2" width="18" style="27" customWidth="1"/>
    <col min="3" max="3" width="11.7109375" style="148" customWidth="1"/>
    <col min="4" max="4" width="13.42578125" style="148" customWidth="1"/>
    <col min="5" max="5" width="10.140625" style="148" customWidth="1"/>
    <col min="6" max="8" width="12.42578125" style="148" customWidth="1"/>
    <col min="9" max="9" width="14.42578125" style="35" hidden="1" customWidth="1"/>
    <col min="10" max="10" width="12.42578125" style="148" hidden="1" customWidth="1"/>
    <col min="11" max="11" width="15.42578125" style="148" bestFit="1" customWidth="1"/>
    <col min="12" max="12" width="17" style="149" customWidth="1"/>
    <col min="13" max="13" width="12.42578125" style="149" customWidth="1"/>
    <col min="14" max="14" width="25.85546875" bestFit="1" customWidth="1"/>
    <col min="15" max="17" width="18" customWidth="1"/>
    <col min="18" max="18" width="17.140625" customWidth="1"/>
    <col min="19" max="20" width="15.7109375" customWidth="1"/>
  </cols>
  <sheetData>
    <row r="1" spans="1:19" x14ac:dyDescent="0.2">
      <c r="F1" s="33"/>
      <c r="G1" s="33"/>
      <c r="H1" s="140"/>
      <c r="I1" s="331" t="s">
        <v>101</v>
      </c>
      <c r="J1" s="331"/>
    </row>
    <row r="2" spans="1:19" ht="42" customHeight="1" x14ac:dyDescent="0.2">
      <c r="B2" s="125" t="s">
        <v>0</v>
      </c>
      <c r="C2" s="126" t="s">
        <v>3</v>
      </c>
      <c r="D2" s="126" t="s">
        <v>4</v>
      </c>
      <c r="E2" s="126" t="s">
        <v>5</v>
      </c>
      <c r="F2" s="126" t="s">
        <v>75</v>
      </c>
      <c r="G2" s="126" t="s">
        <v>77</v>
      </c>
      <c r="H2" s="126" t="s">
        <v>18</v>
      </c>
      <c r="I2" s="127" t="s">
        <v>6</v>
      </c>
      <c r="J2" s="126" t="s">
        <v>66</v>
      </c>
      <c r="K2" s="126" t="s">
        <v>11</v>
      </c>
      <c r="L2" s="12" t="s">
        <v>12</v>
      </c>
      <c r="M2"/>
      <c r="N2" t="s">
        <v>19</v>
      </c>
    </row>
    <row r="3" spans="1:19" ht="13.5" thickBot="1" x14ac:dyDescent="0.25">
      <c r="A3" s="128">
        <v>37275</v>
      </c>
      <c r="B3" s="129">
        <f>'[15]Data Input'!B5</f>
        <v>46293277</v>
      </c>
      <c r="C3" s="17">
        <f>'Purchased Power Model '!C171</f>
        <v>693.29285714285732</v>
      </c>
      <c r="D3" s="130">
        <f>'Purchased Power Model '!D171</f>
        <v>0</v>
      </c>
      <c r="E3" s="17">
        <v>31</v>
      </c>
      <c r="F3" s="17">
        <v>0</v>
      </c>
      <c r="G3" s="17">
        <v>351.91199999999998</v>
      </c>
      <c r="H3" s="17">
        <v>0</v>
      </c>
      <c r="I3" s="35">
        <v>121.50450639216388</v>
      </c>
      <c r="J3" s="17">
        <f>'[15]Data Input'!AJ5</f>
        <v>20461</v>
      </c>
      <c r="K3" s="17">
        <f>$O$18+$O$19*C3+$O$20*D3+$O$21*E3+$O$22*F3+$O$23*G3+H3*$O$24</f>
        <v>44962081.935085259</v>
      </c>
      <c r="L3" s="10"/>
      <c r="M3"/>
    </row>
    <row r="4" spans="1:19" x14ac:dyDescent="0.2">
      <c r="A4" s="32">
        <v>37308</v>
      </c>
      <c r="B4" s="129">
        <f>'[15]Data Input'!B6</f>
        <v>41843002</v>
      </c>
      <c r="C4" s="17">
        <f>'Purchased Power Model '!C172</f>
        <v>646.2071428571428</v>
      </c>
      <c r="D4" s="130">
        <f>'Purchased Power Model '!D172</f>
        <v>0</v>
      </c>
      <c r="E4" s="17">
        <v>28</v>
      </c>
      <c r="F4" s="17">
        <v>0</v>
      </c>
      <c r="G4" s="17">
        <v>319.87200000000001</v>
      </c>
      <c r="H4" s="17">
        <v>0</v>
      </c>
      <c r="I4" s="35">
        <v>121.86371656989111</v>
      </c>
      <c r="J4" s="17">
        <f>'[15]Data Input'!AJ6</f>
        <v>20122</v>
      </c>
      <c r="K4" s="17">
        <f t="shared" ref="K4:K67" si="0">$O$18+$O$19*C4+$O$20*D4+$O$21*E4+$O$22*F4+$O$23*G4+H4*$O$24</f>
        <v>41494097.591412008</v>
      </c>
      <c r="L4" s="10"/>
      <c r="M4"/>
      <c r="N4" s="56" t="s">
        <v>20</v>
      </c>
      <c r="O4" s="56"/>
    </row>
    <row r="5" spans="1:19" x14ac:dyDescent="0.2">
      <c r="A5" s="32">
        <v>37341</v>
      </c>
      <c r="B5" s="129">
        <f>'[15]Data Input'!B7</f>
        <v>44412572</v>
      </c>
      <c r="C5" s="17">
        <f>'Purchased Power Model '!C173</f>
        <v>538.09285714285716</v>
      </c>
      <c r="D5" s="130">
        <f>'Purchased Power Model '!D173</f>
        <v>0</v>
      </c>
      <c r="E5" s="17">
        <v>31</v>
      </c>
      <c r="F5" s="17">
        <v>0</v>
      </c>
      <c r="G5" s="17">
        <v>319.92</v>
      </c>
      <c r="H5" s="17">
        <v>1</v>
      </c>
      <c r="I5" s="35">
        <v>122.22398869960362</v>
      </c>
      <c r="J5" s="17">
        <f>'[15]Data Input'!AJ7</f>
        <v>20174</v>
      </c>
      <c r="K5" s="17">
        <f t="shared" si="0"/>
        <v>41681322.883694634</v>
      </c>
      <c r="L5" s="10"/>
      <c r="M5"/>
      <c r="N5" s="36" t="s">
        <v>21</v>
      </c>
      <c r="O5" s="113">
        <v>0.94580011526454077</v>
      </c>
    </row>
    <row r="6" spans="1:19" x14ac:dyDescent="0.2">
      <c r="A6" s="32">
        <v>37374</v>
      </c>
      <c r="B6" s="129">
        <f>'[15]Data Input'!B8</f>
        <v>42581129</v>
      </c>
      <c r="C6" s="17">
        <f>'Purchased Power Model '!C174</f>
        <v>314.69285714285712</v>
      </c>
      <c r="D6" s="130">
        <f>'Purchased Power Model '!D174</f>
        <v>0.59285714285714275</v>
      </c>
      <c r="E6" s="17">
        <v>30</v>
      </c>
      <c r="F6" s="17">
        <v>0</v>
      </c>
      <c r="G6" s="17">
        <v>352.08</v>
      </c>
      <c r="H6" s="17">
        <v>1</v>
      </c>
      <c r="I6" s="35">
        <v>122.58532592080604</v>
      </c>
      <c r="J6" s="17">
        <f>'[15]Data Input'!AJ8</f>
        <v>20139</v>
      </c>
      <c r="K6" s="17">
        <f t="shared" si="0"/>
        <v>39390005.943021871</v>
      </c>
      <c r="L6" s="10"/>
      <c r="M6"/>
      <c r="N6" s="36" t="s">
        <v>22</v>
      </c>
      <c r="O6" s="113">
        <v>0.89453785803441854</v>
      </c>
    </row>
    <row r="7" spans="1:19" x14ac:dyDescent="0.2">
      <c r="A7" s="32">
        <v>37407</v>
      </c>
      <c r="B7" s="129">
        <f>'[15]Data Input'!B9</f>
        <v>40099130</v>
      </c>
      <c r="C7" s="17">
        <f>'Purchased Power Model '!C175</f>
        <v>143.67857142857142</v>
      </c>
      <c r="D7" s="130">
        <f>'Purchased Power Model '!D175</f>
        <v>14.428571428571429</v>
      </c>
      <c r="E7" s="17">
        <v>31</v>
      </c>
      <c r="F7" s="17">
        <v>0</v>
      </c>
      <c r="G7" s="17">
        <v>351.91199999999998</v>
      </c>
      <c r="H7" s="17">
        <v>1</v>
      </c>
      <c r="I7" s="35">
        <v>122.9477313822845</v>
      </c>
      <c r="J7" s="17">
        <f>'[15]Data Input'!AJ9</f>
        <v>20074</v>
      </c>
      <c r="K7" s="17">
        <f t="shared" si="0"/>
        <v>39408565.43914669</v>
      </c>
      <c r="L7" s="10"/>
      <c r="M7"/>
      <c r="N7" s="36" t="s">
        <v>23</v>
      </c>
      <c r="O7" s="113">
        <v>0.89060759187421057</v>
      </c>
    </row>
    <row r="8" spans="1:19" x14ac:dyDescent="0.2">
      <c r="A8" s="32">
        <v>37408</v>
      </c>
      <c r="B8" s="129">
        <f>'[15]Data Input'!B10</f>
        <v>42830520</v>
      </c>
      <c r="C8" s="17">
        <f>'Purchased Power Model '!C176</f>
        <v>28.635714285714283</v>
      </c>
      <c r="D8" s="130">
        <f>'Purchased Power Model '!D176</f>
        <v>59.24285714285714</v>
      </c>
      <c r="E8" s="17">
        <v>30</v>
      </c>
      <c r="F8" s="17">
        <v>0</v>
      </c>
      <c r="G8" s="17">
        <v>319.68</v>
      </c>
      <c r="H8" s="17">
        <v>0</v>
      </c>
      <c r="I8" s="35">
        <v>123.31120824213403</v>
      </c>
      <c r="J8" s="17">
        <f>'[15]Data Input'!AJ10</f>
        <v>19924</v>
      </c>
      <c r="K8" s="17">
        <f t="shared" si="0"/>
        <v>41138367.725407839</v>
      </c>
      <c r="L8" s="10"/>
      <c r="M8"/>
      <c r="N8" s="36" t="s">
        <v>24</v>
      </c>
      <c r="O8" s="118">
        <v>1663421.4390708632</v>
      </c>
    </row>
    <row r="9" spans="1:19" ht="13.5" thickBot="1" x14ac:dyDescent="0.25">
      <c r="A9" s="32">
        <v>37440</v>
      </c>
      <c r="B9" s="129">
        <f>'[15]Data Input'!B11</f>
        <v>50209650</v>
      </c>
      <c r="C9" s="17">
        <f>'Purchased Power Model '!C177</f>
        <v>4.7928571428571436</v>
      </c>
      <c r="D9" s="130">
        <f>'Purchased Power Model '!D177</f>
        <v>112.94285714285714</v>
      </c>
      <c r="E9" s="17">
        <v>31</v>
      </c>
      <c r="F9" s="17">
        <v>0</v>
      </c>
      <c r="G9" s="17">
        <v>351.91199999999998</v>
      </c>
      <c r="H9" s="17">
        <v>0</v>
      </c>
      <c r="I9" s="35">
        <v>123.67575966778612</v>
      </c>
      <c r="J9" s="17">
        <f>'[15]Data Input'!AJ11</f>
        <v>19945</v>
      </c>
      <c r="K9" s="17">
        <f t="shared" si="0"/>
        <v>46711580.326311387</v>
      </c>
      <c r="L9" s="10"/>
      <c r="M9"/>
      <c r="N9" s="54" t="s">
        <v>25</v>
      </c>
      <c r="O9" s="54">
        <v>168</v>
      </c>
    </row>
    <row r="10" spans="1:19" x14ac:dyDescent="0.2">
      <c r="A10" s="32">
        <v>37473</v>
      </c>
      <c r="B10" s="129">
        <f>'[15]Data Input'!B12</f>
        <v>49113260</v>
      </c>
      <c r="C10" s="17">
        <f>'Purchased Power Model '!C178</f>
        <v>8.1785714285714288</v>
      </c>
      <c r="D10" s="130">
        <f>'Purchased Power Model '!D178</f>
        <v>88.214285714285694</v>
      </c>
      <c r="E10" s="17">
        <v>31</v>
      </c>
      <c r="F10" s="17">
        <v>0</v>
      </c>
      <c r="G10" s="17">
        <v>336.28800000000001</v>
      </c>
      <c r="H10" s="17">
        <v>0</v>
      </c>
      <c r="I10" s="35">
        <v>124.04138883603632</v>
      </c>
      <c r="J10" s="17">
        <f>'[15]Data Input'!AJ12</f>
        <v>20011</v>
      </c>
      <c r="K10" s="17">
        <f t="shared" si="0"/>
        <v>44382458.38931638</v>
      </c>
      <c r="L10" s="10"/>
      <c r="M10"/>
    </row>
    <row r="11" spans="1:19" ht="13.5" thickBot="1" x14ac:dyDescent="0.25">
      <c r="A11" s="32">
        <v>37506</v>
      </c>
      <c r="B11" s="129">
        <f>'[15]Data Input'!B13</f>
        <v>43203390</v>
      </c>
      <c r="C11" s="17">
        <f>'Purchased Power Model '!C179</f>
        <v>58.871428571428574</v>
      </c>
      <c r="D11" s="130">
        <f>'Purchased Power Model '!D179</f>
        <v>33.699999999999989</v>
      </c>
      <c r="E11" s="17">
        <v>30</v>
      </c>
      <c r="F11" s="17">
        <v>0</v>
      </c>
      <c r="G11" s="17">
        <v>319.68</v>
      </c>
      <c r="H11" s="17">
        <v>1</v>
      </c>
      <c r="I11" s="35">
        <v>124.40809893307186</v>
      </c>
      <c r="J11" s="17">
        <f>'[15]Data Input'!AJ13</f>
        <v>20036</v>
      </c>
      <c r="K11" s="17">
        <f t="shared" si="0"/>
        <v>38548152.823735237</v>
      </c>
      <c r="L11" s="10"/>
      <c r="M11"/>
      <c r="N11" t="s">
        <v>26</v>
      </c>
    </row>
    <row r="12" spans="1:19" x14ac:dyDescent="0.2">
      <c r="A12" s="32">
        <v>37539</v>
      </c>
      <c r="B12" s="129">
        <f>'[15]Data Input'!B14</f>
        <v>39840800</v>
      </c>
      <c r="C12" s="17">
        <f>'Purchased Power Model '!C180</f>
        <v>236.51428571428571</v>
      </c>
      <c r="D12" s="130">
        <f>'Purchased Power Model '!D180</f>
        <v>3.7357142857142862</v>
      </c>
      <c r="E12" s="17">
        <v>31</v>
      </c>
      <c r="F12" s="17">
        <v>0</v>
      </c>
      <c r="G12" s="17">
        <v>351.91199999999998</v>
      </c>
      <c r="H12" s="17">
        <v>1</v>
      </c>
      <c r="I12" s="35">
        <v>124.7758931544995</v>
      </c>
      <c r="J12" s="17">
        <f>'[15]Data Input'!AJ14</f>
        <v>20008</v>
      </c>
      <c r="K12" s="17">
        <f t="shared" si="0"/>
        <v>39537598.896701701</v>
      </c>
      <c r="L12" s="10"/>
      <c r="M12"/>
      <c r="N12" s="55"/>
      <c r="O12" s="55" t="s">
        <v>30</v>
      </c>
      <c r="P12" s="55" t="s">
        <v>31</v>
      </c>
      <c r="Q12" s="55" t="s">
        <v>32</v>
      </c>
      <c r="R12" s="55" t="s">
        <v>33</v>
      </c>
      <c r="S12" s="55" t="s">
        <v>34</v>
      </c>
    </row>
    <row r="13" spans="1:19" x14ac:dyDescent="0.2">
      <c r="A13" s="32">
        <v>37572</v>
      </c>
      <c r="B13" s="129">
        <f>'[15]Data Input'!B15</f>
        <v>40267910</v>
      </c>
      <c r="C13" s="17">
        <f>'Purchased Power Model '!C181</f>
        <v>378.76428571428568</v>
      </c>
      <c r="D13" s="130">
        <f>'Purchased Power Model '!D181</f>
        <v>0</v>
      </c>
      <c r="E13" s="17">
        <v>30</v>
      </c>
      <c r="F13" s="17">
        <v>0</v>
      </c>
      <c r="G13" s="17">
        <v>336.24</v>
      </c>
      <c r="H13" s="17">
        <v>1</v>
      </c>
      <c r="I13" s="35">
        <v>125.14477470537335</v>
      </c>
      <c r="J13" s="17">
        <f>'[15]Data Input'!AJ15</f>
        <v>20099</v>
      </c>
      <c r="K13" s="17">
        <f t="shared" si="0"/>
        <v>39644106.688286468</v>
      </c>
      <c r="L13" s="10"/>
      <c r="M13"/>
      <c r="N13" s="36" t="s">
        <v>27</v>
      </c>
      <c r="O13" s="36">
        <v>6</v>
      </c>
      <c r="P13" s="36">
        <v>3778614638634099</v>
      </c>
      <c r="Q13" s="36">
        <v>629769106439016.5</v>
      </c>
      <c r="R13" s="36">
        <v>227.60236115588572</v>
      </c>
      <c r="S13" s="36">
        <v>6.1703638990948185E-76</v>
      </c>
    </row>
    <row r="14" spans="1:19" x14ac:dyDescent="0.2">
      <c r="A14" s="32">
        <v>37605</v>
      </c>
      <c r="B14" s="129">
        <f>'[15]Data Input'!B16</f>
        <v>41966900</v>
      </c>
      <c r="C14" s="17">
        <f>'Purchased Power Model '!C182</f>
        <v>569.47857142857151</v>
      </c>
      <c r="D14" s="130">
        <f>'Purchased Power Model '!D182</f>
        <v>0</v>
      </c>
      <c r="E14" s="17">
        <v>31</v>
      </c>
      <c r="F14" s="17">
        <v>0</v>
      </c>
      <c r="G14" s="17">
        <v>319.92</v>
      </c>
      <c r="H14" s="17">
        <v>0</v>
      </c>
      <c r="I14" s="35">
        <v>125.51474680022261</v>
      </c>
      <c r="J14" s="17">
        <f>'[15]Data Input'!AJ16</f>
        <v>20186</v>
      </c>
      <c r="K14" s="17">
        <f t="shared" si="0"/>
        <v>42873250.910129763</v>
      </c>
      <c r="L14" s="10"/>
      <c r="M14"/>
      <c r="N14" s="36" t="s">
        <v>28</v>
      </c>
      <c r="O14" s="36">
        <v>161</v>
      </c>
      <c r="P14" s="36">
        <v>445482312317653.56</v>
      </c>
      <c r="Q14" s="36">
        <v>2766970883960.5811</v>
      </c>
      <c r="R14" s="36"/>
      <c r="S14" s="36"/>
    </row>
    <row r="15" spans="1:19" ht="13.5" thickBot="1" x14ac:dyDescent="0.25">
      <c r="A15" s="32">
        <v>37622</v>
      </c>
      <c r="B15" s="129">
        <f>'[15]Data Input'!B19</f>
        <v>45793920</v>
      </c>
      <c r="C15" s="17">
        <f>C3</f>
        <v>693.29285714285732</v>
      </c>
      <c r="D15" s="130">
        <f>D3</f>
        <v>0</v>
      </c>
      <c r="E15" s="17">
        <v>31</v>
      </c>
      <c r="F15" s="17">
        <v>0</v>
      </c>
      <c r="G15" s="17">
        <v>351.91199999999998</v>
      </c>
      <c r="H15" s="17">
        <v>0</v>
      </c>
      <c r="I15" s="35">
        <v>125.66024937363977</v>
      </c>
      <c r="J15" s="17">
        <f>'[15]Data Input'!AJ19</f>
        <v>20303</v>
      </c>
      <c r="K15" s="17">
        <f t="shared" si="0"/>
        <v>44962081.935085259</v>
      </c>
      <c r="L15" s="10"/>
      <c r="M15"/>
      <c r="N15" s="54" t="s">
        <v>10</v>
      </c>
      <c r="O15" s="54">
        <v>167</v>
      </c>
      <c r="P15" s="54">
        <v>4224096950951752.5</v>
      </c>
      <c r="Q15" s="54"/>
      <c r="R15" s="54"/>
      <c r="S15" s="54"/>
    </row>
    <row r="16" spans="1:19" ht="13.5" thickBot="1" x14ac:dyDescent="0.25">
      <c r="A16" s="32">
        <v>37653</v>
      </c>
      <c r="B16" s="129">
        <f>'[15]Data Input'!B20</f>
        <v>41797690</v>
      </c>
      <c r="C16" s="17">
        <f t="shared" ref="C16:D16" si="1">C4</f>
        <v>646.2071428571428</v>
      </c>
      <c r="D16" s="130">
        <f t="shared" si="1"/>
        <v>0</v>
      </c>
      <c r="E16" s="17">
        <v>28</v>
      </c>
      <c r="F16" s="17">
        <v>0</v>
      </c>
      <c r="G16" s="17">
        <v>319.87200000000001</v>
      </c>
      <c r="H16" s="17">
        <v>0</v>
      </c>
      <c r="I16" s="35">
        <v>125.80592062045517</v>
      </c>
      <c r="J16" s="17">
        <f>'[15]Data Input'!AJ20</f>
        <v>20308</v>
      </c>
      <c r="K16" s="17">
        <f t="shared" si="0"/>
        <v>41494097.591412008</v>
      </c>
      <c r="L16" s="10"/>
      <c r="M16"/>
    </row>
    <row r="17" spans="1:20" ht="15" customHeight="1" x14ac:dyDescent="0.2">
      <c r="A17" s="32">
        <v>37681</v>
      </c>
      <c r="B17" s="129">
        <f>'[15]Data Input'!B21</f>
        <v>43041020</v>
      </c>
      <c r="C17" s="17">
        <f t="shared" ref="C17:D17" si="2">C5</f>
        <v>538.09285714285716</v>
      </c>
      <c r="D17" s="130">
        <f t="shared" si="2"/>
        <v>0</v>
      </c>
      <c r="E17" s="17">
        <v>31</v>
      </c>
      <c r="F17" s="17">
        <v>0</v>
      </c>
      <c r="G17" s="17">
        <v>336.28800000000001</v>
      </c>
      <c r="H17" s="17">
        <v>1</v>
      </c>
      <c r="I17" s="35">
        <v>125.9517607362029</v>
      </c>
      <c r="J17" s="17">
        <f>'[15]Data Input'!AJ21</f>
        <v>20266</v>
      </c>
      <c r="K17" s="17">
        <f t="shared" si="0"/>
        <v>42074986.847683772</v>
      </c>
      <c r="L17" s="10"/>
      <c r="M17"/>
      <c r="N17" s="55"/>
      <c r="O17" s="55" t="s">
        <v>35</v>
      </c>
      <c r="P17" s="55" t="s">
        <v>24</v>
      </c>
      <c r="Q17" s="55" t="s">
        <v>36</v>
      </c>
      <c r="R17" s="55" t="s">
        <v>37</v>
      </c>
      <c r="S17" s="55" t="s">
        <v>38</v>
      </c>
      <c r="T17" s="55" t="s">
        <v>39</v>
      </c>
    </row>
    <row r="18" spans="1:20" x14ac:dyDescent="0.2">
      <c r="A18" s="32">
        <v>37712</v>
      </c>
      <c r="B18" s="129">
        <f>'[15]Data Input'!B22</f>
        <v>39112340</v>
      </c>
      <c r="C18" s="17">
        <f t="shared" ref="C18:D18" si="3">C6</f>
        <v>314.69285714285712</v>
      </c>
      <c r="D18" s="130">
        <f t="shared" si="3"/>
        <v>0.59285714285714275</v>
      </c>
      <c r="E18" s="17">
        <v>30</v>
      </c>
      <c r="F18" s="17">
        <v>0</v>
      </c>
      <c r="G18" s="17">
        <v>336.24</v>
      </c>
      <c r="H18" s="17">
        <v>1</v>
      </c>
      <c r="I18" s="35">
        <v>126.09776991664374</v>
      </c>
      <c r="J18" s="17">
        <f>'[15]Data Input'!AJ22</f>
        <v>20218</v>
      </c>
      <c r="K18" s="17">
        <f t="shared" si="0"/>
        <v>39009040.816580772</v>
      </c>
      <c r="L18" s="10"/>
      <c r="M18"/>
      <c r="N18" s="36" t="s">
        <v>29</v>
      </c>
      <c r="O18" s="118">
        <v>6422137.0992822647</v>
      </c>
      <c r="P18" s="118">
        <v>4987235.2854179926</v>
      </c>
      <c r="Q18" s="114">
        <v>1.2877148824439328</v>
      </c>
      <c r="R18" s="36">
        <v>0.19969310926890629</v>
      </c>
      <c r="S18" s="118">
        <v>-3426695.4978312347</v>
      </c>
      <c r="T18" s="118">
        <v>16270969.696395764</v>
      </c>
    </row>
    <row r="19" spans="1:20" x14ac:dyDescent="0.2">
      <c r="A19" s="32">
        <v>37742</v>
      </c>
      <c r="B19" s="129">
        <f>'[15]Data Input'!B23</f>
        <v>37768340</v>
      </c>
      <c r="C19" s="17">
        <f t="shared" ref="C19:D19" si="4">C7</f>
        <v>143.67857142857142</v>
      </c>
      <c r="D19" s="130">
        <f t="shared" si="4"/>
        <v>14.428571428571429</v>
      </c>
      <c r="E19" s="17">
        <v>31</v>
      </c>
      <c r="F19" s="17">
        <v>0</v>
      </c>
      <c r="G19" s="17">
        <v>336.28800000000001</v>
      </c>
      <c r="H19" s="17">
        <v>1</v>
      </c>
      <c r="I19" s="35">
        <v>126.2439483577654</v>
      </c>
      <c r="J19" s="17">
        <f>'[15]Data Input'!AJ23</f>
        <v>20233</v>
      </c>
      <c r="K19" s="17">
        <f t="shared" si="0"/>
        <v>39032795.291702516</v>
      </c>
      <c r="L19" s="10"/>
      <c r="M19"/>
      <c r="N19" s="36" t="s">
        <v>3</v>
      </c>
      <c r="O19" s="118">
        <v>10656.257522389782</v>
      </c>
      <c r="P19" s="118">
        <v>825.4871515957683</v>
      </c>
      <c r="Q19" s="114">
        <v>12.909053159446424</v>
      </c>
      <c r="R19" s="36">
        <v>1.2640463520048751E-26</v>
      </c>
      <c r="S19" s="118">
        <v>9026.0788157813222</v>
      </c>
      <c r="T19" s="118">
        <v>12286.436228998242</v>
      </c>
    </row>
    <row r="20" spans="1:20" x14ac:dyDescent="0.2">
      <c r="A20" s="32">
        <v>37773</v>
      </c>
      <c r="B20" s="129">
        <f>'[15]Data Input'!B24</f>
        <v>38550110</v>
      </c>
      <c r="C20" s="17">
        <f t="shared" ref="C20:D20" si="5">C8</f>
        <v>28.635714285714283</v>
      </c>
      <c r="D20" s="130">
        <f t="shared" si="5"/>
        <v>59.24285714285714</v>
      </c>
      <c r="E20" s="17">
        <v>30</v>
      </c>
      <c r="F20" s="17">
        <v>0</v>
      </c>
      <c r="G20" s="17">
        <v>336.24</v>
      </c>
      <c r="H20" s="17">
        <v>0</v>
      </c>
      <c r="I20" s="35">
        <v>126.3902962557828</v>
      </c>
      <c r="J20" s="17">
        <f>'[15]Data Input'!AJ24</f>
        <v>20150</v>
      </c>
      <c r="K20" s="17">
        <f t="shared" si="0"/>
        <v>41536649.448505357</v>
      </c>
      <c r="L20" s="10"/>
      <c r="M20"/>
      <c r="N20" s="36" t="s">
        <v>4</v>
      </c>
      <c r="O20" s="118">
        <v>80450.698036605711</v>
      </c>
      <c r="P20" s="118">
        <v>5503.0582662754523</v>
      </c>
      <c r="Q20" s="114">
        <v>14.619270620780812</v>
      </c>
      <c r="R20" s="36">
        <v>2.4187472226895027E-31</v>
      </c>
      <c r="S20" s="118">
        <v>69583.214042983367</v>
      </c>
      <c r="T20" s="118">
        <v>91318.182030228054</v>
      </c>
    </row>
    <row r="21" spans="1:20" x14ac:dyDescent="0.2">
      <c r="A21" s="32">
        <v>37803</v>
      </c>
      <c r="B21" s="129">
        <f>'[15]Data Input'!B25</f>
        <v>45139630</v>
      </c>
      <c r="C21" s="17">
        <f t="shared" ref="C21:D21" si="6">C9</f>
        <v>4.7928571428571436</v>
      </c>
      <c r="D21" s="130">
        <f t="shared" si="6"/>
        <v>112.94285714285714</v>
      </c>
      <c r="E21" s="17">
        <v>31</v>
      </c>
      <c r="F21" s="17">
        <v>0</v>
      </c>
      <c r="G21" s="17">
        <v>351.91199999999998</v>
      </c>
      <c r="H21" s="17">
        <v>0</v>
      </c>
      <c r="I21" s="35">
        <v>126.5368138071383</v>
      </c>
      <c r="J21" s="17">
        <f>'[15]Data Input'!AJ25</f>
        <v>20104</v>
      </c>
      <c r="K21" s="17">
        <f t="shared" si="0"/>
        <v>46711580.326311387</v>
      </c>
      <c r="L21" s="10"/>
      <c r="M21"/>
      <c r="N21" s="36" t="s">
        <v>5</v>
      </c>
      <c r="O21" s="118">
        <v>731879.43180286675</v>
      </c>
      <c r="P21" s="118">
        <v>176453.54673275468</v>
      </c>
      <c r="Q21" s="114">
        <v>4.1477173191158618</v>
      </c>
      <c r="R21" s="36">
        <v>5.4212260865648665E-5</v>
      </c>
      <c r="S21" s="118">
        <v>383417.53989672021</v>
      </c>
      <c r="T21" s="118">
        <v>1080341.3237090134</v>
      </c>
    </row>
    <row r="22" spans="1:20" x14ac:dyDescent="0.2">
      <c r="A22" s="32">
        <v>37834</v>
      </c>
      <c r="B22" s="129">
        <f>'[15]Data Input'!B26</f>
        <v>44242730</v>
      </c>
      <c r="C22" s="17">
        <f t="shared" ref="C22:D22" si="7">C10</f>
        <v>8.1785714285714288</v>
      </c>
      <c r="D22" s="130">
        <f t="shared" si="7"/>
        <v>88.214285714285694</v>
      </c>
      <c r="E22" s="17">
        <v>31</v>
      </c>
      <c r="F22" s="17">
        <v>0</v>
      </c>
      <c r="G22" s="17">
        <v>319.92</v>
      </c>
      <c r="H22" s="17">
        <v>0</v>
      </c>
      <c r="I22" s="35">
        <v>126.68350120850199</v>
      </c>
      <c r="J22" s="17">
        <f>'[15]Data Input'!AJ26</f>
        <v>20166</v>
      </c>
      <c r="K22" s="17">
        <f t="shared" si="0"/>
        <v>43988794.425327241</v>
      </c>
      <c r="L22" s="10"/>
      <c r="M22"/>
      <c r="N22" s="36" t="s">
        <v>75</v>
      </c>
      <c r="O22" s="143">
        <v>-7.9050963579801152</v>
      </c>
      <c r="P22" s="118">
        <v>0.30040324318141765</v>
      </c>
      <c r="Q22" s="114">
        <v>-26.314950112592889</v>
      </c>
      <c r="R22" s="36">
        <v>3.3977112710004751E-60</v>
      </c>
      <c r="S22" s="118">
        <v>-8.4983351134032592</v>
      </c>
      <c r="T22" s="118">
        <v>-7.3118576025569713</v>
      </c>
    </row>
    <row r="23" spans="1:20" x14ac:dyDescent="0.2">
      <c r="A23" s="32">
        <v>37865</v>
      </c>
      <c r="B23" s="129">
        <f>'[15]Data Input'!B27</f>
        <v>39933800</v>
      </c>
      <c r="C23" s="17">
        <f t="shared" ref="C23:D23" si="8">C11</f>
        <v>58.871428571428574</v>
      </c>
      <c r="D23" s="130">
        <f t="shared" si="8"/>
        <v>33.699999999999989</v>
      </c>
      <c r="E23" s="17">
        <v>30</v>
      </c>
      <c r="F23" s="17">
        <v>0</v>
      </c>
      <c r="G23" s="17">
        <v>336.24</v>
      </c>
      <c r="H23" s="17">
        <v>1</v>
      </c>
      <c r="I23" s="35">
        <v>126.83035865677196</v>
      </c>
      <c r="J23" s="17">
        <f>'[15]Data Input'!AJ27</f>
        <v>20176</v>
      </c>
      <c r="K23" s="17">
        <f t="shared" si="0"/>
        <v>38946434.546832748</v>
      </c>
      <c r="L23" s="10"/>
      <c r="M23"/>
      <c r="N23" s="36" t="s">
        <v>77</v>
      </c>
      <c r="O23" s="118">
        <v>24050.828689463397</v>
      </c>
      <c r="P23" s="118">
        <v>8613.6791361070773</v>
      </c>
      <c r="Q23" s="114">
        <v>2.7921667744328222</v>
      </c>
      <c r="R23" s="36">
        <v>5.8699389913380853E-3</v>
      </c>
      <c r="S23" s="118">
        <v>7040.4654317255736</v>
      </c>
      <c r="T23" s="118">
        <v>41061.191947201223</v>
      </c>
    </row>
    <row r="24" spans="1:20" ht="13.5" thickBot="1" x14ac:dyDescent="0.25">
      <c r="A24" s="32">
        <v>37895</v>
      </c>
      <c r="B24" s="129">
        <f>'[15]Data Input'!B28</f>
        <v>39274410</v>
      </c>
      <c r="C24" s="17">
        <f t="shared" ref="C24:D24" si="9">C12</f>
        <v>236.51428571428571</v>
      </c>
      <c r="D24" s="130">
        <f t="shared" si="9"/>
        <v>3.7357142857142862</v>
      </c>
      <c r="E24" s="17">
        <v>31</v>
      </c>
      <c r="F24" s="17">
        <v>0</v>
      </c>
      <c r="G24" s="17">
        <v>351.91199999999998</v>
      </c>
      <c r="H24" s="17">
        <v>1</v>
      </c>
      <c r="I24" s="35">
        <v>126.97738634907456</v>
      </c>
      <c r="J24" s="17">
        <f>'[15]Data Input'!AJ28</f>
        <v>20165</v>
      </c>
      <c r="K24" s="17">
        <f t="shared" si="0"/>
        <v>39537598.896701701</v>
      </c>
      <c r="L24" s="10"/>
      <c r="M24"/>
      <c r="N24" s="54" t="s">
        <v>18</v>
      </c>
      <c r="O24" s="119">
        <v>-857473.7724824195</v>
      </c>
      <c r="P24" s="119">
        <v>341388.72648271429</v>
      </c>
      <c r="Q24" s="115">
        <v>-2.511722578882043</v>
      </c>
      <c r="R24" s="54">
        <v>1.2999654468343527E-2</v>
      </c>
      <c r="S24" s="119">
        <v>-1531650.9919733224</v>
      </c>
      <c r="T24" s="119">
        <v>-183296.55299151677</v>
      </c>
    </row>
    <row r="25" spans="1:20" x14ac:dyDescent="0.2">
      <c r="A25" s="32">
        <v>37926</v>
      </c>
      <c r="B25" s="129">
        <f>'[15]Data Input'!B29</f>
        <v>39924090</v>
      </c>
      <c r="C25" s="17">
        <f t="shared" ref="C25:D25" si="10">C13</f>
        <v>378.76428571428568</v>
      </c>
      <c r="D25" s="130">
        <f t="shared" si="10"/>
        <v>0</v>
      </c>
      <c r="E25" s="17">
        <v>30</v>
      </c>
      <c r="F25" s="17">
        <v>0</v>
      </c>
      <c r="G25" s="17">
        <v>319.68</v>
      </c>
      <c r="H25" s="17">
        <v>1</v>
      </c>
      <c r="I25" s="35">
        <v>127.12458448276465</v>
      </c>
      <c r="J25" s="17">
        <f>'[15]Data Input'!AJ29</f>
        <v>20235</v>
      </c>
      <c r="K25" s="17">
        <f t="shared" si="0"/>
        <v>39245824.965188958</v>
      </c>
      <c r="L25" s="10"/>
      <c r="M25"/>
    </row>
    <row r="26" spans="1:20" x14ac:dyDescent="0.2">
      <c r="A26" s="32">
        <v>37956</v>
      </c>
      <c r="B26" s="129">
        <f>'[15]Data Input'!B30</f>
        <v>42535190</v>
      </c>
      <c r="C26" s="17">
        <f t="shared" ref="C26:D26" si="11">C14</f>
        <v>569.47857142857151</v>
      </c>
      <c r="D26" s="130">
        <f t="shared" si="11"/>
        <v>0</v>
      </c>
      <c r="E26" s="17">
        <v>31</v>
      </c>
      <c r="F26" s="17">
        <v>0</v>
      </c>
      <c r="G26" s="17">
        <v>336.28800000000001</v>
      </c>
      <c r="H26" s="17">
        <v>0</v>
      </c>
      <c r="I26" s="35">
        <v>127.27195325542573</v>
      </c>
      <c r="J26" s="17">
        <f>'[15]Data Input'!AJ30</f>
        <v>20324</v>
      </c>
      <c r="K26" s="17">
        <f t="shared" si="0"/>
        <v>43266914.874118902</v>
      </c>
      <c r="L26" s="10"/>
      <c r="M26"/>
    </row>
    <row r="27" spans="1:20" x14ac:dyDescent="0.2">
      <c r="A27" s="32">
        <v>37987</v>
      </c>
      <c r="B27" s="129">
        <f>'[15]Data Input'!B33</f>
        <v>46623430</v>
      </c>
      <c r="C27" s="17">
        <f t="shared" ref="C27:D27" si="12">C15</f>
        <v>693.29285714285732</v>
      </c>
      <c r="D27" s="130">
        <f t="shared" si="12"/>
        <v>0</v>
      </c>
      <c r="E27" s="17">
        <v>31</v>
      </c>
      <c r="F27" s="17">
        <v>0</v>
      </c>
      <c r="G27" s="17">
        <v>336.28800000000001</v>
      </c>
      <c r="H27" s="17">
        <v>0</v>
      </c>
      <c r="I27" s="35">
        <v>127.53411264087498</v>
      </c>
      <c r="J27" s="17">
        <f>'[15]Data Input'!AJ33</f>
        <v>20483</v>
      </c>
      <c r="K27" s="17">
        <f t="shared" si="0"/>
        <v>44586311.787641086</v>
      </c>
      <c r="L27" s="10"/>
      <c r="M27"/>
    </row>
    <row r="28" spans="1:20" x14ac:dyDescent="0.2">
      <c r="A28" s="32">
        <v>38018</v>
      </c>
      <c r="B28" s="129">
        <f>'[15]Data Input'!B34</f>
        <v>42059450</v>
      </c>
      <c r="C28" s="17">
        <f t="shared" ref="C28:D28" si="13">C16</f>
        <v>646.2071428571428</v>
      </c>
      <c r="D28" s="130">
        <f t="shared" si="13"/>
        <v>0</v>
      </c>
      <c r="E28" s="17">
        <v>29</v>
      </c>
      <c r="F28" s="17">
        <v>0</v>
      </c>
      <c r="G28" s="17">
        <v>320.16000000000003</v>
      </c>
      <c r="H28" s="17">
        <v>0</v>
      </c>
      <c r="I28" s="35">
        <v>127.79681203173486</v>
      </c>
      <c r="J28" s="17">
        <f>'[15]Data Input'!AJ34</f>
        <v>20455</v>
      </c>
      <c r="K28" s="17">
        <f t="shared" si="0"/>
        <v>42232903.661877438</v>
      </c>
      <c r="L28" s="10"/>
      <c r="M28"/>
    </row>
    <row r="29" spans="1:20" x14ac:dyDescent="0.2">
      <c r="A29" s="32">
        <v>38047</v>
      </c>
      <c r="B29" s="129">
        <f>'[15]Data Input'!B35</f>
        <v>44041140</v>
      </c>
      <c r="C29" s="17">
        <f t="shared" ref="C29:D29" si="14">C17</f>
        <v>538.09285714285716</v>
      </c>
      <c r="D29" s="130">
        <f t="shared" si="14"/>
        <v>0</v>
      </c>
      <c r="E29" s="17">
        <v>31</v>
      </c>
      <c r="F29" s="17">
        <v>0</v>
      </c>
      <c r="G29" s="17">
        <v>368.28</v>
      </c>
      <c r="H29" s="17">
        <v>1</v>
      </c>
      <c r="I29" s="35">
        <v>128.06005254032812</v>
      </c>
      <c r="J29" s="17">
        <f>'[15]Data Input'!AJ35</f>
        <v>20436</v>
      </c>
      <c r="K29" s="17">
        <f t="shared" si="0"/>
        <v>42844420.959117085</v>
      </c>
      <c r="L29" s="10"/>
      <c r="M29"/>
    </row>
    <row r="30" spans="1:20" x14ac:dyDescent="0.2">
      <c r="A30" s="32">
        <v>38078</v>
      </c>
      <c r="B30" s="129">
        <f>'[15]Data Input'!B36</f>
        <v>39465450</v>
      </c>
      <c r="C30" s="17">
        <f t="shared" ref="C30:D30" si="15">C18</f>
        <v>314.69285714285712</v>
      </c>
      <c r="D30" s="130">
        <f t="shared" si="15"/>
        <v>0.59285714285714275</v>
      </c>
      <c r="E30" s="17">
        <v>30</v>
      </c>
      <c r="F30" s="17">
        <v>0</v>
      </c>
      <c r="G30" s="17">
        <v>336.24</v>
      </c>
      <c r="H30" s="17">
        <v>1</v>
      </c>
      <c r="I30" s="35">
        <v>128.32383528126866</v>
      </c>
      <c r="J30" s="17">
        <f>'[15]Data Input'!AJ36</f>
        <v>20438</v>
      </c>
      <c r="K30" s="17">
        <f t="shared" si="0"/>
        <v>39009040.816580772</v>
      </c>
      <c r="L30" s="10"/>
      <c r="M30" s="14"/>
    </row>
    <row r="31" spans="1:20" x14ac:dyDescent="0.2">
      <c r="A31" s="32">
        <v>38108</v>
      </c>
      <c r="B31" s="129">
        <f>'[15]Data Input'!B37</f>
        <v>38649380</v>
      </c>
      <c r="C31" s="17">
        <f t="shared" ref="C31:D31" si="16">C19</f>
        <v>143.67857142857142</v>
      </c>
      <c r="D31" s="130">
        <f t="shared" si="16"/>
        <v>14.428571428571429</v>
      </c>
      <c r="E31" s="17">
        <v>31</v>
      </c>
      <c r="F31" s="17">
        <v>0</v>
      </c>
      <c r="G31" s="17">
        <v>319.92</v>
      </c>
      <c r="H31" s="17">
        <v>1</v>
      </c>
      <c r="I31" s="35">
        <v>128.58816137146633</v>
      </c>
      <c r="J31" s="17">
        <f>'[15]Data Input'!AJ37</f>
        <v>20382</v>
      </c>
      <c r="K31" s="17">
        <f t="shared" si="0"/>
        <v>38639131.327713378</v>
      </c>
      <c r="L31" s="10"/>
      <c r="M31" s="14"/>
    </row>
    <row r="32" spans="1:20" x14ac:dyDescent="0.2">
      <c r="A32" s="32">
        <v>38139</v>
      </c>
      <c r="B32" s="129">
        <f>'[15]Data Input'!B38</f>
        <v>40366830</v>
      </c>
      <c r="C32" s="17">
        <f t="shared" ref="C32:D32" si="17">C20</f>
        <v>28.635714285714283</v>
      </c>
      <c r="D32" s="130">
        <f t="shared" si="17"/>
        <v>59.24285714285714</v>
      </c>
      <c r="E32" s="17">
        <v>30</v>
      </c>
      <c r="F32" s="17">
        <v>0</v>
      </c>
      <c r="G32" s="17">
        <v>352.08</v>
      </c>
      <c r="H32" s="17">
        <v>0</v>
      </c>
      <c r="I32" s="35">
        <v>128.85303193013166</v>
      </c>
      <c r="J32" s="17">
        <f>'[15]Data Input'!AJ38</f>
        <v>20295</v>
      </c>
      <c r="K32" s="17">
        <f t="shared" si="0"/>
        <v>41917614.574946456</v>
      </c>
      <c r="L32" s="10"/>
      <c r="M32" s="14"/>
    </row>
    <row r="33" spans="1:13" x14ac:dyDescent="0.2">
      <c r="A33" s="32">
        <v>38169</v>
      </c>
      <c r="B33" s="129">
        <f>'[15]Data Input'!B39</f>
        <v>42442080</v>
      </c>
      <c r="C33" s="17">
        <f t="shared" ref="C33:D33" si="18">C21</f>
        <v>4.7928571428571436</v>
      </c>
      <c r="D33" s="130">
        <f t="shared" si="18"/>
        <v>112.94285714285714</v>
      </c>
      <c r="E33" s="17">
        <v>31</v>
      </c>
      <c r="F33" s="17">
        <v>0</v>
      </c>
      <c r="G33" s="17">
        <v>336.28800000000001</v>
      </c>
      <c r="H33" s="17">
        <v>0</v>
      </c>
      <c r="I33" s="35">
        <v>129.11844807878055</v>
      </c>
      <c r="J33" s="17">
        <f>'[15]Data Input'!AJ39</f>
        <v>20268</v>
      </c>
      <c r="K33" s="17">
        <f t="shared" si="0"/>
        <v>46335810.178867213</v>
      </c>
      <c r="L33" s="10"/>
      <c r="M33" s="14"/>
    </row>
    <row r="34" spans="1:13" x14ac:dyDescent="0.2">
      <c r="A34" s="32">
        <v>38200</v>
      </c>
      <c r="B34" s="129">
        <f>'[15]Data Input'!B40</f>
        <v>42940430</v>
      </c>
      <c r="C34" s="17">
        <f t="shared" ref="C34:D34" si="19">C22</f>
        <v>8.1785714285714288</v>
      </c>
      <c r="D34" s="130">
        <f t="shared" si="19"/>
        <v>88.214285714285694</v>
      </c>
      <c r="E34" s="17">
        <v>31</v>
      </c>
      <c r="F34" s="17">
        <v>0</v>
      </c>
      <c r="G34" s="17">
        <v>336.28800000000001</v>
      </c>
      <c r="H34" s="17">
        <v>0</v>
      </c>
      <c r="I34" s="35">
        <v>129.38441094123903</v>
      </c>
      <c r="J34" s="17">
        <f>'[15]Data Input'!AJ40</f>
        <v>20241</v>
      </c>
      <c r="K34" s="17">
        <f t="shared" si="0"/>
        <v>44382458.38931638</v>
      </c>
      <c r="L34" s="10"/>
      <c r="M34" s="14"/>
    </row>
    <row r="35" spans="1:13" x14ac:dyDescent="0.2">
      <c r="A35" s="32">
        <v>38231</v>
      </c>
      <c r="B35" s="129">
        <f>'[15]Data Input'!B41</f>
        <v>41663760</v>
      </c>
      <c r="C35" s="17">
        <f t="shared" ref="C35:D35" si="20">C23</f>
        <v>58.871428571428574</v>
      </c>
      <c r="D35" s="130">
        <f t="shared" si="20"/>
        <v>33.699999999999989</v>
      </c>
      <c r="E35" s="17">
        <v>30</v>
      </c>
      <c r="F35" s="17">
        <v>0</v>
      </c>
      <c r="G35" s="17">
        <v>336.24</v>
      </c>
      <c r="H35" s="17">
        <v>1</v>
      </c>
      <c r="I35" s="35">
        <v>129.65092164364802</v>
      </c>
      <c r="J35" s="17">
        <f>'[15]Data Input'!AJ41</f>
        <v>20388</v>
      </c>
      <c r="K35" s="17">
        <f t="shared" si="0"/>
        <v>38946434.546832748</v>
      </c>
      <c r="L35" s="10"/>
      <c r="M35" s="14"/>
    </row>
    <row r="36" spans="1:13" x14ac:dyDescent="0.2">
      <c r="A36" s="32">
        <v>38261</v>
      </c>
      <c r="B36" s="129">
        <f>'[15]Data Input'!B42</f>
        <v>39406350</v>
      </c>
      <c r="C36" s="17">
        <f t="shared" ref="C36:D36" si="21">C24</f>
        <v>236.51428571428571</v>
      </c>
      <c r="D36" s="130">
        <f t="shared" si="21"/>
        <v>3.7357142857142862</v>
      </c>
      <c r="E36" s="17">
        <v>31</v>
      </c>
      <c r="F36" s="17">
        <v>0</v>
      </c>
      <c r="G36" s="17">
        <v>319.92</v>
      </c>
      <c r="H36" s="17">
        <v>1</v>
      </c>
      <c r="I36" s="35">
        <v>129.91798131446814</v>
      </c>
      <c r="J36" s="17">
        <f>'[15]Data Input'!AJ42</f>
        <v>20386</v>
      </c>
      <c r="K36" s="17">
        <f t="shared" si="0"/>
        <v>38768164.785268389</v>
      </c>
      <c r="L36" s="10"/>
      <c r="M36" s="14"/>
    </row>
    <row r="37" spans="1:13" x14ac:dyDescent="0.2">
      <c r="A37" s="32">
        <v>38292</v>
      </c>
      <c r="B37" s="129">
        <f>'[15]Data Input'!B43</f>
        <v>40213160</v>
      </c>
      <c r="C37" s="17">
        <f t="shared" ref="C37:D37" si="22">C25</f>
        <v>378.76428571428568</v>
      </c>
      <c r="D37" s="130">
        <f t="shared" si="22"/>
        <v>0</v>
      </c>
      <c r="E37" s="17">
        <v>30</v>
      </c>
      <c r="F37" s="17">
        <v>0</v>
      </c>
      <c r="G37" s="17">
        <v>352.08</v>
      </c>
      <c r="H37" s="17">
        <v>1</v>
      </c>
      <c r="I37" s="35">
        <v>130.18559108448443</v>
      </c>
      <c r="J37" s="17">
        <f>'[15]Data Input'!AJ43</f>
        <v>20441</v>
      </c>
      <c r="K37" s="17">
        <f t="shared" si="0"/>
        <v>40025071.814727567</v>
      </c>
      <c r="L37" s="10"/>
      <c r="M37" s="14"/>
    </row>
    <row r="38" spans="1:13" x14ac:dyDescent="0.2">
      <c r="A38" s="32">
        <v>38322</v>
      </c>
      <c r="B38" s="129">
        <f>'[15]Data Input'!B44</f>
        <v>43313970</v>
      </c>
      <c r="C38" s="17">
        <f t="shared" ref="C38:D38" si="23">C26</f>
        <v>569.47857142857151</v>
      </c>
      <c r="D38" s="130">
        <f t="shared" si="23"/>
        <v>0</v>
      </c>
      <c r="E38" s="17">
        <v>31</v>
      </c>
      <c r="F38" s="17">
        <v>0</v>
      </c>
      <c r="G38" s="17">
        <v>336.28800000000001</v>
      </c>
      <c r="H38" s="17">
        <v>0</v>
      </c>
      <c r="I38" s="35">
        <v>130.45375208681136</v>
      </c>
      <c r="J38" s="17">
        <f>'[15]Data Input'!AJ44</f>
        <v>20588</v>
      </c>
      <c r="K38" s="17">
        <f t="shared" si="0"/>
        <v>43266914.874118902</v>
      </c>
      <c r="L38" s="10"/>
      <c r="M38" s="14"/>
    </row>
    <row r="39" spans="1:13" x14ac:dyDescent="0.2">
      <c r="A39" s="32">
        <v>38353</v>
      </c>
      <c r="B39" s="129">
        <f>'[15]Data Input'!B47</f>
        <v>46807180</v>
      </c>
      <c r="C39" s="17">
        <f t="shared" ref="C39:D39" si="24">C27</f>
        <v>693.29285714285732</v>
      </c>
      <c r="D39" s="130">
        <f t="shared" si="24"/>
        <v>0</v>
      </c>
      <c r="E39" s="17">
        <v>31</v>
      </c>
      <c r="F39" s="17">
        <v>0</v>
      </c>
      <c r="G39" s="17">
        <v>319.92</v>
      </c>
      <c r="H39" s="17">
        <v>0</v>
      </c>
      <c r="I39" s="35">
        <v>130.74370215685079</v>
      </c>
      <c r="J39" s="17">
        <f>'[15]Data Input'!AJ47</f>
        <v>20702</v>
      </c>
      <c r="K39" s="17">
        <f t="shared" si="0"/>
        <v>44192647.823651947</v>
      </c>
      <c r="L39" s="10"/>
      <c r="M39" s="14"/>
    </row>
    <row r="40" spans="1:13" x14ac:dyDescent="0.2">
      <c r="A40" s="32">
        <v>38384</v>
      </c>
      <c r="B40" s="129">
        <f>'[15]Data Input'!B48</f>
        <v>41117740</v>
      </c>
      <c r="C40" s="17">
        <f t="shared" ref="C40:D40" si="25">C28</f>
        <v>646.2071428571428</v>
      </c>
      <c r="D40" s="130">
        <f t="shared" si="25"/>
        <v>0</v>
      </c>
      <c r="E40" s="17">
        <v>28</v>
      </c>
      <c r="F40" s="17">
        <v>0</v>
      </c>
      <c r="G40" s="17">
        <v>319.87200000000001</v>
      </c>
      <c r="H40" s="17">
        <v>0</v>
      </c>
      <c r="I40" s="35">
        <v>131.0342966778299</v>
      </c>
      <c r="J40" s="17">
        <f>'[15]Data Input'!AJ48</f>
        <v>20700</v>
      </c>
      <c r="K40" s="17">
        <f t="shared" si="0"/>
        <v>41494097.591412008</v>
      </c>
      <c r="L40" s="10"/>
      <c r="M40" s="14"/>
    </row>
    <row r="41" spans="1:13" x14ac:dyDescent="0.2">
      <c r="A41" s="32">
        <v>38412</v>
      </c>
      <c r="B41" s="129">
        <f>'[15]Data Input'!B49</f>
        <v>44324530</v>
      </c>
      <c r="C41" s="17">
        <f t="shared" ref="C41:D41" si="26">C29</f>
        <v>538.09285714285716</v>
      </c>
      <c r="D41" s="130">
        <f t="shared" si="26"/>
        <v>0</v>
      </c>
      <c r="E41" s="17">
        <v>31</v>
      </c>
      <c r="F41" s="17">
        <v>0</v>
      </c>
      <c r="G41" s="17">
        <v>351.91199999999998</v>
      </c>
      <c r="H41" s="17">
        <v>1</v>
      </c>
      <c r="I41" s="35">
        <v>131.32553708212293</v>
      </c>
      <c r="J41" s="17">
        <f>'[15]Data Input'!AJ49</f>
        <v>20659</v>
      </c>
      <c r="K41" s="17">
        <f t="shared" si="0"/>
        <v>42450756.995127946</v>
      </c>
      <c r="L41" s="10"/>
      <c r="M41" s="14"/>
    </row>
    <row r="42" spans="1:13" x14ac:dyDescent="0.2">
      <c r="A42" s="32">
        <v>38443</v>
      </c>
      <c r="B42" s="129">
        <f>'[15]Data Input'!B50</f>
        <v>39294850</v>
      </c>
      <c r="C42" s="17">
        <f t="shared" ref="C42:D42" si="27">C30</f>
        <v>314.69285714285712</v>
      </c>
      <c r="D42" s="130">
        <f t="shared" si="27"/>
        <v>0.59285714285714275</v>
      </c>
      <c r="E42" s="17">
        <v>30</v>
      </c>
      <c r="F42" s="17">
        <v>0</v>
      </c>
      <c r="G42" s="17">
        <v>336.24</v>
      </c>
      <c r="H42" s="17">
        <v>1</v>
      </c>
      <c r="I42" s="35">
        <v>131.61742480528775</v>
      </c>
      <c r="J42" s="17">
        <f>'[15]Data Input'!AJ50</f>
        <v>20681</v>
      </c>
      <c r="K42" s="17">
        <f t="shared" si="0"/>
        <v>39009040.816580772</v>
      </c>
      <c r="L42" s="10"/>
      <c r="M42" s="14"/>
    </row>
    <row r="43" spans="1:13" x14ac:dyDescent="0.2">
      <c r="A43" s="32">
        <v>38473</v>
      </c>
      <c r="B43" s="129">
        <f>'[15]Data Input'!B51</f>
        <v>38503630</v>
      </c>
      <c r="C43" s="17">
        <f t="shared" ref="C43:D43" si="28">C31</f>
        <v>143.67857142857142</v>
      </c>
      <c r="D43" s="130">
        <f t="shared" si="28"/>
        <v>14.428571428571429</v>
      </c>
      <c r="E43" s="17">
        <v>31</v>
      </c>
      <c r="F43" s="17">
        <v>0</v>
      </c>
      <c r="G43" s="17">
        <v>336.28800000000001</v>
      </c>
      <c r="H43" s="17">
        <v>1</v>
      </c>
      <c r="I43" s="35">
        <v>131.90996128607298</v>
      </c>
      <c r="J43" s="17">
        <f>'[15]Data Input'!AJ51</f>
        <v>20636</v>
      </c>
      <c r="K43" s="17">
        <f t="shared" si="0"/>
        <v>39032795.291702516</v>
      </c>
      <c r="L43" s="10"/>
      <c r="M43" s="14"/>
    </row>
    <row r="44" spans="1:13" x14ac:dyDescent="0.2">
      <c r="A44" s="32">
        <v>38504</v>
      </c>
      <c r="B44" s="129">
        <f>'[15]Data Input'!B52</f>
        <v>43469730</v>
      </c>
      <c r="C44" s="17">
        <f t="shared" ref="C44:D44" si="29">C32</f>
        <v>28.635714285714283</v>
      </c>
      <c r="D44" s="130">
        <f t="shared" si="29"/>
        <v>59.24285714285714</v>
      </c>
      <c r="E44" s="17">
        <v>30</v>
      </c>
      <c r="F44" s="17">
        <v>0</v>
      </c>
      <c r="G44" s="17">
        <v>352.08</v>
      </c>
      <c r="H44" s="17">
        <v>0</v>
      </c>
      <c r="I44" s="35">
        <v>132.20314796642501</v>
      </c>
      <c r="J44" s="17">
        <f>'[15]Data Input'!AJ52</f>
        <v>20624</v>
      </c>
      <c r="K44" s="17">
        <f t="shared" si="0"/>
        <v>41917614.574946456</v>
      </c>
      <c r="L44" s="10"/>
      <c r="M44" s="14"/>
    </row>
    <row r="45" spans="1:13" x14ac:dyDescent="0.2">
      <c r="A45" s="32">
        <v>38534</v>
      </c>
      <c r="B45" s="129">
        <f>'[15]Data Input'!B53</f>
        <v>51308440</v>
      </c>
      <c r="C45" s="17">
        <f t="shared" ref="C45:D45" si="30">C33</f>
        <v>4.7928571428571436</v>
      </c>
      <c r="D45" s="130">
        <f t="shared" si="30"/>
        <v>112.94285714285714</v>
      </c>
      <c r="E45" s="17">
        <v>31</v>
      </c>
      <c r="F45" s="17">
        <v>0</v>
      </c>
      <c r="G45" s="17">
        <v>319.92</v>
      </c>
      <c r="H45" s="17">
        <v>0</v>
      </c>
      <c r="I45" s="35">
        <v>132.49698629149512</v>
      </c>
      <c r="J45" s="17">
        <f>'[15]Data Input'!AJ53</f>
        <v>20638</v>
      </c>
      <c r="K45" s="17">
        <f t="shared" si="0"/>
        <v>45942146.214878075</v>
      </c>
      <c r="L45" s="10"/>
      <c r="M45" s="14"/>
    </row>
    <row r="46" spans="1:13" x14ac:dyDescent="0.2">
      <c r="A46" s="32">
        <v>38565</v>
      </c>
      <c r="B46" s="129">
        <f>'[15]Data Input'!B54</f>
        <v>48784110</v>
      </c>
      <c r="C46" s="17">
        <f t="shared" ref="C46:D46" si="31">C34</f>
        <v>8.1785714285714288</v>
      </c>
      <c r="D46" s="130">
        <f t="shared" si="31"/>
        <v>88.214285714285694</v>
      </c>
      <c r="E46" s="17">
        <v>31</v>
      </c>
      <c r="F46" s="17">
        <v>0</v>
      </c>
      <c r="G46" s="17">
        <v>351.91199999999998</v>
      </c>
      <c r="H46" s="17">
        <v>0</v>
      </c>
      <c r="I46" s="35">
        <v>132.79147770964664</v>
      </c>
      <c r="J46" s="17">
        <f>'[15]Data Input'!AJ54</f>
        <v>20601</v>
      </c>
      <c r="K46" s="17">
        <f t="shared" si="0"/>
        <v>44758228.536760554</v>
      </c>
      <c r="L46" s="10"/>
      <c r="M46" s="14"/>
    </row>
    <row r="47" spans="1:13" x14ac:dyDescent="0.2">
      <c r="A47" s="32">
        <v>38596</v>
      </c>
      <c r="B47" s="129">
        <f>'[15]Data Input'!B55</f>
        <v>41264120</v>
      </c>
      <c r="C47" s="17">
        <f t="shared" ref="C47:D47" si="32">C35</f>
        <v>58.871428571428574</v>
      </c>
      <c r="D47" s="130">
        <f t="shared" si="32"/>
        <v>33.699999999999989</v>
      </c>
      <c r="E47" s="17">
        <v>30</v>
      </c>
      <c r="F47" s="17">
        <v>0</v>
      </c>
      <c r="G47" s="17">
        <v>336.24</v>
      </c>
      <c r="H47" s="17">
        <v>1</v>
      </c>
      <c r="I47" s="35">
        <v>133.08662367246211</v>
      </c>
      <c r="J47" s="17">
        <f>'[15]Data Input'!AJ55</f>
        <v>20620</v>
      </c>
      <c r="K47" s="17">
        <f t="shared" si="0"/>
        <v>38946434.546832748</v>
      </c>
      <c r="L47" s="10"/>
      <c r="M47" s="14"/>
    </row>
    <row r="48" spans="1:13" x14ac:dyDescent="0.2">
      <c r="A48" s="32">
        <v>38626</v>
      </c>
      <c r="B48" s="129">
        <f>'[15]Data Input'!B56</f>
        <v>40426860</v>
      </c>
      <c r="C48" s="17">
        <f t="shared" ref="C48:D48" si="33">C36</f>
        <v>236.51428571428571</v>
      </c>
      <c r="D48" s="130">
        <f t="shared" si="33"/>
        <v>3.7357142857142862</v>
      </c>
      <c r="E48" s="17">
        <v>31</v>
      </c>
      <c r="F48" s="17">
        <v>0</v>
      </c>
      <c r="G48" s="17">
        <v>319.92</v>
      </c>
      <c r="H48" s="17">
        <v>1</v>
      </c>
      <c r="I48" s="35">
        <v>133.38242563475035</v>
      </c>
      <c r="J48" s="17">
        <f>'[15]Data Input'!AJ56</f>
        <v>20641</v>
      </c>
      <c r="K48" s="17">
        <f t="shared" si="0"/>
        <v>38768164.785268389</v>
      </c>
      <c r="L48" s="10"/>
      <c r="M48" s="14"/>
    </row>
    <row r="49" spans="1:13" x14ac:dyDescent="0.2">
      <c r="A49" s="32">
        <v>38657</v>
      </c>
      <c r="B49" s="129">
        <f>'[15]Data Input'!B57</f>
        <v>41421880</v>
      </c>
      <c r="C49" s="17">
        <f t="shared" ref="C49:D49" si="34">C37</f>
        <v>378.76428571428568</v>
      </c>
      <c r="D49" s="130">
        <f t="shared" si="34"/>
        <v>0</v>
      </c>
      <c r="E49" s="17">
        <v>30</v>
      </c>
      <c r="F49" s="17">
        <v>0</v>
      </c>
      <c r="G49" s="17">
        <v>352.08</v>
      </c>
      <c r="H49" s="17">
        <v>1</v>
      </c>
      <c r="I49" s="35">
        <v>133.67888505455369</v>
      </c>
      <c r="J49" s="17">
        <f>'[15]Data Input'!AJ57</f>
        <v>20652</v>
      </c>
      <c r="K49" s="17">
        <f t="shared" si="0"/>
        <v>40025071.814727567</v>
      </c>
      <c r="L49" s="10"/>
      <c r="M49" s="14"/>
    </row>
    <row r="50" spans="1:13" x14ac:dyDescent="0.2">
      <c r="A50" s="32">
        <v>38687</v>
      </c>
      <c r="B50" s="129">
        <f>'[15]Data Input'!B58</f>
        <v>44051790</v>
      </c>
      <c r="C50" s="17">
        <f t="shared" ref="C50:D50" si="35">C38</f>
        <v>569.47857142857151</v>
      </c>
      <c r="D50" s="130">
        <f t="shared" si="35"/>
        <v>0</v>
      </c>
      <c r="E50" s="17">
        <v>31</v>
      </c>
      <c r="F50" s="17">
        <v>0</v>
      </c>
      <c r="G50" s="17">
        <v>319.92</v>
      </c>
      <c r="H50" s="17">
        <v>0</v>
      </c>
      <c r="I50" s="35">
        <v>133.97600339315525</v>
      </c>
      <c r="J50" s="17">
        <f>'[15]Data Input'!AJ58</f>
        <v>20740</v>
      </c>
      <c r="K50" s="17">
        <f t="shared" si="0"/>
        <v>42873250.910129763</v>
      </c>
      <c r="L50" s="10"/>
      <c r="M50" s="14"/>
    </row>
    <row r="51" spans="1:13" x14ac:dyDescent="0.2">
      <c r="A51" s="32">
        <v>38718</v>
      </c>
      <c r="B51" s="129">
        <f>'[15]Data Input'!B61</f>
        <v>43192750</v>
      </c>
      <c r="C51" s="17">
        <f t="shared" ref="C51:D51" si="36">C39</f>
        <v>693.29285714285732</v>
      </c>
      <c r="D51" s="130">
        <f t="shared" si="36"/>
        <v>0</v>
      </c>
      <c r="E51" s="17">
        <v>31</v>
      </c>
      <c r="F51" s="17">
        <f>'CDM Activity'!B20</f>
        <v>10209.288328229812</v>
      </c>
      <c r="G51" s="17">
        <v>336.28800000000001</v>
      </c>
      <c r="H51" s="17">
        <v>0</v>
      </c>
      <c r="I51" s="35">
        <v>134.25197202423305</v>
      </c>
      <c r="J51" s="17">
        <f>'[15]Data Input'!AJ61</f>
        <v>20858</v>
      </c>
      <c r="K51" s="17">
        <f t="shared" si="0"/>
        <v>44505606.379660025</v>
      </c>
      <c r="L51" s="10"/>
      <c r="M51" s="14"/>
    </row>
    <row r="52" spans="1:13" x14ac:dyDescent="0.2">
      <c r="A52" s="32">
        <v>38749</v>
      </c>
      <c r="B52" s="129">
        <f>'[15]Data Input'!B62</f>
        <v>39863550</v>
      </c>
      <c r="C52" s="17">
        <f t="shared" ref="C52:D52" si="37">C40</f>
        <v>646.2071428571428</v>
      </c>
      <c r="D52" s="130">
        <f t="shared" si="37"/>
        <v>0</v>
      </c>
      <c r="E52" s="17">
        <v>28</v>
      </c>
      <c r="F52" s="17">
        <f>'CDM Activity'!B21</f>
        <v>20418.576656459623</v>
      </c>
      <c r="G52" s="17">
        <v>319.87200000000001</v>
      </c>
      <c r="H52" s="17">
        <v>0</v>
      </c>
      <c r="I52" s="35">
        <v>134.52850910550649</v>
      </c>
      <c r="J52" s="17">
        <f>'[15]Data Input'!AJ62</f>
        <v>20902</v>
      </c>
      <c r="K52" s="17">
        <f t="shared" si="0"/>
        <v>41332686.775449887</v>
      </c>
      <c r="L52" s="10"/>
      <c r="M52" s="14"/>
    </row>
    <row r="53" spans="1:13" x14ac:dyDescent="0.2">
      <c r="A53" s="32">
        <v>38777</v>
      </c>
      <c r="B53" s="129">
        <f>'[15]Data Input'!B63</f>
        <v>42675980</v>
      </c>
      <c r="C53" s="17">
        <f t="shared" ref="C53:D53" si="38">C41</f>
        <v>538.09285714285716</v>
      </c>
      <c r="D53" s="130">
        <f t="shared" si="38"/>
        <v>0</v>
      </c>
      <c r="E53" s="17">
        <v>31</v>
      </c>
      <c r="F53" s="17">
        <f>'CDM Activity'!B22</f>
        <v>30627.864984689433</v>
      </c>
      <c r="G53" s="17">
        <v>368.28</v>
      </c>
      <c r="H53" s="17">
        <v>1</v>
      </c>
      <c r="I53" s="35">
        <v>134.80561580788986</v>
      </c>
      <c r="J53" s="17">
        <f>'[15]Data Input'!AJ63</f>
        <v>20845</v>
      </c>
      <c r="K53" s="17">
        <f t="shared" si="0"/>
        <v>42602304.735173911</v>
      </c>
      <c r="L53" s="10"/>
      <c r="M53" s="14"/>
    </row>
    <row r="54" spans="1:13" x14ac:dyDescent="0.2">
      <c r="A54" s="32">
        <v>38808</v>
      </c>
      <c r="B54" s="129">
        <f>'[15]Data Input'!B64</f>
        <v>34740070</v>
      </c>
      <c r="C54" s="17">
        <f t="shared" ref="C54:D54" si="39">C42</f>
        <v>314.69285714285712</v>
      </c>
      <c r="D54" s="130">
        <f t="shared" si="39"/>
        <v>0.59285714285714275</v>
      </c>
      <c r="E54" s="17">
        <v>30</v>
      </c>
      <c r="F54" s="17">
        <f>'CDM Activity'!B23</f>
        <v>40837.153312919247</v>
      </c>
      <c r="G54" s="17">
        <v>303.83999999999997</v>
      </c>
      <c r="H54" s="17">
        <v>1</v>
      </c>
      <c r="I54" s="35">
        <v>135.08329330470943</v>
      </c>
      <c r="J54" s="17">
        <f>'[15]Data Input'!AJ64</f>
        <v>20839</v>
      </c>
      <c r="K54" s="17">
        <f t="shared" si="0"/>
        <v>37906972.335117921</v>
      </c>
      <c r="L54" s="10"/>
      <c r="M54" s="14"/>
    </row>
    <row r="55" spans="1:13" x14ac:dyDescent="0.2">
      <c r="A55" s="32">
        <v>38838</v>
      </c>
      <c r="B55" s="129">
        <f>'[15]Data Input'!B65</f>
        <v>38741980</v>
      </c>
      <c r="C55" s="17">
        <f t="shared" ref="C55:D55" si="40">C43</f>
        <v>143.67857142857142</v>
      </c>
      <c r="D55" s="130">
        <f t="shared" si="40"/>
        <v>14.428571428571429</v>
      </c>
      <c r="E55" s="17">
        <v>31</v>
      </c>
      <c r="F55" s="17">
        <f>'CDM Activity'!B24</f>
        <v>51046.44164114906</v>
      </c>
      <c r="G55" s="17">
        <v>351.91199999999998</v>
      </c>
      <c r="H55" s="17">
        <v>1</v>
      </c>
      <c r="I55" s="35">
        <v>135.36154277170829</v>
      </c>
      <c r="J55" s="17">
        <f>'[15]Data Input'!AJ65</f>
        <v>20801</v>
      </c>
      <c r="K55" s="17">
        <f t="shared" si="0"/>
        <v>39005038.399241395</v>
      </c>
      <c r="L55" s="10"/>
      <c r="M55" s="14"/>
    </row>
    <row r="56" spans="1:13" x14ac:dyDescent="0.2">
      <c r="A56" s="32">
        <v>38869</v>
      </c>
      <c r="B56" s="129">
        <f>'[15]Data Input'!B66</f>
        <v>41837560</v>
      </c>
      <c r="C56" s="17">
        <f t="shared" ref="C56:D56" si="41">C44</f>
        <v>28.635714285714283</v>
      </c>
      <c r="D56" s="130">
        <f t="shared" si="41"/>
        <v>59.24285714285714</v>
      </c>
      <c r="E56" s="17">
        <v>30</v>
      </c>
      <c r="F56" s="17">
        <f>'CDM Activity'!B25</f>
        <v>61255.729969378874</v>
      </c>
      <c r="G56" s="17">
        <v>352.08</v>
      </c>
      <c r="H56" s="17">
        <v>0</v>
      </c>
      <c r="I56" s="35">
        <v>135.64036538705133</v>
      </c>
      <c r="J56" s="17">
        <f>'[15]Data Input'!AJ66</f>
        <v>20769</v>
      </c>
      <c r="K56" s="17">
        <f t="shared" si="0"/>
        <v>41433382.1270601</v>
      </c>
      <c r="L56" s="10"/>
      <c r="M56" s="14"/>
    </row>
    <row r="57" spans="1:13" x14ac:dyDescent="0.2">
      <c r="A57" s="32">
        <v>38899</v>
      </c>
      <c r="B57" s="129">
        <f>'[15]Data Input'!B67</f>
        <v>47715260</v>
      </c>
      <c r="C57" s="17">
        <f t="shared" ref="C57:D57" si="42">C45</f>
        <v>4.7928571428571436</v>
      </c>
      <c r="D57" s="130">
        <f t="shared" si="42"/>
        <v>112.94285714285714</v>
      </c>
      <c r="E57" s="17">
        <v>31</v>
      </c>
      <c r="F57" s="17">
        <f>'CDM Activity'!B26</f>
        <v>71465.01829760868</v>
      </c>
      <c r="G57" s="17">
        <v>319.92</v>
      </c>
      <c r="H57" s="17">
        <v>0</v>
      </c>
      <c r="I57" s="35">
        <v>135.9197623313303</v>
      </c>
      <c r="J57" s="17">
        <f>'[15]Data Input'!AJ67</f>
        <v>20730</v>
      </c>
      <c r="K57" s="17">
        <f t="shared" si="0"/>
        <v>45377208.359010667</v>
      </c>
      <c r="L57" s="10"/>
      <c r="M57" s="14"/>
    </row>
    <row r="58" spans="1:13" x14ac:dyDescent="0.2">
      <c r="A58" s="32">
        <v>38930</v>
      </c>
      <c r="B58" s="129">
        <f>'[15]Data Input'!B68</f>
        <v>44325550</v>
      </c>
      <c r="C58" s="17">
        <f t="shared" ref="C58:D58" si="43">C46</f>
        <v>8.1785714285714288</v>
      </c>
      <c r="D58" s="130">
        <f t="shared" si="43"/>
        <v>88.214285714285694</v>
      </c>
      <c r="E58" s="17">
        <v>31</v>
      </c>
      <c r="F58" s="17">
        <f>'CDM Activity'!B27</f>
        <v>81674.306625838493</v>
      </c>
      <c r="G58" s="17">
        <v>351.91199999999998</v>
      </c>
      <c r="H58" s="17">
        <v>0</v>
      </c>
      <c r="I58" s="35">
        <v>136.19973478756879</v>
      </c>
      <c r="J58" s="17">
        <f>'[15]Data Input'!AJ68</f>
        <v>20634</v>
      </c>
      <c r="K58" s="17">
        <f t="shared" si="0"/>
        <v>44112585.272912085</v>
      </c>
      <c r="L58" s="10"/>
      <c r="M58" s="14"/>
    </row>
    <row r="59" spans="1:13" x14ac:dyDescent="0.2">
      <c r="A59" s="32">
        <v>38961</v>
      </c>
      <c r="B59" s="129">
        <f>'[15]Data Input'!B69</f>
        <v>36564730</v>
      </c>
      <c r="C59" s="17">
        <f t="shared" ref="C59:D59" si="44">C47</f>
        <v>58.871428571428574</v>
      </c>
      <c r="D59" s="130">
        <f t="shared" si="44"/>
        <v>33.699999999999989</v>
      </c>
      <c r="E59" s="17">
        <v>30</v>
      </c>
      <c r="F59" s="17">
        <f>'CDM Activity'!B28</f>
        <v>91883.594954068307</v>
      </c>
      <c r="G59" s="17">
        <v>319.68</v>
      </c>
      <c r="H59" s="17">
        <v>1</v>
      </c>
      <c r="I59" s="35">
        <v>136.48028394122719</v>
      </c>
      <c r="J59" s="17">
        <f>'[15]Data Input'!AJ69</f>
        <v>20765</v>
      </c>
      <c r="K59" s="17">
        <f t="shared" si="0"/>
        <v>37821804.151905708</v>
      </c>
      <c r="L59" s="10"/>
      <c r="M59" s="14"/>
    </row>
    <row r="60" spans="1:13" x14ac:dyDescent="0.2">
      <c r="A60" s="32">
        <v>38991</v>
      </c>
      <c r="B60" s="129">
        <f>'[15]Data Input'!B70</f>
        <v>38815730</v>
      </c>
      <c r="C60" s="17">
        <f t="shared" ref="C60:D60" si="45">C48</f>
        <v>236.51428571428571</v>
      </c>
      <c r="D60" s="130">
        <f t="shared" si="45"/>
        <v>3.7357142857142862</v>
      </c>
      <c r="E60" s="17">
        <v>31</v>
      </c>
      <c r="F60" s="17">
        <f>'CDM Activity'!B29</f>
        <v>102092.88328229812</v>
      </c>
      <c r="G60" s="17">
        <v>336.28800000000001</v>
      </c>
      <c r="H60" s="17">
        <v>1</v>
      </c>
      <c r="I60" s="35">
        <v>136.76141098020776</v>
      </c>
      <c r="J60" s="17">
        <f>'[15]Data Input'!AJ70</f>
        <v>20724</v>
      </c>
      <c r="K60" s="17">
        <f t="shared" si="0"/>
        <v>38354774.669446938</v>
      </c>
      <c r="L60" s="10"/>
      <c r="M60" s="14"/>
    </row>
    <row r="61" spans="1:13" x14ac:dyDescent="0.2">
      <c r="A61" s="32">
        <v>39022</v>
      </c>
      <c r="B61" s="129">
        <f>'[15]Data Input'!B71</f>
        <v>39427080</v>
      </c>
      <c r="C61" s="17">
        <f t="shared" ref="C61:D61" si="46">C49</f>
        <v>378.76428571428568</v>
      </c>
      <c r="D61" s="130">
        <f t="shared" si="46"/>
        <v>0</v>
      </c>
      <c r="E61" s="17">
        <v>30</v>
      </c>
      <c r="F61" s="17">
        <f>'CDM Activity'!B30</f>
        <v>112302.17161052793</v>
      </c>
      <c r="G61" s="17">
        <v>352.08</v>
      </c>
      <c r="H61" s="17">
        <v>1</v>
      </c>
      <c r="I61" s="35">
        <v>137.04311709485967</v>
      </c>
      <c r="J61" s="17">
        <f>'[15]Data Input'!AJ71</f>
        <v>20776</v>
      </c>
      <c r="K61" s="17">
        <f t="shared" si="0"/>
        <v>39137312.326935925</v>
      </c>
      <c r="L61" s="10"/>
      <c r="M61" s="14"/>
    </row>
    <row r="62" spans="1:13" x14ac:dyDescent="0.2">
      <c r="A62" s="32">
        <v>39052</v>
      </c>
      <c r="B62" s="129">
        <f>'[15]Data Input'!B72</f>
        <v>40481750</v>
      </c>
      <c r="C62" s="17">
        <f t="shared" ref="C62:D62" si="47">C50</f>
        <v>569.47857142857151</v>
      </c>
      <c r="D62" s="130">
        <f t="shared" si="47"/>
        <v>0</v>
      </c>
      <c r="E62" s="17">
        <v>31</v>
      </c>
      <c r="F62" s="17">
        <f>'CDM Activity'!B31</f>
        <v>122511.45993875775</v>
      </c>
      <c r="G62" s="17">
        <v>304.29599999999999</v>
      </c>
      <c r="H62" s="17">
        <v>0</v>
      </c>
      <c r="I62" s="35">
        <v>137.32540347798411</v>
      </c>
      <c r="J62" s="17">
        <f>'[15]Data Input'!AJ72</f>
        <v>20889</v>
      </c>
      <c r="K62" s="17">
        <f t="shared" si="0"/>
        <v>41529015.866912887</v>
      </c>
      <c r="L62" s="10"/>
      <c r="M62" s="14"/>
    </row>
    <row r="63" spans="1:13" x14ac:dyDescent="0.2">
      <c r="A63" s="32">
        <v>39083</v>
      </c>
      <c r="B63" s="129">
        <f>'[15]Data Input'!B75</f>
        <v>43659020</v>
      </c>
      <c r="C63" s="17">
        <f t="shared" ref="C63:D63" si="48">C51</f>
        <v>693.29285714285732</v>
      </c>
      <c r="D63" s="130">
        <f t="shared" si="48"/>
        <v>0</v>
      </c>
      <c r="E63" s="17">
        <v>31</v>
      </c>
      <c r="F63" s="17">
        <f>'CDM Activity'!B32</f>
        <v>128921.351068262</v>
      </c>
      <c r="G63" s="17">
        <v>351.91199999999998</v>
      </c>
      <c r="H63" s="17">
        <v>0</v>
      </c>
      <c r="I63" s="35">
        <v>137.552207546647</v>
      </c>
      <c r="J63" s="17">
        <f>'[15]Data Input'!AJ75</f>
        <v>20925</v>
      </c>
      <c r="K63" s="17">
        <f t="shared" si="0"/>
        <v>43942946.232289664</v>
      </c>
      <c r="L63" s="10"/>
      <c r="M63" s="14"/>
    </row>
    <row r="64" spans="1:13" x14ac:dyDescent="0.2">
      <c r="A64" s="32">
        <v>39114</v>
      </c>
      <c r="B64" s="129">
        <f>'[15]Data Input'!B76</f>
        <v>42004080</v>
      </c>
      <c r="C64" s="17">
        <f t="shared" ref="C64:D64" si="49">C52</f>
        <v>646.2071428571428</v>
      </c>
      <c r="D64" s="130">
        <f t="shared" si="49"/>
        <v>0</v>
      </c>
      <c r="E64" s="17">
        <v>28</v>
      </c>
      <c r="F64" s="17">
        <f>'CDM Activity'!B33</f>
        <v>135331.24219776626</v>
      </c>
      <c r="G64" s="17">
        <v>319.87200000000001</v>
      </c>
      <c r="H64" s="17">
        <v>0</v>
      </c>
      <c r="I64" s="35">
        <v>137.77938620066888</v>
      </c>
      <c r="J64" s="17">
        <f>'[15]Data Input'!AJ76</f>
        <v>20950</v>
      </c>
      <c r="K64" s="17">
        <f t="shared" si="0"/>
        <v>40424291.081593513</v>
      </c>
      <c r="L64" s="10"/>
      <c r="M64" s="14"/>
    </row>
    <row r="65" spans="1:20" x14ac:dyDescent="0.2">
      <c r="A65" s="32">
        <v>39142</v>
      </c>
      <c r="B65" s="129">
        <f>'[15]Data Input'!B77</f>
        <v>41099580</v>
      </c>
      <c r="C65" s="17">
        <f t="shared" ref="C65:D65" si="50">C53</f>
        <v>538.09285714285716</v>
      </c>
      <c r="D65" s="130">
        <f t="shared" si="50"/>
        <v>0</v>
      </c>
      <c r="E65" s="17">
        <v>31</v>
      </c>
      <c r="F65" s="17">
        <f>'CDM Activity'!B34</f>
        <v>141741.13332727051</v>
      </c>
      <c r="G65" s="17">
        <v>351.91199999999998</v>
      </c>
      <c r="H65" s="17">
        <v>1</v>
      </c>
      <c r="I65" s="35">
        <v>138.00694005870795</v>
      </c>
      <c r="J65" s="17">
        <f>'[15]Data Input'!AJ77</f>
        <v>20904</v>
      </c>
      <c r="K65" s="17">
        <f t="shared" si="0"/>
        <v>41330279.678286567</v>
      </c>
      <c r="L65" s="10"/>
      <c r="M65" s="14"/>
    </row>
    <row r="66" spans="1:20" x14ac:dyDescent="0.2">
      <c r="A66" s="32">
        <v>39173</v>
      </c>
      <c r="B66" s="129">
        <f>'[15]Data Input'!B78</f>
        <v>37578410</v>
      </c>
      <c r="C66" s="17">
        <f t="shared" ref="C66:D66" si="51">C54</f>
        <v>314.69285714285712</v>
      </c>
      <c r="D66" s="130">
        <f t="shared" si="51"/>
        <v>0.59285714285714275</v>
      </c>
      <c r="E66" s="17">
        <v>30</v>
      </c>
      <c r="F66" s="17">
        <f>'CDM Activity'!B35</f>
        <v>148151.02445677476</v>
      </c>
      <c r="G66" s="17">
        <v>319.68</v>
      </c>
      <c r="H66" s="17">
        <v>1</v>
      </c>
      <c r="I66" s="35">
        <v>138.23486974044414</v>
      </c>
      <c r="J66" s="17">
        <f>'[15]Data Input'!AJ78</f>
        <v>20877</v>
      </c>
      <c r="K66" s="17">
        <f t="shared" si="0"/>
        <v>37439610.969618984</v>
      </c>
      <c r="L66" s="10"/>
      <c r="M66" s="14"/>
    </row>
    <row r="67" spans="1:20" x14ac:dyDescent="0.2">
      <c r="A67" s="32">
        <v>39203</v>
      </c>
      <c r="B67" s="129">
        <f>'[15]Data Input'!B79</f>
        <v>37137720</v>
      </c>
      <c r="C67" s="17">
        <f t="shared" ref="C67:D67" si="52">C55</f>
        <v>143.67857142857142</v>
      </c>
      <c r="D67" s="130">
        <f t="shared" si="52"/>
        <v>14.428571428571429</v>
      </c>
      <c r="E67" s="17">
        <v>31</v>
      </c>
      <c r="F67" s="17">
        <f>'CDM Activity'!B36</f>
        <v>154560.91558627901</v>
      </c>
      <c r="G67" s="17">
        <v>351.91199999999998</v>
      </c>
      <c r="H67" s="17">
        <v>1</v>
      </c>
      <c r="I67" s="35">
        <v>138.46317586658083</v>
      </c>
      <c r="J67" s="17">
        <f>'[15]Data Input'!AJ79</f>
        <v>20803</v>
      </c>
      <c r="K67" s="17">
        <f t="shared" si="0"/>
        <v>38186746.508259527</v>
      </c>
      <c r="L67" s="10"/>
      <c r="M67" s="14"/>
    </row>
    <row r="68" spans="1:20" x14ac:dyDescent="0.2">
      <c r="A68" s="32">
        <v>39234</v>
      </c>
      <c r="B68" s="129">
        <f>'[15]Data Input'!B80</f>
        <v>42747830</v>
      </c>
      <c r="C68" s="17">
        <f t="shared" ref="C68:D68" si="53">C56</f>
        <v>28.635714285714283</v>
      </c>
      <c r="D68" s="130">
        <f t="shared" si="53"/>
        <v>59.24285714285714</v>
      </c>
      <c r="E68" s="17">
        <v>30</v>
      </c>
      <c r="F68" s="17">
        <f>'CDM Activity'!B37</f>
        <v>160970.80671578326</v>
      </c>
      <c r="G68" s="17">
        <v>336.24</v>
      </c>
      <c r="H68" s="17">
        <v>0</v>
      </c>
      <c r="I68" s="35">
        <v>138.69185905884657</v>
      </c>
      <c r="J68" s="17">
        <f>'[15]Data Input'!AJ80</f>
        <v>20822</v>
      </c>
      <c r="K68" s="17">
        <f t="shared" ref="K68:K131" si="54">$O$18+$O$19*C68+$O$20*D68+$O$21*E68+$O$22*F68+$O$23*G68+H68*$O$24</f>
        <v>40264159.710595295</v>
      </c>
      <c r="L68" s="10"/>
      <c r="M68" s="14"/>
    </row>
    <row r="69" spans="1:20" x14ac:dyDescent="0.2">
      <c r="A69" s="32">
        <v>39264</v>
      </c>
      <c r="B69" s="129">
        <f>'[15]Data Input'!B81</f>
        <v>41879640</v>
      </c>
      <c r="C69" s="17">
        <f t="shared" ref="C69:D69" si="55">C57</f>
        <v>4.7928571428571436</v>
      </c>
      <c r="D69" s="130">
        <f t="shared" si="55"/>
        <v>112.94285714285714</v>
      </c>
      <c r="E69" s="17">
        <v>31</v>
      </c>
      <c r="F69" s="17">
        <f>'CDM Activity'!B38</f>
        <v>167380.6978452875</v>
      </c>
      <c r="G69" s="17">
        <v>336.28800000000001</v>
      </c>
      <c r="H69" s="17">
        <v>0</v>
      </c>
      <c r="I69" s="35">
        <v>138.92091993999671</v>
      </c>
      <c r="J69" s="17">
        <f>'[15]Data Input'!AJ81</f>
        <v>20767</v>
      </c>
      <c r="K69" s="17">
        <f t="shared" si="54"/>
        <v>45012649.633934259</v>
      </c>
      <c r="L69" s="10"/>
      <c r="M69" s="14"/>
    </row>
    <row r="70" spans="1:20" x14ac:dyDescent="0.2">
      <c r="A70" s="32">
        <v>39295</v>
      </c>
      <c r="B70" s="129">
        <f>'[15]Data Input'!B82</f>
        <v>45846620</v>
      </c>
      <c r="C70" s="17">
        <f t="shared" ref="C70:D70" si="56">C58</f>
        <v>8.1785714285714288</v>
      </c>
      <c r="D70" s="130">
        <f t="shared" si="56"/>
        <v>88.214285714285694</v>
      </c>
      <c r="E70" s="17">
        <v>31</v>
      </c>
      <c r="F70" s="17">
        <f>'CDM Activity'!B39</f>
        <v>173790.58897479175</v>
      </c>
      <c r="G70" s="17">
        <v>351.91199999999998</v>
      </c>
      <c r="H70" s="17">
        <v>0</v>
      </c>
      <c r="I70" s="35">
        <v>139.15035913381516</v>
      </c>
      <c r="J70" s="17">
        <f>'[15]Data Input'!AJ82</f>
        <v>20719</v>
      </c>
      <c r="K70" s="17">
        <f t="shared" si="54"/>
        <v>43384397.184804708</v>
      </c>
      <c r="L70" s="10"/>
      <c r="M70" s="14"/>
    </row>
    <row r="71" spans="1:20" x14ac:dyDescent="0.2">
      <c r="A71" s="32">
        <v>39326</v>
      </c>
      <c r="B71" s="129">
        <f>'[15]Data Input'!B83</f>
        <v>40071090</v>
      </c>
      <c r="C71" s="17">
        <f t="shared" ref="C71:D71" si="57">C59</f>
        <v>58.871428571428574</v>
      </c>
      <c r="D71" s="130">
        <f t="shared" si="57"/>
        <v>33.699999999999989</v>
      </c>
      <c r="E71" s="17">
        <v>30</v>
      </c>
      <c r="F71" s="17">
        <f>'CDM Activity'!B40</f>
        <v>180200.480104296</v>
      </c>
      <c r="G71" s="17">
        <v>303.83999999999997</v>
      </c>
      <c r="H71" s="17">
        <v>1</v>
      </c>
      <c r="I71" s="35">
        <v>139.38017726511606</v>
      </c>
      <c r="J71" s="17">
        <f>'[15]Data Input'!AJ83</f>
        <v>20805</v>
      </c>
      <c r="K71" s="17">
        <f t="shared" si="54"/>
        <v>36742685.5383154</v>
      </c>
      <c r="L71" s="10"/>
      <c r="M71" s="14"/>
    </row>
    <row r="72" spans="1:20" x14ac:dyDescent="0.2">
      <c r="A72" s="32">
        <v>39356</v>
      </c>
      <c r="B72" s="129">
        <f>'[15]Data Input'!B84</f>
        <v>39182630</v>
      </c>
      <c r="C72" s="17">
        <f t="shared" ref="C72:D72" si="58">C60</f>
        <v>236.51428571428571</v>
      </c>
      <c r="D72" s="130">
        <f t="shared" si="58"/>
        <v>3.7357142857142862</v>
      </c>
      <c r="E72" s="17">
        <v>31</v>
      </c>
      <c r="F72" s="17">
        <f>'CDM Activity'!B41</f>
        <v>186610.37123380025</v>
      </c>
      <c r="G72" s="17">
        <v>351.91199999999998</v>
      </c>
      <c r="H72" s="17">
        <v>1</v>
      </c>
      <c r="I72" s="35">
        <v>139.61037495974546</v>
      </c>
      <c r="J72" s="17">
        <f>'[15]Data Input'!AJ84</f>
        <v>20803</v>
      </c>
      <c r="K72" s="17">
        <f t="shared" si="54"/>
        <v>38062425.930700064</v>
      </c>
      <c r="L72" s="10"/>
      <c r="M72" s="14"/>
    </row>
    <row r="73" spans="1:20" x14ac:dyDescent="0.2">
      <c r="A73" s="32">
        <v>39387</v>
      </c>
      <c r="B73" s="129">
        <f>'[15]Data Input'!B85</f>
        <v>40415660</v>
      </c>
      <c r="C73" s="17">
        <f t="shared" ref="C73:D73" si="59">C61</f>
        <v>378.76428571428568</v>
      </c>
      <c r="D73" s="130">
        <f t="shared" si="59"/>
        <v>0</v>
      </c>
      <c r="E73" s="17">
        <v>30</v>
      </c>
      <c r="F73" s="17">
        <f>'CDM Activity'!B42</f>
        <v>193020.2623633045</v>
      </c>
      <c r="G73" s="17">
        <v>352.08</v>
      </c>
      <c r="H73" s="17">
        <v>1</v>
      </c>
      <c r="I73" s="35">
        <v>139.84095284458306</v>
      </c>
      <c r="J73" s="17">
        <f>'[15]Data Input'!AJ85</f>
        <v>20862</v>
      </c>
      <c r="K73" s="17">
        <f t="shared" si="54"/>
        <v>38499228.041703045</v>
      </c>
      <c r="L73" s="10"/>
      <c r="M73" s="14"/>
    </row>
    <row r="74" spans="1:20" x14ac:dyDescent="0.2">
      <c r="A74" s="32">
        <v>39417</v>
      </c>
      <c r="B74" s="129">
        <f>'[15]Data Input'!B86</f>
        <v>42304750</v>
      </c>
      <c r="C74" s="17">
        <f t="shared" ref="C74:D74" si="60">C62</f>
        <v>569.47857142857151</v>
      </c>
      <c r="D74" s="130">
        <f t="shared" si="60"/>
        <v>0</v>
      </c>
      <c r="E74" s="17">
        <v>31</v>
      </c>
      <c r="F74" s="17">
        <f>'CDM Activity'!B43</f>
        <v>199430.15349280875</v>
      </c>
      <c r="G74" s="17">
        <v>304.29599999999999</v>
      </c>
      <c r="H74" s="17">
        <v>0</v>
      </c>
      <c r="I74" s="35">
        <v>140.07191154754381</v>
      </c>
      <c r="J74" s="17">
        <f>'[15]Data Input'!AJ86</f>
        <v>20954</v>
      </c>
      <c r="K74" s="17">
        <f t="shared" si="54"/>
        <v>40920966.182638168</v>
      </c>
      <c r="L74" s="10"/>
      <c r="M74" s="14"/>
    </row>
    <row r="75" spans="1:20" s="15" customFormat="1" x14ac:dyDescent="0.2">
      <c r="A75" s="32">
        <v>39448</v>
      </c>
      <c r="B75" s="129">
        <f>'[15]Data Input'!B89</f>
        <v>43662060</v>
      </c>
      <c r="C75" s="17">
        <f t="shared" ref="C75:D75" si="61">C63</f>
        <v>693.29285714285732</v>
      </c>
      <c r="D75" s="130">
        <f t="shared" si="61"/>
        <v>0</v>
      </c>
      <c r="E75" s="17">
        <v>31</v>
      </c>
      <c r="F75" s="17">
        <f>'CDM Activity'!B44</f>
        <v>209655.3104414409</v>
      </c>
      <c r="G75" s="148">
        <v>352</v>
      </c>
      <c r="H75" s="17">
        <v>0</v>
      </c>
      <c r="I75" s="34">
        <v>139.96642175819056</v>
      </c>
      <c r="J75" s="17">
        <f>'[15]Data Input'!AJ89</f>
        <v>21045</v>
      </c>
      <c r="K75" s="17">
        <f t="shared" si="54"/>
        <v>43306852.977008104</v>
      </c>
      <c r="L75" s="10"/>
      <c r="M75" s="149"/>
      <c r="N75"/>
      <c r="O75"/>
      <c r="P75"/>
      <c r="Q75"/>
      <c r="R75"/>
      <c r="S75"/>
      <c r="T75"/>
    </row>
    <row r="76" spans="1:20" x14ac:dyDescent="0.2">
      <c r="A76" s="32">
        <v>39479</v>
      </c>
      <c r="B76" s="129">
        <f>'[15]Data Input'!B90</f>
        <v>42566180</v>
      </c>
      <c r="C76" s="17">
        <f t="shared" ref="C76:D76" si="62">C64</f>
        <v>646.2071428571428</v>
      </c>
      <c r="D76" s="130">
        <f t="shared" si="62"/>
        <v>0</v>
      </c>
      <c r="E76" s="17">
        <v>29</v>
      </c>
      <c r="F76" s="17">
        <f>'CDM Activity'!B45</f>
        <v>219880.46739007306</v>
      </c>
      <c r="G76" s="148">
        <v>320</v>
      </c>
      <c r="H76" s="17">
        <v>0</v>
      </c>
      <c r="I76" s="34">
        <v>139.86101141442734</v>
      </c>
      <c r="J76" s="17">
        <f>'[15]Data Input'!AJ90</f>
        <v>21097</v>
      </c>
      <c r="K76" s="17">
        <f t="shared" si="54"/>
        <v>40490879.247330889</v>
      </c>
      <c r="L76" s="10"/>
    </row>
    <row r="77" spans="1:20" x14ac:dyDescent="0.2">
      <c r="A77" s="32">
        <v>39508</v>
      </c>
      <c r="B77" s="129">
        <f>'[15]Data Input'!B91</f>
        <v>42057090</v>
      </c>
      <c r="C77" s="17">
        <f t="shared" ref="C77:D77" si="63">C65</f>
        <v>538.09285714285716</v>
      </c>
      <c r="D77" s="130">
        <f t="shared" si="63"/>
        <v>0</v>
      </c>
      <c r="E77" s="17">
        <v>31</v>
      </c>
      <c r="F77" s="17">
        <f>'CDM Activity'!B46</f>
        <v>230105.62433870521</v>
      </c>
      <c r="G77" s="148">
        <v>304</v>
      </c>
      <c r="H77" s="17">
        <v>1</v>
      </c>
      <c r="I77" s="34">
        <v>139.75568045642274</v>
      </c>
      <c r="J77" s="17">
        <f>'[15]Data Input'!AJ91</f>
        <v>21048</v>
      </c>
      <c r="K77" s="17">
        <f t="shared" si="54"/>
        <v>39479426.558047734</v>
      </c>
      <c r="L77" s="10"/>
    </row>
    <row r="78" spans="1:20" x14ac:dyDescent="0.2">
      <c r="A78" s="32">
        <v>39539</v>
      </c>
      <c r="B78" s="129">
        <f>'[15]Data Input'!B92</f>
        <v>37570770</v>
      </c>
      <c r="C78" s="17">
        <f t="shared" ref="C78:D78" si="64">C66</f>
        <v>314.69285714285712</v>
      </c>
      <c r="D78" s="130">
        <f t="shared" si="64"/>
        <v>0.59285714285714275</v>
      </c>
      <c r="E78" s="17">
        <v>30</v>
      </c>
      <c r="F78" s="17">
        <f>'CDM Activity'!B47</f>
        <v>240330.78128733736</v>
      </c>
      <c r="G78" s="148">
        <v>352</v>
      </c>
      <c r="H78" s="17">
        <v>1</v>
      </c>
      <c r="I78" s="34">
        <v>139.65042882439042</v>
      </c>
      <c r="J78" s="17">
        <f>'[15]Data Input'!AJ92</f>
        <v>21037</v>
      </c>
      <c r="K78" s="17">
        <f t="shared" si="54"/>
        <v>37488243.892861672</v>
      </c>
      <c r="L78" s="10"/>
    </row>
    <row r="79" spans="1:20" x14ac:dyDescent="0.2">
      <c r="A79" s="32">
        <v>39569</v>
      </c>
      <c r="B79" s="129">
        <f>'[15]Data Input'!B93</f>
        <v>36307140</v>
      </c>
      <c r="C79" s="17">
        <f t="shared" ref="C79:D79" si="65">C67</f>
        <v>143.67857142857142</v>
      </c>
      <c r="D79" s="130">
        <f t="shared" si="65"/>
        <v>14.428571428571429</v>
      </c>
      <c r="E79" s="17">
        <v>31</v>
      </c>
      <c r="F79" s="17">
        <f>'CDM Activity'!B48</f>
        <v>250555.93823596952</v>
      </c>
      <c r="G79" s="148">
        <v>336</v>
      </c>
      <c r="H79" s="17">
        <v>1</v>
      </c>
      <c r="I79" s="34">
        <v>139.54525645858905</v>
      </c>
      <c r="J79" s="17">
        <f>'[15]Data Input'!AJ93</f>
        <v>21010</v>
      </c>
      <c r="K79" s="17">
        <f t="shared" si="54"/>
        <v>37045199.818220496</v>
      </c>
      <c r="L79" s="10"/>
    </row>
    <row r="80" spans="1:20" x14ac:dyDescent="0.2">
      <c r="A80" s="32">
        <v>39600</v>
      </c>
      <c r="B80" s="129">
        <f>'[15]Data Input'!B94</f>
        <v>41100780</v>
      </c>
      <c r="C80" s="17">
        <f t="shared" ref="C80:D80" si="66">C68</f>
        <v>28.635714285714283</v>
      </c>
      <c r="D80" s="130">
        <f t="shared" si="66"/>
        <v>59.24285714285714</v>
      </c>
      <c r="E80" s="17">
        <v>30</v>
      </c>
      <c r="F80" s="17">
        <f>'CDM Activity'!B49</f>
        <v>260781.09518460167</v>
      </c>
      <c r="G80" s="148">
        <v>336</v>
      </c>
      <c r="H80" s="17">
        <v>0</v>
      </c>
      <c r="I80" s="34">
        <v>139.44016329932234</v>
      </c>
      <c r="J80" s="17">
        <f>'[15]Data Input'!AJ94</f>
        <v>20943</v>
      </c>
      <c r="K80" s="17">
        <f t="shared" si="54"/>
        <v>39469377.563846022</v>
      </c>
      <c r="L80" s="10"/>
    </row>
    <row r="81" spans="1:20" x14ac:dyDescent="0.2">
      <c r="A81" s="32">
        <v>39630</v>
      </c>
      <c r="B81" s="129">
        <f>'[15]Data Input'!B95</f>
        <v>44714390</v>
      </c>
      <c r="C81" s="17">
        <f t="shared" ref="C81:D81" si="67">C69</f>
        <v>4.7928571428571436</v>
      </c>
      <c r="D81" s="130">
        <f t="shared" si="67"/>
        <v>112.94285714285714</v>
      </c>
      <c r="E81" s="17">
        <v>31</v>
      </c>
      <c r="F81" s="17">
        <f>'CDM Activity'!B50</f>
        <v>271006.25213323382</v>
      </c>
      <c r="G81" s="148">
        <v>352</v>
      </c>
      <c r="H81" s="17">
        <v>0</v>
      </c>
      <c r="I81" s="34">
        <v>139.3351492869389</v>
      </c>
      <c r="J81" s="17">
        <f>'[15]Data Input'!AJ95</f>
        <v>20876</v>
      </c>
      <c r="K81" s="17">
        <f t="shared" si="54"/>
        <v>44571366.262507789</v>
      </c>
      <c r="L81" s="10"/>
    </row>
    <row r="82" spans="1:20" x14ac:dyDescent="0.2">
      <c r="A82" s="32">
        <v>39661</v>
      </c>
      <c r="B82" s="129">
        <f>'[15]Data Input'!B96</f>
        <v>41138100</v>
      </c>
      <c r="C82" s="17">
        <f t="shared" ref="C82:D82" si="68">C70</f>
        <v>8.1785714285714288</v>
      </c>
      <c r="D82" s="130">
        <f t="shared" si="68"/>
        <v>88.214285714285694</v>
      </c>
      <c r="E82" s="17">
        <v>31</v>
      </c>
      <c r="F82" s="17">
        <f>'CDM Activity'!B51</f>
        <v>281231.40908186598</v>
      </c>
      <c r="G82" s="148">
        <v>320</v>
      </c>
      <c r="H82" s="17">
        <v>0</v>
      </c>
      <c r="I82" s="34">
        <v>139.23021436183228</v>
      </c>
      <c r="J82" s="17">
        <f>'[15]Data Input'!AJ96</f>
        <v>20898</v>
      </c>
      <c r="K82" s="17">
        <f t="shared" si="54"/>
        <v>41767557.103939719</v>
      </c>
      <c r="L82" s="10"/>
    </row>
    <row r="83" spans="1:20" x14ac:dyDescent="0.2">
      <c r="A83" s="32">
        <v>39692</v>
      </c>
      <c r="B83" s="129">
        <f>'[15]Data Input'!B97</f>
        <v>39609350</v>
      </c>
      <c r="C83" s="17">
        <f t="shared" ref="C83:D83" si="69">C71</f>
        <v>58.871428571428574</v>
      </c>
      <c r="D83" s="130">
        <f t="shared" si="69"/>
        <v>33.699999999999989</v>
      </c>
      <c r="E83" s="17">
        <v>30</v>
      </c>
      <c r="F83" s="17">
        <f>'CDM Activity'!B52</f>
        <v>291456.56603049813</v>
      </c>
      <c r="G83" s="148">
        <v>336</v>
      </c>
      <c r="H83" s="17">
        <v>1</v>
      </c>
      <c r="I83" s="34">
        <v>139.12535846444095</v>
      </c>
      <c r="J83" s="17">
        <f>'[15]Data Input'!AJ97</f>
        <v>20867</v>
      </c>
      <c r="K83" s="17">
        <f t="shared" si="54"/>
        <v>36636670.109310195</v>
      </c>
      <c r="L83" s="10"/>
    </row>
    <row r="84" spans="1:20" x14ac:dyDescent="0.2">
      <c r="A84" s="32">
        <v>39722</v>
      </c>
      <c r="B84" s="129">
        <f>'[15]Data Input'!B98</f>
        <v>37751930</v>
      </c>
      <c r="C84" s="17">
        <f t="shared" ref="C84:D84" si="70">C72</f>
        <v>236.51428571428571</v>
      </c>
      <c r="D84" s="130">
        <f t="shared" si="70"/>
        <v>3.7357142857142862</v>
      </c>
      <c r="E84" s="17">
        <v>31</v>
      </c>
      <c r="F84" s="17">
        <f>'CDM Activity'!B53</f>
        <v>301681.72297913028</v>
      </c>
      <c r="G84" s="148">
        <v>352</v>
      </c>
      <c r="H84" s="17">
        <v>1</v>
      </c>
      <c r="I84" s="34">
        <v>139.02058153524823</v>
      </c>
      <c r="J84" s="17">
        <f>'[15]Data Input'!AJ98</f>
        <v>20969</v>
      </c>
      <c r="K84" s="17">
        <f t="shared" si="54"/>
        <v>37154892.280034877</v>
      </c>
      <c r="L84" s="10"/>
    </row>
    <row r="85" spans="1:20" x14ac:dyDescent="0.2">
      <c r="A85" s="32">
        <v>39753</v>
      </c>
      <c r="B85" s="129">
        <f>'[15]Data Input'!B99</f>
        <v>38864960</v>
      </c>
      <c r="C85" s="17">
        <f t="shared" ref="C85:D85" si="71">C73</f>
        <v>378.76428571428568</v>
      </c>
      <c r="D85" s="130">
        <f t="shared" si="71"/>
        <v>0</v>
      </c>
      <c r="E85" s="17">
        <v>30</v>
      </c>
      <c r="F85" s="17">
        <f>'CDM Activity'!B54</f>
        <v>311906.87992776243</v>
      </c>
      <c r="G85" s="148">
        <v>304</v>
      </c>
      <c r="H85" s="17">
        <v>1</v>
      </c>
      <c r="I85" s="34">
        <v>138.91588351478222</v>
      </c>
      <c r="J85" s="17">
        <f>'[15]Data Input'!AJ99</f>
        <v>20995</v>
      </c>
      <c r="K85" s="17">
        <f t="shared" si="54"/>
        <v>36403054.030792274</v>
      </c>
      <c r="L85" s="10"/>
    </row>
    <row r="86" spans="1:20" s="33" customFormat="1" x14ac:dyDescent="0.2">
      <c r="A86" s="32">
        <v>39783</v>
      </c>
      <c r="B86" s="129">
        <f>'[15]Data Input'!B100</f>
        <v>41720160</v>
      </c>
      <c r="C86" s="17">
        <f t="shared" ref="C86:D86" si="72">C74</f>
        <v>569.47857142857151</v>
      </c>
      <c r="D86" s="130">
        <f t="shared" si="72"/>
        <v>0</v>
      </c>
      <c r="E86" s="17">
        <v>31</v>
      </c>
      <c r="F86" s="17">
        <f>'CDM Activity'!B55</f>
        <v>322132.03687639459</v>
      </c>
      <c r="G86" s="148">
        <v>336</v>
      </c>
      <c r="H86" s="17">
        <v>0</v>
      </c>
      <c r="I86" s="34">
        <v>138.8112643436159</v>
      </c>
      <c r="J86" s="17">
        <f>'[15]Data Input'!AJ100</f>
        <v>21113</v>
      </c>
      <c r="K86" s="17">
        <f t="shared" si="54"/>
        <v>40713503.443956032</v>
      </c>
      <c r="L86" s="10"/>
      <c r="M86" s="148"/>
      <c r="N86"/>
      <c r="O86"/>
      <c r="P86"/>
      <c r="Q86"/>
      <c r="R86"/>
      <c r="S86"/>
      <c r="T86"/>
    </row>
    <row r="87" spans="1:20" x14ac:dyDescent="0.2">
      <c r="A87" s="32">
        <v>39814</v>
      </c>
      <c r="B87" s="129">
        <f>'[15]Data Input'!B103</f>
        <v>42696540</v>
      </c>
      <c r="C87" s="17">
        <f t="shared" ref="C87:D87" si="73">C75</f>
        <v>693.29285714285732</v>
      </c>
      <c r="D87" s="130">
        <f t="shared" si="73"/>
        <v>0</v>
      </c>
      <c r="E87" s="17">
        <v>31</v>
      </c>
      <c r="F87" s="17">
        <f>'CDM Activity'!B56</f>
        <v>332158.7806621865</v>
      </c>
      <c r="G87" s="148">
        <v>336</v>
      </c>
      <c r="H87" s="17">
        <v>0</v>
      </c>
      <c r="I87" s="34">
        <v>138.43555825854429</v>
      </c>
      <c r="J87" s="17">
        <f>'[15]Data Input'!AJ103</f>
        <v>21168</v>
      </c>
      <c r="K87" s="17">
        <f t="shared" si="54"/>
        <v>41953637.98169475</v>
      </c>
      <c r="L87" s="10"/>
    </row>
    <row r="88" spans="1:20" x14ac:dyDescent="0.2">
      <c r="A88" s="32">
        <v>39845</v>
      </c>
      <c r="B88" s="129">
        <f>'[15]Data Input'!B104</f>
        <v>35865870</v>
      </c>
      <c r="C88" s="17">
        <f t="shared" ref="C88:D88" si="74">C76</f>
        <v>646.2071428571428</v>
      </c>
      <c r="D88" s="130">
        <f t="shared" si="74"/>
        <v>0</v>
      </c>
      <c r="E88" s="17">
        <v>28</v>
      </c>
      <c r="F88" s="17">
        <f>'CDM Activity'!B57</f>
        <v>342185.52444797842</v>
      </c>
      <c r="G88" s="148">
        <v>304</v>
      </c>
      <c r="H88" s="17">
        <v>0</v>
      </c>
      <c r="I88" s="34">
        <v>138.06086905825526</v>
      </c>
      <c r="J88" s="17">
        <f>'[15]Data Input'!AJ104</f>
        <v>21196</v>
      </c>
      <c r="K88" s="17">
        <f t="shared" si="54"/>
        <v>38407353.295385607</v>
      </c>
      <c r="L88" s="10"/>
    </row>
    <row r="89" spans="1:20" x14ac:dyDescent="0.2">
      <c r="A89" s="32">
        <v>39873</v>
      </c>
      <c r="B89" s="129">
        <f>'[15]Data Input'!B105</f>
        <v>36893370</v>
      </c>
      <c r="C89" s="17">
        <f t="shared" ref="C89:D89" si="75">C77</f>
        <v>538.09285714285716</v>
      </c>
      <c r="D89" s="130">
        <f t="shared" si="75"/>
        <v>0</v>
      </c>
      <c r="E89" s="17">
        <v>31</v>
      </c>
      <c r="F89" s="17">
        <f>'CDM Activity'!B58</f>
        <v>352212.26823377033</v>
      </c>
      <c r="G89" s="148">
        <v>352</v>
      </c>
      <c r="H89" s="17">
        <v>1</v>
      </c>
      <c r="I89" s="34">
        <v>137.68719399045199</v>
      </c>
      <c r="J89" s="17">
        <f>'[15]Data Input'!AJ105</f>
        <v>21181</v>
      </c>
      <c r="K89" s="17">
        <f t="shared" si="54"/>
        <v>39668601.549201928</v>
      </c>
      <c r="L89" s="10"/>
    </row>
    <row r="90" spans="1:20" x14ac:dyDescent="0.2">
      <c r="A90" s="32">
        <v>39904</v>
      </c>
      <c r="B90" s="129">
        <f>'[15]Data Input'!B106</f>
        <v>32546810</v>
      </c>
      <c r="C90" s="17">
        <f t="shared" ref="C90:D90" si="76">C78</f>
        <v>314.69285714285712</v>
      </c>
      <c r="D90" s="130">
        <f t="shared" si="76"/>
        <v>0.59285714285714275</v>
      </c>
      <c r="E90" s="17">
        <v>30</v>
      </c>
      <c r="F90" s="17">
        <f>'CDM Activity'!B59</f>
        <v>362239.01201956224</v>
      </c>
      <c r="G90" s="148">
        <v>320</v>
      </c>
      <c r="H90" s="17">
        <v>1</v>
      </c>
      <c r="I90" s="34">
        <v>137.31453031028698</v>
      </c>
      <c r="J90" s="17">
        <f>'[15]Data Input'!AJ106</f>
        <v>21170</v>
      </c>
      <c r="K90" s="17">
        <f t="shared" si="54"/>
        <v>35754921.064029731</v>
      </c>
      <c r="L90" s="10"/>
      <c r="M90" s="49"/>
    </row>
    <row r="91" spans="1:20" x14ac:dyDescent="0.2">
      <c r="A91" s="32">
        <v>39934</v>
      </c>
      <c r="B91" s="129">
        <f>'[15]Data Input'!B107</f>
        <v>30411992.307692301</v>
      </c>
      <c r="C91" s="17">
        <f t="shared" ref="C91:D91" si="77">C79</f>
        <v>143.67857142857142</v>
      </c>
      <c r="D91" s="130">
        <f t="shared" si="77"/>
        <v>14.428571428571429</v>
      </c>
      <c r="E91" s="17">
        <v>31</v>
      </c>
      <c r="F91" s="17">
        <f>'CDM Activity'!B60</f>
        <v>372265.75580535416</v>
      </c>
      <c r="G91" s="148">
        <v>320</v>
      </c>
      <c r="H91" s="17">
        <v>1</v>
      </c>
      <c r="I91" s="34">
        <v>136.94287528034204</v>
      </c>
      <c r="J91" s="17">
        <f>'[15]Data Input'!AJ107</f>
        <v>21149</v>
      </c>
      <c r="K91" s="17">
        <f t="shared" si="54"/>
        <v>35698258.72359091</v>
      </c>
      <c r="L91" s="10"/>
    </row>
    <row r="92" spans="1:20" x14ac:dyDescent="0.2">
      <c r="A92" s="32">
        <v>39965</v>
      </c>
      <c r="B92" s="129">
        <f>'[15]Data Input'!B108</f>
        <v>32954969.230769198</v>
      </c>
      <c r="C92" s="17">
        <f t="shared" ref="C92:D92" si="78">C80</f>
        <v>28.635714285714283</v>
      </c>
      <c r="D92" s="130">
        <f t="shared" si="78"/>
        <v>59.24285714285714</v>
      </c>
      <c r="E92" s="17">
        <v>30</v>
      </c>
      <c r="F92" s="17">
        <f>'CDM Activity'!B61</f>
        <v>382292.49959114607</v>
      </c>
      <c r="G92" s="148">
        <v>352</v>
      </c>
      <c r="H92" s="17">
        <v>0</v>
      </c>
      <c r="I92" s="34">
        <v>136.57222617060793</v>
      </c>
      <c r="J92" s="17">
        <f>'[15]Data Input'!AJ108</f>
        <v>21118</v>
      </c>
      <c r="K92" s="17">
        <f t="shared" si="54"/>
        <v>38893631.462450214</v>
      </c>
      <c r="L92" s="10"/>
    </row>
    <row r="93" spans="1:20" x14ac:dyDescent="0.2">
      <c r="A93" s="32">
        <v>39995</v>
      </c>
      <c r="B93" s="129">
        <f>'[15]Data Input'!B109</f>
        <v>35112530.769230798</v>
      </c>
      <c r="C93" s="17">
        <f t="shared" ref="C93:D93" si="79">C81</f>
        <v>4.7928571428571436</v>
      </c>
      <c r="D93" s="130">
        <f t="shared" si="79"/>
        <v>112.94285714285714</v>
      </c>
      <c r="E93" s="17">
        <v>31</v>
      </c>
      <c r="F93" s="17">
        <f>'CDM Activity'!B62</f>
        <v>392319.24337693799</v>
      </c>
      <c r="G93" s="148">
        <v>352</v>
      </c>
      <c r="H93" s="17">
        <v>0</v>
      </c>
      <c r="I93" s="34">
        <v>136.20258025846454</v>
      </c>
      <c r="J93" s="17">
        <f>'[15]Data Input'!AJ109</f>
        <v>21020</v>
      </c>
      <c r="K93" s="17">
        <f t="shared" si="54"/>
        <v>43612375.377251513</v>
      </c>
      <c r="L93" s="10"/>
    </row>
    <row r="94" spans="1:20" x14ac:dyDescent="0.2">
      <c r="A94" s="32">
        <v>40026</v>
      </c>
      <c r="B94" s="129">
        <f>'[15]Data Input'!B110</f>
        <v>38795184.615384601</v>
      </c>
      <c r="C94" s="17">
        <f t="shared" ref="C94:D94" si="80">C82</f>
        <v>8.1785714285714288</v>
      </c>
      <c r="D94" s="130">
        <f t="shared" si="80"/>
        <v>88.214285714285694</v>
      </c>
      <c r="E94" s="17">
        <v>31</v>
      </c>
      <c r="F94" s="17">
        <f>'CDM Activity'!B63</f>
        <v>402345.9871627299</v>
      </c>
      <c r="G94" s="148">
        <v>320</v>
      </c>
      <c r="H94" s="17">
        <v>0</v>
      </c>
      <c r="I94" s="34">
        <v>135.83393482866074</v>
      </c>
      <c r="J94" s="17">
        <f>'[15]Data Input'!AJ110</f>
        <v>20991</v>
      </c>
      <c r="K94" s="17">
        <f t="shared" si="54"/>
        <v>40810134.693854384</v>
      </c>
      <c r="L94" s="10"/>
    </row>
    <row r="95" spans="1:20" x14ac:dyDescent="0.2">
      <c r="A95" s="32">
        <v>40057</v>
      </c>
      <c r="B95" s="129">
        <f>'[15]Data Input'!B111</f>
        <v>32382923.076923098</v>
      </c>
      <c r="C95" s="17">
        <f t="shared" ref="C95:D95" si="81">C83</f>
        <v>58.871428571428574</v>
      </c>
      <c r="D95" s="130">
        <f t="shared" si="81"/>
        <v>33.699999999999989</v>
      </c>
      <c r="E95" s="17">
        <v>30</v>
      </c>
      <c r="F95" s="17">
        <f>'CDM Activity'!B64</f>
        <v>412372.73094852181</v>
      </c>
      <c r="G95" s="148">
        <v>336</v>
      </c>
      <c r="H95" s="17">
        <v>1</v>
      </c>
      <c r="I95" s="34">
        <v>135.46628717329455</v>
      </c>
      <c r="J95" s="17">
        <f>'[15]Data Input'!AJ111</f>
        <v>21063</v>
      </c>
      <c r="K95" s="17">
        <f t="shared" si="54"/>
        <v>35680816.174395807</v>
      </c>
      <c r="L95" s="10"/>
    </row>
    <row r="96" spans="1:20" x14ac:dyDescent="0.2">
      <c r="A96" s="32">
        <v>40087</v>
      </c>
      <c r="B96" s="129">
        <f>'[15]Data Input'!B112</f>
        <v>32302730.769230802</v>
      </c>
      <c r="C96" s="17">
        <f t="shared" ref="C96:D96" si="82">C84</f>
        <v>236.51428571428571</v>
      </c>
      <c r="D96" s="130">
        <f t="shared" si="82"/>
        <v>3.7357142857142862</v>
      </c>
      <c r="E96" s="17">
        <v>31</v>
      </c>
      <c r="F96" s="17">
        <f>'CDM Activity'!B65</f>
        <v>422399.47473431373</v>
      </c>
      <c r="G96" s="148">
        <v>336</v>
      </c>
      <c r="H96" s="17">
        <v>1</v>
      </c>
      <c r="I96" s="34">
        <v>135.09963459179312</v>
      </c>
      <c r="J96" s="17">
        <f>'[15]Data Input'!AJ112</f>
        <v>21140</v>
      </c>
      <c r="K96" s="17">
        <f t="shared" si="54"/>
        <v>35815793.561260022</v>
      </c>
      <c r="L96" s="10"/>
    </row>
    <row r="97" spans="1:12" x14ac:dyDescent="0.2">
      <c r="A97" s="32">
        <v>40118</v>
      </c>
      <c r="B97" s="129">
        <f>'[15]Data Input'!B113</f>
        <v>32596484.615384601</v>
      </c>
      <c r="C97" s="17">
        <f t="shared" ref="C97:D97" si="83">C85</f>
        <v>378.76428571428568</v>
      </c>
      <c r="D97" s="130">
        <f t="shared" si="83"/>
        <v>0</v>
      </c>
      <c r="E97" s="17">
        <v>30</v>
      </c>
      <c r="F97" s="17">
        <f>'CDM Activity'!B66</f>
        <v>432426.21852010564</v>
      </c>
      <c r="G97" s="148">
        <v>320</v>
      </c>
      <c r="H97" s="17">
        <v>1</v>
      </c>
      <c r="I97" s="34">
        <v>134.733974390893</v>
      </c>
      <c r="J97" s="17">
        <f>'[15]Data Input'!AJ113</f>
        <v>21205</v>
      </c>
      <c r="K97" s="17">
        <f t="shared" si="54"/>
        <v>35835150.305251181</v>
      </c>
      <c r="L97" s="10"/>
    </row>
    <row r="98" spans="1:12" x14ac:dyDescent="0.2">
      <c r="A98" s="32">
        <v>40148</v>
      </c>
      <c r="B98" s="129">
        <f>'[15]Data Input'!B114</f>
        <v>37057807.692307703</v>
      </c>
      <c r="C98" s="17">
        <f t="shared" ref="C98:D98" si="84">C86</f>
        <v>569.47857142857151</v>
      </c>
      <c r="D98" s="130">
        <f t="shared" si="84"/>
        <v>0</v>
      </c>
      <c r="E98" s="17">
        <v>31</v>
      </c>
      <c r="F98" s="17">
        <f>'CDM Activity'!B67</f>
        <v>442452.96230589756</v>
      </c>
      <c r="G98" s="148">
        <v>352</v>
      </c>
      <c r="H98" s="17">
        <v>0</v>
      </c>
      <c r="I98" s="34">
        <v>134.36930388462019</v>
      </c>
      <c r="J98" s="17">
        <f>'[15]Data Input'!AJ114</f>
        <v>21285</v>
      </c>
      <c r="K98" s="17">
        <f t="shared" si="54"/>
        <v>40147168.193585888</v>
      </c>
      <c r="L98" s="10"/>
    </row>
    <row r="99" spans="1:12" x14ac:dyDescent="0.2">
      <c r="A99" s="32">
        <v>40179</v>
      </c>
      <c r="B99" s="129">
        <f>'[15]Data Input'!B117</f>
        <v>38555453.846153803</v>
      </c>
      <c r="C99" s="17">
        <f t="shared" ref="C99:D99" si="85">C87</f>
        <v>693.29285714285732</v>
      </c>
      <c r="D99" s="130">
        <f t="shared" si="85"/>
        <v>0</v>
      </c>
      <c r="E99" s="17">
        <v>31</v>
      </c>
      <c r="F99" s="17">
        <f>'CDM Activity'!B68</f>
        <v>439903.3128392903</v>
      </c>
      <c r="G99" s="17">
        <v>320</v>
      </c>
      <c r="H99" s="17">
        <v>0</v>
      </c>
      <c r="I99" s="34">
        <v>134.73334561620703</v>
      </c>
      <c r="J99" s="17">
        <f>'[15]Data Input'!AJ117</f>
        <v>21337</v>
      </c>
      <c r="K99" s="17">
        <f t="shared" si="54"/>
        <v>40717093.813757844</v>
      </c>
      <c r="L99" s="10"/>
    </row>
    <row r="100" spans="1:12" x14ac:dyDescent="0.2">
      <c r="A100" s="32">
        <v>40210</v>
      </c>
      <c r="B100" s="129">
        <f>'[15]Data Input'!B118</f>
        <v>35503923.076923102</v>
      </c>
      <c r="C100" s="17">
        <f t="shared" ref="C100:D100" si="86">C88</f>
        <v>646.2071428571428</v>
      </c>
      <c r="D100" s="130">
        <f t="shared" si="86"/>
        <v>0</v>
      </c>
      <c r="E100" s="17">
        <v>28</v>
      </c>
      <c r="F100" s="17">
        <f>'CDM Activity'!B69</f>
        <v>437353.66337268305</v>
      </c>
      <c r="G100" s="17">
        <v>304</v>
      </c>
      <c r="H100" s="17">
        <v>0</v>
      </c>
      <c r="I100" s="34">
        <v>135.09837363244745</v>
      </c>
      <c r="J100" s="17">
        <f>'[15]Data Input'!AJ118</f>
        <v>21373</v>
      </c>
      <c r="K100" s="17">
        <f t="shared" si="54"/>
        <v>37655039.986976184</v>
      </c>
      <c r="L100" s="10"/>
    </row>
    <row r="101" spans="1:12" x14ac:dyDescent="0.2">
      <c r="A101" s="32">
        <v>40238</v>
      </c>
      <c r="B101" s="129">
        <f>'[15]Data Input'!B119</f>
        <v>36616969.230769202</v>
      </c>
      <c r="C101" s="17">
        <f t="shared" ref="C101:D101" si="87">C89</f>
        <v>538.09285714285716</v>
      </c>
      <c r="D101" s="130">
        <f t="shared" si="87"/>
        <v>0</v>
      </c>
      <c r="E101" s="17">
        <v>31</v>
      </c>
      <c r="F101" s="17">
        <f>'CDM Activity'!B70</f>
        <v>434804.01390607579</v>
      </c>
      <c r="G101" s="17">
        <v>368</v>
      </c>
      <c r="H101" s="17">
        <v>1</v>
      </c>
      <c r="I101" s="34">
        <v>135.46439060544563</v>
      </c>
      <c r="J101" s="17">
        <f>'[15]Data Input'!AJ119</f>
        <v>21285</v>
      </c>
      <c r="K101" s="17">
        <f t="shared" si="54"/>
        <v>39400519.100319974</v>
      </c>
      <c r="L101" s="10"/>
    </row>
    <row r="102" spans="1:12" x14ac:dyDescent="0.2">
      <c r="A102" s="32">
        <v>40269</v>
      </c>
      <c r="B102" s="129">
        <f>'[15]Data Input'!B120</f>
        <v>31620684.615384601</v>
      </c>
      <c r="C102" s="17">
        <f t="shared" ref="C102:D102" si="88">C90</f>
        <v>314.69285714285712</v>
      </c>
      <c r="D102" s="130">
        <f t="shared" si="88"/>
        <v>0.59285714285714275</v>
      </c>
      <c r="E102" s="17">
        <v>30</v>
      </c>
      <c r="F102" s="17">
        <f>'CDM Activity'!B71</f>
        <v>432254.36443946854</v>
      </c>
      <c r="G102" s="17">
        <v>320</v>
      </c>
      <c r="H102" s="17">
        <v>1</v>
      </c>
      <c r="I102" s="34">
        <v>135.83139921454512</v>
      </c>
      <c r="J102" s="17">
        <f>'[15]Data Input'!AJ120</f>
        <v>21292</v>
      </c>
      <c r="K102" s="17">
        <f t="shared" si="54"/>
        <v>35201442.956612431</v>
      </c>
      <c r="L102" s="10"/>
    </row>
    <row r="103" spans="1:12" x14ac:dyDescent="0.2">
      <c r="A103" s="32">
        <v>40299</v>
      </c>
      <c r="B103" s="129">
        <f>'[15]Data Input'!B121</f>
        <v>34713300</v>
      </c>
      <c r="C103" s="17">
        <f t="shared" ref="C103:D103" si="89">C91</f>
        <v>143.67857142857142</v>
      </c>
      <c r="D103" s="130">
        <f t="shared" si="89"/>
        <v>14.428571428571429</v>
      </c>
      <c r="E103" s="17">
        <v>31</v>
      </c>
      <c r="F103" s="17">
        <f>'CDM Activity'!B72</f>
        <v>429704.71497286129</v>
      </c>
      <c r="G103" s="17">
        <v>320</v>
      </c>
      <c r="H103" s="17">
        <v>1</v>
      </c>
      <c r="I103" s="34">
        <v>136.19940214634852</v>
      </c>
      <c r="J103" s="17">
        <f>'[15]Data Input'!AJ121</f>
        <v>21256</v>
      </c>
      <c r="K103" s="17">
        <f t="shared" si="54"/>
        <v>35244198.216669686</v>
      </c>
      <c r="L103" s="10"/>
    </row>
    <row r="104" spans="1:12" x14ac:dyDescent="0.2">
      <c r="A104" s="32">
        <v>40330</v>
      </c>
      <c r="B104" s="129">
        <f>'[15]Data Input'!B122</f>
        <v>38175215.384615399</v>
      </c>
      <c r="C104" s="17">
        <f t="shared" ref="C104:D104" si="90">C92</f>
        <v>28.635714285714283</v>
      </c>
      <c r="D104" s="130">
        <f t="shared" si="90"/>
        <v>59.24285714285714</v>
      </c>
      <c r="E104" s="17">
        <v>30</v>
      </c>
      <c r="F104" s="17">
        <f>'CDM Activity'!B73</f>
        <v>427155.06550625403</v>
      </c>
      <c r="G104" s="17">
        <v>352</v>
      </c>
      <c r="H104" s="17">
        <v>0</v>
      </c>
      <c r="I104" s="34">
        <v>136.56840209473719</v>
      </c>
      <c r="J104" s="17">
        <f>'[15]Data Input'!AJ122</f>
        <v>21221</v>
      </c>
      <c r="K104" s="17">
        <f t="shared" si="54"/>
        <v>38538988.556025051</v>
      </c>
      <c r="L104" s="10"/>
    </row>
    <row r="105" spans="1:12" x14ac:dyDescent="0.2">
      <c r="A105" s="32">
        <v>40360</v>
      </c>
      <c r="B105" s="129">
        <f>'[15]Data Input'!B123</f>
        <v>43449461.538461499</v>
      </c>
      <c r="C105" s="17">
        <f t="shared" ref="C105:D105" si="91">C93</f>
        <v>4.7928571428571436</v>
      </c>
      <c r="D105" s="130">
        <f t="shared" si="91"/>
        <v>112.94285714285714</v>
      </c>
      <c r="E105" s="17">
        <v>31</v>
      </c>
      <c r="F105" s="17">
        <f>'CDM Activity'!B74</f>
        <v>424605.41603964678</v>
      </c>
      <c r="G105" s="17">
        <v>336</v>
      </c>
      <c r="H105" s="17">
        <v>0</v>
      </c>
      <c r="I105" s="34">
        <v>136.93840176089088</v>
      </c>
      <c r="J105" s="17">
        <f>'[15]Data Input'!AJ123</f>
        <v>21238</v>
      </c>
      <c r="K105" s="17">
        <f t="shared" si="54"/>
        <v>42972336.812291004</v>
      </c>
      <c r="L105" s="10"/>
    </row>
    <row r="106" spans="1:12" x14ac:dyDescent="0.2">
      <c r="A106" s="32">
        <v>40391</v>
      </c>
      <c r="B106" s="129">
        <f>'[15]Data Input'!B124</f>
        <v>42901115.384615399</v>
      </c>
      <c r="C106" s="17">
        <f t="shared" ref="C106:D106" si="92">C94</f>
        <v>8.1785714285714288</v>
      </c>
      <c r="D106" s="130">
        <f t="shared" si="92"/>
        <v>88.214285714285694</v>
      </c>
      <c r="E106" s="17">
        <v>31</v>
      </c>
      <c r="F106" s="17">
        <f>'CDM Activity'!B75</f>
        <v>422055.76657303952</v>
      </c>
      <c r="G106" s="17">
        <v>336</v>
      </c>
      <c r="H106" s="17">
        <v>0</v>
      </c>
      <c r="I106" s="34">
        <v>137.30940385330757</v>
      </c>
      <c r="J106" s="17">
        <f>'[15]Data Input'!AJ124</f>
        <v>21219</v>
      </c>
      <c r="K106" s="17">
        <f t="shared" si="54"/>
        <v>41039140.247452773</v>
      </c>
      <c r="L106" s="10"/>
    </row>
    <row r="107" spans="1:12" x14ac:dyDescent="0.2">
      <c r="A107" s="32">
        <v>40422</v>
      </c>
      <c r="B107" s="129">
        <f>'[15]Data Input'!B125</f>
        <v>34876669.230769202</v>
      </c>
      <c r="C107" s="17">
        <f t="shared" ref="C107:D107" si="93">C95</f>
        <v>58.871428571428574</v>
      </c>
      <c r="D107" s="130">
        <f t="shared" si="93"/>
        <v>33.699999999999989</v>
      </c>
      <c r="E107" s="17">
        <v>30</v>
      </c>
      <c r="F107" s="17">
        <f>'CDM Activity'!B76</f>
        <v>419506.11710643227</v>
      </c>
      <c r="G107" s="17">
        <v>336</v>
      </c>
      <c r="H107" s="17">
        <v>1</v>
      </c>
      <c r="I107" s="34">
        <v>137.68141108782325</v>
      </c>
      <c r="J107" s="17">
        <f>'[15]Data Input'!AJ125</f>
        <v>21290</v>
      </c>
      <c r="K107" s="17">
        <f t="shared" si="54"/>
        <v>35624426.069458842</v>
      </c>
      <c r="L107" s="10"/>
    </row>
    <row r="108" spans="1:12" x14ac:dyDescent="0.2">
      <c r="A108" s="32">
        <v>40452</v>
      </c>
      <c r="B108" s="129">
        <f>'[15]Data Input'!B126</f>
        <v>33323746.1538461</v>
      </c>
      <c r="C108" s="17">
        <f t="shared" ref="C108:D108" si="94">C96</f>
        <v>236.51428571428571</v>
      </c>
      <c r="D108" s="130">
        <f t="shared" si="94"/>
        <v>3.7357142857142862</v>
      </c>
      <c r="E108" s="17">
        <v>31</v>
      </c>
      <c r="F108" s="17">
        <f>'CDM Activity'!B77</f>
        <v>416956.46763982502</v>
      </c>
      <c r="G108" s="17">
        <v>320</v>
      </c>
      <c r="H108" s="17">
        <v>1</v>
      </c>
      <c r="I108" s="34">
        <v>138.0544261876318</v>
      </c>
      <c r="J108" s="17">
        <f>'[15]Data Input'!AJ126</f>
        <v>21329</v>
      </c>
      <c r="K108" s="17">
        <f t="shared" si="54"/>
        <v>35474007.797787704</v>
      </c>
      <c r="L108" s="10"/>
    </row>
    <row r="109" spans="1:12" x14ac:dyDescent="0.2">
      <c r="A109" s="32">
        <v>40483</v>
      </c>
      <c r="B109" s="129">
        <f>'[15]Data Input'!B127</f>
        <v>35291992.307692297</v>
      </c>
      <c r="C109" s="17">
        <f t="shared" ref="C109:D109" si="95">C97</f>
        <v>378.76428571428568</v>
      </c>
      <c r="D109" s="130">
        <f t="shared" si="95"/>
        <v>0</v>
      </c>
      <c r="E109" s="17">
        <v>30</v>
      </c>
      <c r="F109" s="17">
        <f>'CDM Activity'!B78</f>
        <v>414406.81817321776</v>
      </c>
      <c r="G109" s="17">
        <v>336</v>
      </c>
      <c r="H109" s="17">
        <v>1</v>
      </c>
      <c r="I109" s="34">
        <v>138.42845188330503</v>
      </c>
      <c r="J109" s="17">
        <f>'[15]Data Input'!AJ127</f>
        <v>21323</v>
      </c>
      <c r="K109" s="17">
        <f t="shared" si="54"/>
        <v>36362408.660337768</v>
      </c>
      <c r="L109" s="10"/>
    </row>
    <row r="110" spans="1:12" x14ac:dyDescent="0.2">
      <c r="A110" s="32">
        <v>40513</v>
      </c>
      <c r="B110" s="129">
        <f>'[15]Data Input'!B128</f>
        <v>38566092.307692297</v>
      </c>
      <c r="C110" s="17">
        <f t="shared" ref="C110:D110" si="96">C98</f>
        <v>569.47857142857151</v>
      </c>
      <c r="D110" s="130">
        <f t="shared" si="96"/>
        <v>0</v>
      </c>
      <c r="E110" s="17">
        <v>31</v>
      </c>
      <c r="F110" s="17">
        <f>'CDM Activity'!B79</f>
        <v>411857.16870661051</v>
      </c>
      <c r="G110" s="17">
        <v>368</v>
      </c>
      <c r="H110" s="17">
        <v>0</v>
      </c>
      <c r="I110" s="34">
        <v>138.80349091281266</v>
      </c>
      <c r="J110" s="17">
        <f>'[15]Data Input'!AJ128</f>
        <v>21421</v>
      </c>
      <c r="K110" s="17">
        <f t="shared" si="54"/>
        <v>40773844.149168536</v>
      </c>
      <c r="L110" s="10"/>
    </row>
    <row r="111" spans="1:12" x14ac:dyDescent="0.2">
      <c r="A111" s="32">
        <v>40544</v>
      </c>
      <c r="B111" s="129">
        <f>'[15]Data Input'!B131</f>
        <v>40900176.416666664</v>
      </c>
      <c r="C111" s="17">
        <f t="shared" ref="C111:D111" si="97">C99</f>
        <v>693.29285714285732</v>
      </c>
      <c r="D111" s="130">
        <f t="shared" si="97"/>
        <v>0</v>
      </c>
      <c r="E111" s="131">
        <v>31</v>
      </c>
      <c r="F111" s="17">
        <f>'CDM Activity'!B80</f>
        <v>437345.132977342</v>
      </c>
      <c r="G111" s="17">
        <v>336</v>
      </c>
      <c r="H111" s="17">
        <v>0</v>
      </c>
      <c r="I111" s="34">
        <v>139.10070640604135</v>
      </c>
      <c r="J111" s="17">
        <f>'[15]Data Input'!AJ131</f>
        <v>21445.222222222223</v>
      </c>
      <c r="K111" s="17">
        <f t="shared" si="54"/>
        <v>41122129.731099002</v>
      </c>
      <c r="L111" s="10"/>
    </row>
    <row r="112" spans="1:12" x14ac:dyDescent="0.2">
      <c r="A112" s="32">
        <v>40575</v>
      </c>
      <c r="B112" s="129">
        <f>'[15]Data Input'!B132</f>
        <v>37002004.416666664</v>
      </c>
      <c r="C112" s="17">
        <f t="shared" ref="C112:D112" si="98">C100</f>
        <v>646.2071428571428</v>
      </c>
      <c r="D112" s="130">
        <f t="shared" si="98"/>
        <v>0</v>
      </c>
      <c r="E112" s="131">
        <v>28</v>
      </c>
      <c r="F112" s="17">
        <f>'CDM Activity'!B81</f>
        <v>462833.09724807349</v>
      </c>
      <c r="G112" s="17">
        <v>304</v>
      </c>
      <c r="H112" s="17">
        <v>0</v>
      </c>
      <c r="I112" s="34">
        <v>139.39855831733732</v>
      </c>
      <c r="J112" s="17">
        <f>'[15]Data Input'!AJ132</f>
        <v>21469.444444444445</v>
      </c>
      <c r="K112" s="17">
        <f t="shared" si="54"/>
        <v>37453622.607044436</v>
      </c>
      <c r="L112" s="10"/>
    </row>
    <row r="113" spans="1:12" x14ac:dyDescent="0.2">
      <c r="A113" s="32">
        <v>40603</v>
      </c>
      <c r="B113" s="129">
        <f>'[15]Data Input'!B133</f>
        <v>39251866.416666664</v>
      </c>
      <c r="C113" s="17">
        <f t="shared" ref="C113:D113" si="99">C101</f>
        <v>538.09285714285716</v>
      </c>
      <c r="D113" s="130">
        <f t="shared" si="99"/>
        <v>0</v>
      </c>
      <c r="E113" s="131">
        <v>31</v>
      </c>
      <c r="F113" s="17">
        <f>'CDM Activity'!B82</f>
        <v>488321.06151880499</v>
      </c>
      <c r="G113" s="17">
        <v>368</v>
      </c>
      <c r="H113" s="17">
        <v>1</v>
      </c>
      <c r="I113" s="34">
        <v>139.69704800944226</v>
      </c>
      <c r="J113" s="17">
        <f>'[15]Data Input'!AJ133</f>
        <v>21493.666666666672</v>
      </c>
      <c r="K113" s="17">
        <f t="shared" si="54"/>
        <v>38977461.682146743</v>
      </c>
      <c r="L113" s="10"/>
    </row>
    <row r="114" spans="1:12" x14ac:dyDescent="0.2">
      <c r="A114" s="32">
        <v>40634</v>
      </c>
      <c r="B114" s="129">
        <f>'[15]Data Input'!B134</f>
        <v>34076716.416666664</v>
      </c>
      <c r="C114" s="17">
        <f t="shared" ref="C114:D114" si="100">C102</f>
        <v>314.69285714285712</v>
      </c>
      <c r="D114" s="130">
        <f t="shared" si="100"/>
        <v>0.59285714285714275</v>
      </c>
      <c r="E114" s="131">
        <v>30</v>
      </c>
      <c r="F114" s="17">
        <f>'CDM Activity'!B83</f>
        <v>513809.02578953648</v>
      </c>
      <c r="G114" s="17">
        <v>320</v>
      </c>
      <c r="H114" s="17">
        <v>1</v>
      </c>
      <c r="I114" s="34">
        <v>139.99617684801592</v>
      </c>
      <c r="J114" s="17">
        <f>'[15]Data Input'!AJ134</f>
        <v>21517.888888888894</v>
      </c>
      <c r="K114" s="17">
        <f t="shared" si="54"/>
        <v>34556745.500197709</v>
      </c>
      <c r="L114" s="10"/>
    </row>
    <row r="115" spans="1:12" x14ac:dyDescent="0.2">
      <c r="A115" s="32">
        <v>40664</v>
      </c>
      <c r="B115" s="129">
        <f>'[15]Data Input'!B135</f>
        <v>34411223.416666664</v>
      </c>
      <c r="C115" s="17">
        <f t="shared" ref="C115:D115" si="101">C103</f>
        <v>143.67857142857142</v>
      </c>
      <c r="D115" s="130">
        <f t="shared" si="101"/>
        <v>14.428571428571429</v>
      </c>
      <c r="E115" s="131">
        <v>31</v>
      </c>
      <c r="F115" s="17">
        <f>'CDM Activity'!B84</f>
        <v>539296.99006026797</v>
      </c>
      <c r="G115" s="17">
        <v>336</v>
      </c>
      <c r="H115" s="17">
        <v>1</v>
      </c>
      <c r="I115" s="34">
        <v>140.29594620164227</v>
      </c>
      <c r="J115" s="17">
        <f>'[15]Data Input'!AJ135</f>
        <v>21542.11111111112</v>
      </c>
      <c r="K115" s="17">
        <f t="shared" si="54"/>
        <v>34762673.981044888</v>
      </c>
      <c r="L115" s="10"/>
    </row>
    <row r="116" spans="1:12" x14ac:dyDescent="0.2">
      <c r="A116" s="32">
        <v>40695</v>
      </c>
      <c r="B116" s="129">
        <f>'[15]Data Input'!B136</f>
        <v>38049473.416666664</v>
      </c>
      <c r="C116" s="17">
        <f t="shared" ref="C116:D116" si="102">C104</f>
        <v>28.635714285714283</v>
      </c>
      <c r="D116" s="130">
        <f t="shared" si="102"/>
        <v>59.24285714285714</v>
      </c>
      <c r="E116" s="131">
        <v>30</v>
      </c>
      <c r="F116" s="17">
        <f>'CDM Activity'!B85</f>
        <v>564784.95433099952</v>
      </c>
      <c r="G116" s="17">
        <v>352</v>
      </c>
      <c r="H116" s="17">
        <v>0</v>
      </c>
      <c r="I116" s="34">
        <v>140.59635744183578</v>
      </c>
      <c r="J116" s="17">
        <f>'[15]Data Input'!AJ136</f>
        <v>21566.333333333343</v>
      </c>
      <c r="K116" s="17">
        <f t="shared" si="54"/>
        <v>37451011.023127347</v>
      </c>
      <c r="L116" s="10"/>
    </row>
    <row r="117" spans="1:12" x14ac:dyDescent="0.2">
      <c r="A117" s="32">
        <v>40725</v>
      </c>
      <c r="B117" s="129">
        <f>'[15]Data Input'!B137</f>
        <v>46034684.416666664</v>
      </c>
      <c r="C117" s="17">
        <f t="shared" ref="C117:D117" si="103">C105</f>
        <v>4.7928571428571436</v>
      </c>
      <c r="D117" s="130">
        <f t="shared" si="103"/>
        <v>112.94285714285714</v>
      </c>
      <c r="E117" s="131">
        <v>31</v>
      </c>
      <c r="F117" s="17">
        <f>'CDM Activity'!B86</f>
        <v>590272.91860173107</v>
      </c>
      <c r="G117" s="17">
        <v>320</v>
      </c>
      <c r="H117" s="17">
        <v>0</v>
      </c>
      <c r="I117" s="34">
        <v>140.89741194304773</v>
      </c>
      <c r="J117" s="17">
        <f>'[15]Data Input'!AJ137</f>
        <v>21590.555555555569</v>
      </c>
      <c r="K117" s="17">
        <f t="shared" si="54"/>
        <v>41277905.982120395</v>
      </c>
      <c r="L117" s="10"/>
    </row>
    <row r="118" spans="1:12" x14ac:dyDescent="0.2">
      <c r="A118" s="32">
        <v>40756</v>
      </c>
      <c r="B118" s="129">
        <f>'[15]Data Input'!B138</f>
        <v>42762335.416666664</v>
      </c>
      <c r="C118" s="17">
        <f t="shared" ref="C118:D118" si="104">C106</f>
        <v>8.1785714285714288</v>
      </c>
      <c r="D118" s="130">
        <f t="shared" si="104"/>
        <v>88.214285714285694</v>
      </c>
      <c r="E118" s="131">
        <v>31</v>
      </c>
      <c r="F118" s="17">
        <f>'CDM Activity'!B87</f>
        <v>615760.88287246262</v>
      </c>
      <c r="G118" s="17">
        <v>352</v>
      </c>
      <c r="H118" s="17">
        <v>0</v>
      </c>
      <c r="I118" s="34">
        <v>141.19911108267243</v>
      </c>
      <c r="J118" s="17">
        <f>'[15]Data Input'!AJ138</f>
        <v>21614.777777777792</v>
      </c>
      <c r="K118" s="17">
        <f t="shared" si="54"/>
        <v>39892695.897103503</v>
      </c>
      <c r="L118" s="10"/>
    </row>
    <row r="119" spans="1:12" x14ac:dyDescent="0.2">
      <c r="A119" s="32">
        <v>40787</v>
      </c>
      <c r="B119" s="129">
        <f>'[15]Data Input'!B139</f>
        <v>34007841.416666664</v>
      </c>
      <c r="C119" s="17">
        <f t="shared" ref="C119:D119" si="105">C107</f>
        <v>58.871428571428574</v>
      </c>
      <c r="D119" s="130">
        <f t="shared" si="105"/>
        <v>33.699999999999989</v>
      </c>
      <c r="E119" s="131">
        <v>30</v>
      </c>
      <c r="F119" s="17">
        <f>'CDM Activity'!B88</f>
        <v>641248.84714319417</v>
      </c>
      <c r="G119" s="17">
        <v>336</v>
      </c>
      <c r="H119" s="17">
        <v>1</v>
      </c>
      <c r="I119" s="34">
        <v>141.50145624105357</v>
      </c>
      <c r="J119" s="17">
        <f>'[15]Data Input'!AJ139</f>
        <v>21639.000000000015</v>
      </c>
      <c r="K119" s="17">
        <f t="shared" si="54"/>
        <v>33871528.421836667</v>
      </c>
      <c r="L119" s="10"/>
    </row>
    <row r="120" spans="1:12" x14ac:dyDescent="0.2">
      <c r="A120" s="32">
        <v>40817</v>
      </c>
      <c r="B120" s="129">
        <f>'[15]Data Input'!B140</f>
        <v>32896105.416666668</v>
      </c>
      <c r="C120" s="17">
        <f t="shared" ref="C120:D120" si="106">C108</f>
        <v>236.51428571428571</v>
      </c>
      <c r="D120" s="130">
        <f t="shared" si="106"/>
        <v>3.7357142857142862</v>
      </c>
      <c r="E120" s="131">
        <v>31</v>
      </c>
      <c r="F120" s="17">
        <f>'CDM Activity'!B89</f>
        <v>666736.81141392572</v>
      </c>
      <c r="G120" s="17">
        <v>320</v>
      </c>
      <c r="H120" s="17">
        <v>1</v>
      </c>
      <c r="I120" s="34">
        <v>141.80444880149057</v>
      </c>
      <c r="J120" s="17">
        <f>'[15]Data Input'!AJ140</f>
        <v>21663.222222222237</v>
      </c>
      <c r="K120" s="17">
        <f t="shared" si="54"/>
        <v>33499470.111924041</v>
      </c>
      <c r="L120" s="10"/>
    </row>
    <row r="121" spans="1:12" x14ac:dyDescent="0.2">
      <c r="A121" s="32">
        <v>40848</v>
      </c>
      <c r="B121" s="129">
        <f>'[15]Data Input'!B141</f>
        <v>34363376.416666664</v>
      </c>
      <c r="C121" s="17">
        <f t="shared" ref="C121:D121" si="107">C109</f>
        <v>378.76428571428568</v>
      </c>
      <c r="D121" s="130">
        <f t="shared" si="107"/>
        <v>0</v>
      </c>
      <c r="E121" s="131">
        <v>30</v>
      </c>
      <c r="F121" s="17">
        <f>'CDM Activity'!B90</f>
        <v>692224.77568465727</v>
      </c>
      <c r="G121" s="17">
        <v>352</v>
      </c>
      <c r="H121" s="17">
        <v>1</v>
      </c>
      <c r="I121" s="34">
        <v>142.10809015024478</v>
      </c>
      <c r="J121" s="17">
        <f>'[15]Data Input'!AJ141</f>
        <v>21687.44444444446</v>
      </c>
      <c r="K121" s="17">
        <f t="shared" si="54"/>
        <v>34551044.195264027</v>
      </c>
      <c r="L121" s="10"/>
    </row>
    <row r="122" spans="1:12" x14ac:dyDescent="0.2">
      <c r="A122" s="32">
        <v>40878</v>
      </c>
      <c r="B122" s="129">
        <f>'[15]Data Input'!B142</f>
        <v>37465044.416666664</v>
      </c>
      <c r="C122" s="17">
        <f t="shared" ref="C122:D122" si="108">C110</f>
        <v>569.47857142857151</v>
      </c>
      <c r="D122" s="17">
        <f t="shared" si="108"/>
        <v>0</v>
      </c>
      <c r="E122" s="131">
        <v>31</v>
      </c>
      <c r="F122" s="17">
        <f>'CDM Activity'!B91</f>
        <v>717712.73995538882</v>
      </c>
      <c r="G122" s="17">
        <v>336</v>
      </c>
      <c r="H122" s="17">
        <v>0</v>
      </c>
      <c r="I122" s="34">
        <v>142.41238167654581</v>
      </c>
      <c r="J122" s="17">
        <f>'[15]Data Input'!AJ142</f>
        <v>21711.66666666669</v>
      </c>
      <c r="K122" s="17">
        <f t="shared" si="54"/>
        <v>37586399.868759058</v>
      </c>
      <c r="L122" s="10"/>
    </row>
    <row r="123" spans="1:12" x14ac:dyDescent="0.2">
      <c r="A123" s="32">
        <v>40909</v>
      </c>
      <c r="B123" s="129">
        <f>'[15]Data Input'!B145</f>
        <v>38332945</v>
      </c>
      <c r="C123" s="17">
        <f t="shared" ref="C123:D123" si="109">C111</f>
        <v>693.29285714285732</v>
      </c>
      <c r="D123" s="17">
        <f t="shared" si="109"/>
        <v>0</v>
      </c>
      <c r="E123" s="17">
        <v>31</v>
      </c>
      <c r="F123" s="17">
        <f>'CDM Activity'!B92</f>
        <v>717422.3662677079</v>
      </c>
      <c r="G123" s="17">
        <v>336</v>
      </c>
      <c r="H123" s="17">
        <v>0</v>
      </c>
      <c r="I123" s="34">
        <v>142.61257743956915</v>
      </c>
      <c r="J123" s="17">
        <f>'[15]Data Input'!AJ145</f>
        <v>21863</v>
      </c>
      <c r="K123" s="17">
        <f t="shared" si="54"/>
        <v>38908092.214262187</v>
      </c>
      <c r="L123" s="10"/>
    </row>
    <row r="124" spans="1:12" x14ac:dyDescent="0.2">
      <c r="A124" s="32">
        <v>40940</v>
      </c>
      <c r="B124" s="129">
        <f>'[15]Data Input'!B146</f>
        <v>35663980</v>
      </c>
      <c r="C124" s="17">
        <f t="shared" ref="C124:D124" si="110">C112</f>
        <v>646.2071428571428</v>
      </c>
      <c r="D124" s="17">
        <f t="shared" si="110"/>
        <v>0</v>
      </c>
      <c r="E124" s="17">
        <v>29</v>
      </c>
      <c r="F124" s="17">
        <f>'CDM Activity'!B93</f>
        <v>717131.99258002697</v>
      </c>
      <c r="G124" s="17">
        <v>320</v>
      </c>
      <c r="H124" s="17">
        <v>0</v>
      </c>
      <c r="I124" s="34">
        <v>142.81305462716429</v>
      </c>
      <c r="J124" s="17">
        <f>'[15]Data Input'!AJ146</f>
        <v>21957</v>
      </c>
      <c r="K124" s="17">
        <f t="shared" si="54"/>
        <v>36560058.026551731</v>
      </c>
      <c r="L124" s="10"/>
    </row>
    <row r="125" spans="1:12" x14ac:dyDescent="0.2">
      <c r="A125" s="32">
        <v>40969</v>
      </c>
      <c r="B125" s="129">
        <f>'[15]Data Input'!B147</f>
        <v>34848118</v>
      </c>
      <c r="C125" s="17">
        <f t="shared" ref="C125:D125" si="111">C113</f>
        <v>538.09285714285716</v>
      </c>
      <c r="D125" s="17">
        <f t="shared" si="111"/>
        <v>0</v>
      </c>
      <c r="E125" s="17">
        <v>31</v>
      </c>
      <c r="F125" s="17">
        <f>'CDM Activity'!B94</f>
        <v>716841.61889234604</v>
      </c>
      <c r="G125" s="17">
        <v>352</v>
      </c>
      <c r="H125" s="17">
        <v>1</v>
      </c>
      <c r="I125" s="34">
        <v>143.01381363494295</v>
      </c>
      <c r="J125" s="17">
        <f>'[15]Data Input'!AJ147</f>
        <v>21953</v>
      </c>
      <c r="K125" s="17">
        <f t="shared" si="54"/>
        <v>36786171.397298165</v>
      </c>
      <c r="L125" s="10"/>
    </row>
    <row r="126" spans="1:12" x14ac:dyDescent="0.2">
      <c r="A126" s="32">
        <v>41000</v>
      </c>
      <c r="B126" s="129">
        <f>'[15]Data Input'!B148</f>
        <v>29360304</v>
      </c>
      <c r="C126" s="17">
        <f t="shared" ref="C126:D126" si="112">C114</f>
        <v>314.69285714285712</v>
      </c>
      <c r="D126" s="17">
        <f t="shared" si="112"/>
        <v>0.59285714285714275</v>
      </c>
      <c r="E126" s="17">
        <v>30</v>
      </c>
      <c r="F126" s="17">
        <f>'CDM Activity'!B95</f>
        <v>716551.24520466512</v>
      </c>
      <c r="G126" s="17">
        <v>320</v>
      </c>
      <c r="H126" s="17">
        <v>1</v>
      </c>
      <c r="I126" s="34">
        <v>143.21485485907297</v>
      </c>
      <c r="J126" s="17">
        <f>'[15]Data Input'!AJ148</f>
        <v>21950</v>
      </c>
      <c r="K126" s="17">
        <f t="shared" si="54"/>
        <v>32954048.719890367</v>
      </c>
      <c r="L126" s="10"/>
    </row>
    <row r="127" spans="1:12" x14ac:dyDescent="0.2">
      <c r="A127" s="32">
        <v>41030</v>
      </c>
      <c r="B127" s="129">
        <f>'[15]Data Input'!B149</f>
        <v>33203358</v>
      </c>
      <c r="C127" s="17">
        <f t="shared" ref="C127:D127" si="113">C115</f>
        <v>143.67857142857142</v>
      </c>
      <c r="D127" s="17">
        <f t="shared" si="113"/>
        <v>14.428571428571429</v>
      </c>
      <c r="E127" s="17">
        <v>31</v>
      </c>
      <c r="F127" s="17">
        <f>'CDM Activity'!B96</f>
        <v>716260.87151698419</v>
      </c>
      <c r="G127" s="17">
        <v>352</v>
      </c>
      <c r="H127" s="17">
        <v>1</v>
      </c>
      <c r="I127" s="34">
        <v>143.41617869627913</v>
      </c>
      <c r="J127" s="17">
        <f>'[15]Data Input'!AJ149</f>
        <v>21973</v>
      </c>
      <c r="K127" s="17">
        <f t="shared" si="54"/>
        <v>33748570.705278791</v>
      </c>
      <c r="L127" s="10"/>
    </row>
    <row r="128" spans="1:12" x14ac:dyDescent="0.2">
      <c r="A128" s="32">
        <v>41061</v>
      </c>
      <c r="B128" s="129">
        <f>'[15]Data Input'!B150</f>
        <v>33725678</v>
      </c>
      <c r="C128" s="17">
        <f t="shared" ref="C128:D128" si="114">C116</f>
        <v>28.635714285714283</v>
      </c>
      <c r="D128" s="17">
        <f t="shared" si="114"/>
        <v>59.24285714285714</v>
      </c>
      <c r="E128" s="17">
        <v>30</v>
      </c>
      <c r="F128" s="17">
        <f>'CDM Activity'!B97</f>
        <v>715970.49782930326</v>
      </c>
      <c r="G128" s="17">
        <v>336</v>
      </c>
      <c r="H128" s="17">
        <v>0</v>
      </c>
      <c r="I128" s="34">
        <v>143.61778554384387</v>
      </c>
      <c r="J128" s="17">
        <f>'[15]Data Input'!AJ150</f>
        <v>21985</v>
      </c>
      <c r="K128" s="17">
        <f t="shared" si="54"/>
        <v>35871061.474808246</v>
      </c>
      <c r="L128" s="10"/>
    </row>
    <row r="129" spans="1:12" x14ac:dyDescent="0.2">
      <c r="A129" s="32">
        <v>41091</v>
      </c>
      <c r="B129" s="129">
        <f>'[15]Data Input'!B151</f>
        <v>42152151.322580643</v>
      </c>
      <c r="C129" s="17">
        <f t="shared" ref="C129:D129" si="115">C117</f>
        <v>4.7928571428571436</v>
      </c>
      <c r="D129" s="17">
        <f t="shared" si="115"/>
        <v>112.94285714285714</v>
      </c>
      <c r="E129" s="17">
        <v>31</v>
      </c>
      <c r="F129" s="17">
        <f>'CDM Activity'!B98</f>
        <v>715680.12414162233</v>
      </c>
      <c r="G129" s="17">
        <v>336</v>
      </c>
      <c r="H129" s="17">
        <v>0</v>
      </c>
      <c r="I129" s="34">
        <v>143.81967579960809</v>
      </c>
      <c r="J129" s="17">
        <f>'[15]Data Input'!AJ151</f>
        <v>21988</v>
      </c>
      <c r="K129" s="17">
        <f t="shared" si="54"/>
        <v>40671363.197373949</v>
      </c>
      <c r="L129" s="10"/>
    </row>
    <row r="130" spans="1:12" x14ac:dyDescent="0.2">
      <c r="A130" s="32">
        <v>41122</v>
      </c>
      <c r="B130" s="129">
        <f>'[15]Data Input'!B152</f>
        <v>39128268</v>
      </c>
      <c r="C130" s="17">
        <f t="shared" ref="C130:D130" si="116">C118</f>
        <v>8.1785714285714288</v>
      </c>
      <c r="D130" s="17">
        <f t="shared" si="116"/>
        <v>88.214285714285694</v>
      </c>
      <c r="E130" s="17">
        <v>31</v>
      </c>
      <c r="F130" s="17">
        <f>'CDM Activity'!B99</f>
        <v>715389.75045394141</v>
      </c>
      <c r="G130" s="17">
        <v>352</v>
      </c>
      <c r="H130" s="17">
        <v>0</v>
      </c>
      <c r="I130" s="34">
        <v>144.02184986197204</v>
      </c>
      <c r="J130" s="17">
        <f>'[15]Data Input'!AJ152</f>
        <v>22002</v>
      </c>
      <c r="K130" s="17">
        <f t="shared" si="54"/>
        <v>39105120.098835468</v>
      </c>
      <c r="L130" s="10"/>
    </row>
    <row r="131" spans="1:12" x14ac:dyDescent="0.2">
      <c r="A131" s="32">
        <v>41153</v>
      </c>
      <c r="B131" s="129">
        <f>'[15]Data Input'!B153</f>
        <v>33338864</v>
      </c>
      <c r="C131" s="17">
        <f t="shared" ref="C131:D131" si="117">C119</f>
        <v>58.871428571428574</v>
      </c>
      <c r="D131" s="17">
        <f t="shared" si="117"/>
        <v>33.699999999999989</v>
      </c>
      <c r="E131" s="17">
        <v>30</v>
      </c>
      <c r="F131" s="17">
        <f>'CDM Activity'!B100</f>
        <v>715099.37676626048</v>
      </c>
      <c r="G131" s="17">
        <v>304</v>
      </c>
      <c r="H131" s="17">
        <v>1</v>
      </c>
      <c r="I131" s="34">
        <v>144.22430812989595</v>
      </c>
      <c r="J131" s="17">
        <f>'[15]Data Input'!AJ153</f>
        <v>22010</v>
      </c>
      <c r="K131" s="17">
        <f t="shared" si="54"/>
        <v>32518106.351015631</v>
      </c>
      <c r="L131" s="10"/>
    </row>
    <row r="132" spans="1:12" x14ac:dyDescent="0.2">
      <c r="A132" s="32">
        <v>41183</v>
      </c>
      <c r="B132" s="129">
        <f>'[15]Data Input'!B154</f>
        <v>32606142</v>
      </c>
      <c r="C132" s="17">
        <f t="shared" ref="C132:D132" si="118">C120</f>
        <v>236.51428571428571</v>
      </c>
      <c r="D132" s="17">
        <f t="shared" si="118"/>
        <v>3.7357142857142862</v>
      </c>
      <c r="E132" s="17">
        <v>31</v>
      </c>
      <c r="F132" s="17">
        <f>'CDM Activity'!B101</f>
        <v>714809.00307857955</v>
      </c>
      <c r="G132" s="17">
        <v>352</v>
      </c>
      <c r="H132" s="17">
        <v>1</v>
      </c>
      <c r="I132" s="34">
        <v>144.42705100290087</v>
      </c>
      <c r="J132" s="17">
        <f>'[15]Data Input'!AJ154</f>
        <v>22014</v>
      </c>
      <c r="K132" s="17">
        <f t="shared" ref="K132:K194" si="119">$O$18+$O$19*C132+$O$20*D132+$O$21*E132+$O$22*F132+$O$23*G132+H132*$O$24</f>
        <v>33889081.322738491</v>
      </c>
      <c r="L132" s="10"/>
    </row>
    <row r="133" spans="1:12" x14ac:dyDescent="0.2">
      <c r="A133" s="32">
        <v>41214</v>
      </c>
      <c r="B133" s="129">
        <f>'[15]Data Input'!B155</f>
        <v>34295421</v>
      </c>
      <c r="C133" s="17">
        <f t="shared" ref="C133:D133" si="120">C121</f>
        <v>378.76428571428568</v>
      </c>
      <c r="D133" s="17">
        <f t="shared" si="120"/>
        <v>0</v>
      </c>
      <c r="E133" s="17">
        <v>30</v>
      </c>
      <c r="F133" s="17">
        <f>'CDM Activity'!B102</f>
        <v>714518.62939089863</v>
      </c>
      <c r="G133" s="17">
        <v>352</v>
      </c>
      <c r="H133" s="17">
        <v>1</v>
      </c>
      <c r="I133" s="34">
        <v>144.63007888106955</v>
      </c>
      <c r="J133" s="17">
        <f>'[15]Data Input'!AJ155</f>
        <v>22047</v>
      </c>
      <c r="K133" s="17">
        <f t="shared" si="119"/>
        <v>34374809.133525476</v>
      </c>
      <c r="L133" s="10"/>
    </row>
    <row r="134" spans="1:12" x14ac:dyDescent="0.2">
      <c r="A134" s="32">
        <v>41244</v>
      </c>
      <c r="B134" s="129">
        <f>'[15]Data Input'!B156</f>
        <v>35015935</v>
      </c>
      <c r="C134" s="17">
        <f t="shared" ref="C134:D134" si="121">C122</f>
        <v>569.47857142857151</v>
      </c>
      <c r="D134" s="17">
        <f t="shared" si="121"/>
        <v>0</v>
      </c>
      <c r="E134" s="17">
        <v>31</v>
      </c>
      <c r="F134" s="17">
        <f>'CDM Activity'!B103</f>
        <v>714228.2557032177</v>
      </c>
      <c r="G134" s="17">
        <v>304</v>
      </c>
      <c r="H134" s="17">
        <v>0</v>
      </c>
      <c r="I134" s="34">
        <v>144.83339216504706</v>
      </c>
      <c r="J134" s="17">
        <f>'[15]Data Input'!AJ156</f>
        <v>22053</v>
      </c>
      <c r="K134" s="17">
        <f t="shared" si="119"/>
        <v>36844318.534467511</v>
      </c>
      <c r="L134" s="10"/>
    </row>
    <row r="135" spans="1:12" x14ac:dyDescent="0.2">
      <c r="A135" s="32">
        <v>41275</v>
      </c>
      <c r="B135" s="27">
        <f>'[15]Data Input'!B159</f>
        <v>37762681.75</v>
      </c>
      <c r="C135" s="17">
        <f t="shared" ref="C135:D135" si="122">C123</f>
        <v>693.29285714285732</v>
      </c>
      <c r="D135" s="17">
        <f t="shared" si="122"/>
        <v>0</v>
      </c>
      <c r="E135" s="17">
        <v>31</v>
      </c>
      <c r="F135" s="17">
        <f>'CDM Activity'!B104</f>
        <v>749564.45657906611</v>
      </c>
      <c r="G135" s="17">
        <v>352</v>
      </c>
      <c r="H135" s="17">
        <v>0</v>
      </c>
      <c r="I135" s="34">
        <v>144.98936781896037</v>
      </c>
      <c r="J135" s="17">
        <f>'[15]Data Input'!AJ159</f>
        <v>22066</v>
      </c>
      <c r="K135" s="17">
        <f t="shared" si="119"/>
        <v>39038819.152235411</v>
      </c>
      <c r="L135" s="10"/>
    </row>
    <row r="136" spans="1:12" x14ac:dyDescent="0.2">
      <c r="A136" s="32">
        <v>41306</v>
      </c>
      <c r="B136" s="27">
        <f>'[15]Data Input'!B160</f>
        <v>33318398.75</v>
      </c>
      <c r="C136" s="17">
        <f t="shared" ref="C136:D136" si="123">C124</f>
        <v>646.2071428571428</v>
      </c>
      <c r="D136" s="17">
        <f t="shared" si="123"/>
        <v>0</v>
      </c>
      <c r="E136" s="17">
        <v>28</v>
      </c>
      <c r="F136" s="17">
        <f>'CDM Activity'!B105</f>
        <v>784900.65745491453</v>
      </c>
      <c r="G136" s="17">
        <v>304</v>
      </c>
      <c r="H136" s="17">
        <v>0</v>
      </c>
      <c r="I136" s="34">
        <v>145.14551144798114</v>
      </c>
      <c r="J136" s="17">
        <f>'[15]Data Input'!AJ160</f>
        <v>22089</v>
      </c>
      <c r="K136" s="17">
        <f t="shared" si="119"/>
        <v>34907647.509829797</v>
      </c>
      <c r="L136" s="10"/>
    </row>
    <row r="137" spans="1:12" x14ac:dyDescent="0.2">
      <c r="A137" s="32">
        <v>41334</v>
      </c>
      <c r="B137" s="27">
        <f>'[15]Data Input'!B161</f>
        <v>34776845.75</v>
      </c>
      <c r="C137" s="17">
        <f t="shared" ref="C137:D137" si="124">C125</f>
        <v>538.09285714285716</v>
      </c>
      <c r="D137" s="17">
        <f t="shared" si="124"/>
        <v>0</v>
      </c>
      <c r="E137" s="17">
        <v>31</v>
      </c>
      <c r="F137" s="17">
        <f>'CDM Activity'!B106</f>
        <v>820236.85833076295</v>
      </c>
      <c r="G137" s="17">
        <v>320</v>
      </c>
      <c r="H137" s="17">
        <v>1</v>
      </c>
      <c r="I137" s="34">
        <v>145.30182323300707</v>
      </c>
      <c r="J137" s="17">
        <f>'[15]Data Input'!AJ161</f>
        <v>22091</v>
      </c>
      <c r="K137" s="17">
        <f t="shared" si="119"/>
        <v>35199195.548518226</v>
      </c>
      <c r="L137" s="10"/>
    </row>
    <row r="138" spans="1:12" x14ac:dyDescent="0.2">
      <c r="A138" s="32">
        <v>41365</v>
      </c>
      <c r="B138" s="27">
        <f>'[15]Data Input'!B162</f>
        <v>31363088.75</v>
      </c>
      <c r="C138" s="17">
        <f t="shared" ref="C138:D138" si="125">C126</f>
        <v>314.69285714285712</v>
      </c>
      <c r="D138" s="17">
        <f t="shared" si="125"/>
        <v>0.59285714285714275</v>
      </c>
      <c r="E138" s="17">
        <v>30</v>
      </c>
      <c r="F138" s="17">
        <f>'CDM Activity'!B107</f>
        <v>855573.05920661136</v>
      </c>
      <c r="G138" s="17">
        <v>352</v>
      </c>
      <c r="H138" s="17">
        <v>1</v>
      </c>
      <c r="I138" s="34">
        <v>145.45830335513068</v>
      </c>
      <c r="J138" s="17">
        <f>'[15]Data Input'!AJ162</f>
        <v>22090</v>
      </c>
      <c r="K138" s="17">
        <f t="shared" si="119"/>
        <v>32624694.402406622</v>
      </c>
      <c r="L138" s="10"/>
    </row>
    <row r="139" spans="1:12" x14ac:dyDescent="0.2">
      <c r="A139" s="32">
        <v>41395</v>
      </c>
      <c r="B139" s="27">
        <f>'[15]Data Input'!B163</f>
        <v>31691626.75</v>
      </c>
      <c r="C139" s="17">
        <f t="shared" ref="C139:D139" si="126">C127</f>
        <v>143.67857142857142</v>
      </c>
      <c r="D139" s="17">
        <f t="shared" si="126"/>
        <v>14.428571428571429</v>
      </c>
      <c r="E139" s="17">
        <v>31</v>
      </c>
      <c r="F139" s="17">
        <f>'CDM Activity'!B108</f>
        <v>890909.26008245978</v>
      </c>
      <c r="G139" s="17">
        <v>352</v>
      </c>
      <c r="H139" s="17">
        <v>1</v>
      </c>
      <c r="I139" s="34">
        <v>145.6149519956395</v>
      </c>
      <c r="J139" s="17">
        <f>'[15]Data Input'!AJ163</f>
        <v>22106</v>
      </c>
      <c r="K139" s="17">
        <f t="shared" si="119"/>
        <v>32367958.364902746</v>
      </c>
      <c r="L139" s="10"/>
    </row>
    <row r="140" spans="1:12" x14ac:dyDescent="0.2">
      <c r="A140" s="32">
        <v>41426</v>
      </c>
      <c r="B140" s="27">
        <f>'[15]Data Input'!B164</f>
        <v>33388744.75</v>
      </c>
      <c r="C140" s="17">
        <f t="shared" ref="C140:D140" si="127">C128</f>
        <v>28.635714285714283</v>
      </c>
      <c r="D140" s="17">
        <f t="shared" si="127"/>
        <v>59.24285714285714</v>
      </c>
      <c r="E140" s="17">
        <v>30</v>
      </c>
      <c r="F140" s="17">
        <f>'CDM Activity'!B109</f>
        <v>926245.46095830819</v>
      </c>
      <c r="G140" s="17">
        <v>320</v>
      </c>
      <c r="H140" s="17">
        <v>0</v>
      </c>
      <c r="I140" s="34">
        <v>145.77176933601632</v>
      </c>
      <c r="J140" s="17">
        <f>'[15]Data Input'!AJ164</f>
        <v>22128</v>
      </c>
      <c r="K140" s="17">
        <f t="shared" si="119"/>
        <v>33824004.37057133</v>
      </c>
      <c r="L140" s="10"/>
    </row>
    <row r="141" spans="1:12" x14ac:dyDescent="0.2">
      <c r="A141" s="32">
        <v>41456</v>
      </c>
      <c r="B141" s="27">
        <f>'[15]Data Input'!B165</f>
        <v>40707062.75</v>
      </c>
      <c r="C141" s="17">
        <f t="shared" ref="C141:D141" si="128">C129</f>
        <v>4.7928571428571436</v>
      </c>
      <c r="D141" s="17">
        <f t="shared" si="128"/>
        <v>112.94285714285714</v>
      </c>
      <c r="E141" s="17">
        <v>31</v>
      </c>
      <c r="F141" s="17">
        <f>'CDM Activity'!B110</f>
        <v>961581.66183415661</v>
      </c>
      <c r="G141" s="17">
        <v>352</v>
      </c>
      <c r="H141" s="17">
        <v>0</v>
      </c>
      <c r="I141" s="34">
        <v>145.92875555793933</v>
      </c>
      <c r="J141" s="17">
        <f>'[15]Data Input'!AJ165</f>
        <v>22132</v>
      </c>
      <c r="K141" s="17">
        <f t="shared" si="119"/>
        <v>39112301.106370404</v>
      </c>
      <c r="L141" s="10"/>
    </row>
    <row r="142" spans="1:12" x14ac:dyDescent="0.2">
      <c r="A142" s="32">
        <v>41487</v>
      </c>
      <c r="B142" s="27">
        <f>'[15]Data Input'!B166</f>
        <v>35841331.75</v>
      </c>
      <c r="C142" s="17">
        <f t="shared" ref="C142:D142" si="129">C130</f>
        <v>8.1785714285714288</v>
      </c>
      <c r="D142" s="17">
        <f t="shared" si="129"/>
        <v>88.214285714285694</v>
      </c>
      <c r="E142" s="17">
        <v>31</v>
      </c>
      <c r="F142" s="17">
        <f>'CDM Activity'!B111</f>
        <v>996917.86271000502</v>
      </c>
      <c r="G142" s="17">
        <v>336</v>
      </c>
      <c r="H142" s="17">
        <v>0</v>
      </c>
      <c r="I142" s="34">
        <v>146.08591084328242</v>
      </c>
      <c r="J142" s="17">
        <f>'[15]Data Input'!AJ166</f>
        <v>22153</v>
      </c>
      <c r="K142" s="17">
        <f t="shared" si="119"/>
        <v>36494799.984939627</v>
      </c>
      <c r="L142" s="10"/>
    </row>
    <row r="143" spans="1:12" x14ac:dyDescent="0.2">
      <c r="A143" s="32">
        <v>41518</v>
      </c>
      <c r="B143" s="27">
        <f>'[15]Data Input'!B167</f>
        <v>32423202.75</v>
      </c>
      <c r="C143" s="17">
        <f t="shared" ref="C143:D143" si="130">C131</f>
        <v>58.871428571428574</v>
      </c>
      <c r="D143" s="17">
        <f t="shared" si="130"/>
        <v>33.699999999999989</v>
      </c>
      <c r="E143" s="17">
        <v>30</v>
      </c>
      <c r="F143" s="17">
        <f>'CDM Activity'!B112</f>
        <v>1032254.0635858534</v>
      </c>
      <c r="G143" s="17">
        <v>320</v>
      </c>
      <c r="H143" s="17">
        <v>1</v>
      </c>
      <c r="I143" s="34">
        <v>146.2432353741153</v>
      </c>
      <c r="J143" s="17">
        <f>'[15]Data Input'!AJ167</f>
        <v>22169</v>
      </c>
      <c r="K143" s="17">
        <f t="shared" si="119"/>
        <v>30395781.250353154</v>
      </c>
      <c r="L143" s="10"/>
    </row>
    <row r="144" spans="1:12" x14ac:dyDescent="0.2">
      <c r="A144" s="32">
        <v>41548</v>
      </c>
      <c r="B144" s="27">
        <f>'[15]Data Input'!B168</f>
        <v>32735799.75</v>
      </c>
      <c r="C144" s="17">
        <f t="shared" ref="C144:D144" si="131">C132</f>
        <v>236.51428571428571</v>
      </c>
      <c r="D144" s="17">
        <f t="shared" si="131"/>
        <v>3.7357142857142862</v>
      </c>
      <c r="E144" s="17">
        <v>31</v>
      </c>
      <c r="F144" s="17">
        <f>'CDM Activity'!B113</f>
        <v>1067590.2644617017</v>
      </c>
      <c r="G144" s="17">
        <v>352</v>
      </c>
      <c r="H144" s="17">
        <v>1</v>
      </c>
      <c r="I144" s="34">
        <v>146.4007293327038</v>
      </c>
      <c r="J144" s="17">
        <f>'[15]Data Input'!AJ168</f>
        <v>22189</v>
      </c>
      <c r="K144" s="17">
        <f t="shared" si="119"/>
        <v>31100311.45821514</v>
      </c>
      <c r="L144" s="10"/>
    </row>
    <row r="145" spans="1:12" x14ac:dyDescent="0.2">
      <c r="A145" s="32">
        <v>41579</v>
      </c>
      <c r="B145" s="27">
        <f>'[15]Data Input'!B169</f>
        <v>33760116.75</v>
      </c>
      <c r="C145" s="17">
        <f t="shared" ref="C145:D145" si="132">C133</f>
        <v>378.76428571428568</v>
      </c>
      <c r="D145" s="17">
        <f t="shared" si="132"/>
        <v>0</v>
      </c>
      <c r="E145" s="17">
        <v>30</v>
      </c>
      <c r="F145" s="17">
        <f>'CDM Activity'!B114</f>
        <v>1102926.4653375503</v>
      </c>
      <c r="G145" s="17">
        <v>336</v>
      </c>
      <c r="H145" s="17">
        <v>1</v>
      </c>
      <c r="I145" s="34">
        <v>146.55839290151005</v>
      </c>
      <c r="J145" s="17">
        <f>'[15]Data Input'!AJ169</f>
        <v>22208</v>
      </c>
      <c r="K145" s="17">
        <f t="shared" si="119"/>
        <v>30919594.505141247</v>
      </c>
      <c r="L145" s="10"/>
    </row>
    <row r="146" spans="1:12" x14ac:dyDescent="0.2">
      <c r="A146" s="32">
        <v>41609</v>
      </c>
      <c r="B146" s="27">
        <f>'[15]Data Input'!B170</f>
        <v>37600715.75</v>
      </c>
      <c r="C146" s="17">
        <f t="shared" ref="C146:D146" si="133">C134</f>
        <v>569.47857142857151</v>
      </c>
      <c r="D146" s="17">
        <f t="shared" si="133"/>
        <v>0</v>
      </c>
      <c r="E146" s="17">
        <v>31</v>
      </c>
      <c r="F146" s="17">
        <f>'CDM Activity'!B115</f>
        <v>1138262.6662133988</v>
      </c>
      <c r="G146" s="17">
        <v>320</v>
      </c>
      <c r="H146" s="17">
        <v>0</v>
      </c>
      <c r="I146" s="34">
        <v>146.71622626319265</v>
      </c>
      <c r="J146" s="17">
        <f>'[15]Data Input'!AJ170</f>
        <v>22234</v>
      </c>
      <c r="K146" s="17">
        <f t="shared" si="119"/>
        <v>33877098.919316642</v>
      </c>
      <c r="L146" s="10"/>
    </row>
    <row r="147" spans="1:12" x14ac:dyDescent="0.2">
      <c r="A147" s="32">
        <v>41640</v>
      </c>
      <c r="B147" s="27">
        <f>'[15]Data Input'!B173</f>
        <v>40157304.416666664</v>
      </c>
      <c r="C147" s="17">
        <f t="shared" ref="C147:D147" si="134">C135</f>
        <v>693.29285714285732</v>
      </c>
      <c r="D147" s="17">
        <f t="shared" si="134"/>
        <v>0</v>
      </c>
      <c r="E147" s="17">
        <v>31</v>
      </c>
      <c r="F147" s="17">
        <f>'CDM Activity'!B116</f>
        <v>1144257.5999350336</v>
      </c>
      <c r="G147" s="17">
        <v>352</v>
      </c>
      <c r="H147" s="17">
        <v>0</v>
      </c>
      <c r="I147" s="34">
        <v>147.04232175221028</v>
      </c>
      <c r="J147" s="17">
        <f>'[15]Data Input'!AJ173</f>
        <v>22330</v>
      </c>
      <c r="K147" s="17">
        <f t="shared" si="119"/>
        <v>35918731.822172433</v>
      </c>
      <c r="L147" s="10"/>
    </row>
    <row r="148" spans="1:12" x14ac:dyDescent="0.2">
      <c r="A148" s="32">
        <v>41671</v>
      </c>
      <c r="B148" s="27">
        <f>'[15]Data Input'!B174</f>
        <v>35890736.416666664</v>
      </c>
      <c r="C148" s="17">
        <f t="shared" ref="C148:D148" si="135">C136</f>
        <v>646.2071428571428</v>
      </c>
      <c r="D148" s="17">
        <f t="shared" si="135"/>
        <v>0</v>
      </c>
      <c r="E148" s="17">
        <v>28</v>
      </c>
      <c r="F148" s="17">
        <f>'CDM Activity'!B117</f>
        <v>1150252.5336566684</v>
      </c>
      <c r="G148" s="17">
        <v>304</v>
      </c>
      <c r="H148" s="17">
        <v>0</v>
      </c>
      <c r="I148" s="34">
        <v>147.36914202996238</v>
      </c>
      <c r="J148" s="17">
        <f>'[15]Data Input'!AJ174</f>
        <v>22326</v>
      </c>
      <c r="K148" s="17">
        <f t="shared" si="119"/>
        <v>32019505.723886114</v>
      </c>
      <c r="L148" s="10"/>
    </row>
    <row r="149" spans="1:12" x14ac:dyDescent="0.2">
      <c r="A149" s="32">
        <v>41699</v>
      </c>
      <c r="B149" s="27">
        <f>'[15]Data Input'!B175</f>
        <v>37345081.416666664</v>
      </c>
      <c r="C149" s="17">
        <f t="shared" ref="C149:D149" si="136">C137</f>
        <v>538.09285714285716</v>
      </c>
      <c r="D149" s="17">
        <f t="shared" si="136"/>
        <v>0</v>
      </c>
      <c r="E149" s="17">
        <v>31</v>
      </c>
      <c r="F149" s="17">
        <f>'CDM Activity'!B118</f>
        <v>1156247.4673783032</v>
      </c>
      <c r="G149" s="17">
        <v>336</v>
      </c>
      <c r="H149" s="17">
        <v>1</v>
      </c>
      <c r="I149" s="34">
        <v>147.69668870738414</v>
      </c>
      <c r="J149" s="17">
        <f>'[15]Data Input'!AJ175</f>
        <v>22340</v>
      </c>
      <c r="K149" s="17">
        <f t="shared" si="119"/>
        <v>32927812.565725241</v>
      </c>
      <c r="L149" s="10"/>
    </row>
    <row r="150" spans="1:12" x14ac:dyDescent="0.2">
      <c r="A150" s="32">
        <v>41730</v>
      </c>
      <c r="B150" s="27">
        <f>'[15]Data Input'!B176</f>
        <v>29856156.416666668</v>
      </c>
      <c r="C150" s="17">
        <f t="shared" ref="C150:D150" si="137">C138</f>
        <v>314.69285714285712</v>
      </c>
      <c r="D150" s="17">
        <f t="shared" si="137"/>
        <v>0.59285714285714275</v>
      </c>
      <c r="E150" s="17">
        <v>30</v>
      </c>
      <c r="F150" s="17">
        <f>'CDM Activity'!B119</f>
        <v>1162242.401099938</v>
      </c>
      <c r="G150" s="17">
        <v>320</v>
      </c>
      <c r="H150" s="17">
        <v>1</v>
      </c>
      <c r="I150" s="34">
        <v>148.02496339899133</v>
      </c>
      <c r="J150" s="17">
        <f>'[15]Data Input'!AJ176</f>
        <v>22334</v>
      </c>
      <c r="K150" s="17">
        <f t="shared" si="119"/>
        <v>29430817.186638694</v>
      </c>
      <c r="L150" s="10"/>
    </row>
    <row r="151" spans="1:12" x14ac:dyDescent="0.2">
      <c r="A151" s="32">
        <v>41760</v>
      </c>
      <c r="B151" s="27">
        <f>'[15]Data Input'!B177</f>
        <v>27591366.416666668</v>
      </c>
      <c r="C151" s="17">
        <f t="shared" ref="C151:D151" si="138">C139</f>
        <v>143.67857142857142</v>
      </c>
      <c r="D151" s="17">
        <f t="shared" si="138"/>
        <v>14.428571428571429</v>
      </c>
      <c r="E151" s="17">
        <v>31</v>
      </c>
      <c r="F151" s="17">
        <f>'CDM Activity'!B120</f>
        <v>1168237.3348215728</v>
      </c>
      <c r="G151" s="17">
        <v>336</v>
      </c>
      <c r="H151" s="17">
        <v>1</v>
      </c>
      <c r="I151" s="34">
        <v>148.35396772288814</v>
      </c>
      <c r="J151" s="17">
        <f>'[15]Data Input'!AJ177</f>
        <v>22336</v>
      </c>
      <c r="K151" s="17">
        <f t="shared" si="119"/>
        <v>29790839.952285532</v>
      </c>
      <c r="L151" s="10"/>
    </row>
    <row r="152" spans="1:12" x14ac:dyDescent="0.2">
      <c r="A152" s="32">
        <v>41791</v>
      </c>
      <c r="B152" s="27">
        <f>'[15]Data Input'!B178</f>
        <v>32152920.416666668</v>
      </c>
      <c r="C152" s="17">
        <f t="shared" ref="C152:D152" si="139">C140</f>
        <v>28.635714285714283</v>
      </c>
      <c r="D152" s="17">
        <f t="shared" si="139"/>
        <v>59.24285714285714</v>
      </c>
      <c r="E152" s="17">
        <v>30</v>
      </c>
      <c r="F152" s="17">
        <f>'CDM Activity'!B121</f>
        <v>1174232.2685432076</v>
      </c>
      <c r="G152" s="17">
        <v>336</v>
      </c>
      <c r="H152" s="17">
        <v>0</v>
      </c>
      <c r="I152" s="34">
        <v>148.68370330077519</v>
      </c>
      <c r="J152" s="17">
        <f>'[15]Data Input'!AJ178</f>
        <v>22351</v>
      </c>
      <c r="K152" s="17">
        <f t="shared" si="119"/>
        <v>32248458.020136245</v>
      </c>
      <c r="L152" s="10"/>
    </row>
    <row r="153" spans="1:12" x14ac:dyDescent="0.2">
      <c r="A153" s="32">
        <v>41821</v>
      </c>
      <c r="B153" s="27">
        <f>'[15]Data Input'!B179</f>
        <v>33898997.416666664</v>
      </c>
      <c r="C153" s="17">
        <f t="shared" ref="C153:D153" si="140">C141</f>
        <v>4.7928571428571436</v>
      </c>
      <c r="D153" s="17">
        <f t="shared" si="140"/>
        <v>112.94285714285714</v>
      </c>
      <c r="E153" s="17">
        <v>31</v>
      </c>
      <c r="F153" s="17">
        <f>'CDM Activity'!B122</f>
        <v>1180227.2022648423</v>
      </c>
      <c r="G153" s="17">
        <v>352</v>
      </c>
      <c r="H153" s="17">
        <v>0</v>
      </c>
      <c r="I153" s="34">
        <v>149.0141717579576</v>
      </c>
      <c r="J153" s="17">
        <f>'[15]Data Input'!AJ179</f>
        <v>22375</v>
      </c>
      <c r="K153" s="17">
        <f t="shared" si="119"/>
        <v>37383887.041023195</v>
      </c>
      <c r="L153" s="10"/>
    </row>
    <row r="154" spans="1:12" x14ac:dyDescent="0.2">
      <c r="A154" s="32">
        <v>41852</v>
      </c>
      <c r="B154" s="27">
        <f>'[15]Data Input'!B180</f>
        <v>33235703.416666668</v>
      </c>
      <c r="C154" s="17">
        <f t="shared" ref="C154:D154" si="141">C142</f>
        <v>8.1785714285714288</v>
      </c>
      <c r="D154" s="17">
        <f t="shared" si="141"/>
        <v>88.214285714285694</v>
      </c>
      <c r="E154" s="17">
        <v>31</v>
      </c>
      <c r="F154" s="17">
        <f>'CDM Activity'!B123</f>
        <v>1186222.1359864771</v>
      </c>
      <c r="G154" s="17">
        <v>320</v>
      </c>
      <c r="H154" s="17">
        <v>0</v>
      </c>
      <c r="I154" s="34">
        <v>149.34537472335285</v>
      </c>
      <c r="J154" s="17">
        <f>'[15]Data Input'!AJ180</f>
        <v>22386</v>
      </c>
      <c r="K154" s="17">
        <f t="shared" si="119"/>
        <v>34613518.204680301</v>
      </c>
      <c r="L154" s="10"/>
    </row>
    <row r="155" spans="1:12" x14ac:dyDescent="0.2">
      <c r="A155" s="32">
        <v>41883</v>
      </c>
      <c r="B155" s="27">
        <f>'[15]Data Input'!B181</f>
        <v>28690043.416666668</v>
      </c>
      <c r="C155" s="17">
        <f t="shared" ref="C155:D155" si="142">C143</f>
        <v>58.871428571428574</v>
      </c>
      <c r="D155" s="17">
        <f t="shared" si="142"/>
        <v>33.699999999999989</v>
      </c>
      <c r="E155" s="17">
        <v>30</v>
      </c>
      <c r="F155" s="17">
        <f>'CDM Activity'!B124</f>
        <v>1192217.0697081119</v>
      </c>
      <c r="G155" s="17">
        <v>336</v>
      </c>
      <c r="H155" s="17">
        <v>1</v>
      </c>
      <c r="I155" s="34">
        <v>149.67731382949896</v>
      </c>
      <c r="J155" s="17">
        <f>'[15]Data Input'!AJ181</f>
        <v>22411</v>
      </c>
      <c r="K155" s="17">
        <f t="shared" si="119"/>
        <v>29516071.532275956</v>
      </c>
      <c r="L155" s="10"/>
    </row>
    <row r="156" spans="1:12" x14ac:dyDescent="0.2">
      <c r="A156" s="32">
        <v>41913</v>
      </c>
      <c r="B156" s="27">
        <f>'[15]Data Input'!B182</f>
        <v>29545098.416666668</v>
      </c>
      <c r="C156" s="17">
        <f t="shared" ref="C156:D156" si="143">C144</f>
        <v>236.51428571428571</v>
      </c>
      <c r="D156" s="17">
        <f t="shared" si="143"/>
        <v>3.7357142857142862</v>
      </c>
      <c r="E156" s="17">
        <v>31</v>
      </c>
      <c r="F156" s="17">
        <f>'CDM Activity'!B125</f>
        <v>1198212.0034297467</v>
      </c>
      <c r="G156" s="17">
        <v>352</v>
      </c>
      <c r="H156" s="17">
        <v>1</v>
      </c>
      <c r="I156" s="34">
        <v>150.00999071256246</v>
      </c>
      <c r="J156" s="17">
        <f>'[15]Data Input'!AJ182</f>
        <v>22460</v>
      </c>
      <c r="K156" s="17">
        <f t="shared" si="119"/>
        <v>30067734.025225818</v>
      </c>
      <c r="L156" s="10"/>
    </row>
    <row r="157" spans="1:12" x14ac:dyDescent="0.2">
      <c r="A157" s="32">
        <v>41944</v>
      </c>
      <c r="B157" s="27">
        <f>'[15]Data Input'!B183</f>
        <v>30497875.416666668</v>
      </c>
      <c r="C157" s="17">
        <f t="shared" ref="C157:D157" si="144">C145</f>
        <v>378.76428571428568</v>
      </c>
      <c r="D157" s="17">
        <f t="shared" si="144"/>
        <v>0</v>
      </c>
      <c r="E157" s="17">
        <v>30</v>
      </c>
      <c r="F157" s="17">
        <f>'CDM Activity'!B126</f>
        <v>1204206.9371513815</v>
      </c>
      <c r="G157" s="17">
        <v>304</v>
      </c>
      <c r="H157" s="17">
        <v>1</v>
      </c>
      <c r="I157" s="34">
        <v>150.34340701234646</v>
      </c>
      <c r="J157" s="17">
        <f>'[15]Data Input'!AJ183</f>
        <v>22458</v>
      </c>
      <c r="K157" s="17">
        <f t="shared" si="119"/>
        <v>29349336.09820839</v>
      </c>
      <c r="L157" s="10"/>
    </row>
    <row r="158" spans="1:12" x14ac:dyDescent="0.2">
      <c r="A158" s="32">
        <v>41974</v>
      </c>
      <c r="B158" s="27">
        <f>'[15]Data Input'!B184</f>
        <v>32693713.416666668</v>
      </c>
      <c r="C158" s="17">
        <f t="shared" ref="C158:D158" si="145">C146</f>
        <v>569.47857142857151</v>
      </c>
      <c r="D158" s="17">
        <f t="shared" si="145"/>
        <v>0</v>
      </c>
      <c r="E158" s="17">
        <v>31</v>
      </c>
      <c r="F158" s="17">
        <f>'CDM Activity'!B127</f>
        <v>1210201.8708730163</v>
      </c>
      <c r="G158" s="17">
        <v>336</v>
      </c>
      <c r="H158" s="17">
        <v>0</v>
      </c>
      <c r="I158" s="34">
        <v>150.67756437229883</v>
      </c>
      <c r="J158" s="17">
        <f>'[15]Data Input'!AJ184</f>
        <v>22470</v>
      </c>
      <c r="K158" s="17">
        <f t="shared" si="119"/>
        <v>33693225.833597332</v>
      </c>
      <c r="L158" s="10"/>
    </row>
    <row r="159" spans="1:12" x14ac:dyDescent="0.2">
      <c r="A159" s="32">
        <v>42005</v>
      </c>
      <c r="B159" s="27">
        <f>'[15]Data Input'!B187</f>
        <v>35250727.083333336</v>
      </c>
      <c r="C159" s="17">
        <f t="shared" ref="C159:D159" si="146">C147</f>
        <v>693.29285714285732</v>
      </c>
      <c r="D159" s="17">
        <f t="shared" si="146"/>
        <v>0</v>
      </c>
      <c r="E159" s="17">
        <v>31</v>
      </c>
      <c r="F159" s="17">
        <f>'CDM Activity'!B128</f>
        <v>1218507.6295574729</v>
      </c>
      <c r="G159" s="17">
        <v>336</v>
      </c>
      <c r="H159" s="17">
        <v>0</v>
      </c>
      <c r="I159" s="34">
        <v>150.98793548444445</v>
      </c>
      <c r="J159" s="17">
        <f>'[15]Data Input'!AJ187</f>
        <v>22484</v>
      </c>
      <c r="K159" s="17">
        <f t="shared" si="119"/>
        <v>34946964.924392752</v>
      </c>
      <c r="L159" s="10"/>
    </row>
    <row r="160" spans="1:12" x14ac:dyDescent="0.2">
      <c r="A160" s="32">
        <v>42036</v>
      </c>
      <c r="B160" s="27">
        <f>'[15]Data Input'!B188</f>
        <v>32507721.083333332</v>
      </c>
      <c r="C160" s="17">
        <f t="shared" ref="C160:D160" si="147">C148</f>
        <v>646.2071428571428</v>
      </c>
      <c r="D160" s="17">
        <f t="shared" si="147"/>
        <v>0</v>
      </c>
      <c r="E160" s="17">
        <v>28</v>
      </c>
      <c r="F160" s="17">
        <f>'CDM Activity'!B129</f>
        <v>1226813.3882419295</v>
      </c>
      <c r="G160" s="17">
        <v>304</v>
      </c>
      <c r="H160" s="17">
        <v>0</v>
      </c>
      <c r="I160" s="34">
        <v>151.298945910264</v>
      </c>
      <c r="J160" s="17">
        <f>'[15]Data Input'!AJ188</f>
        <v>22480</v>
      </c>
      <c r="K160" s="17">
        <f t="shared" si="119"/>
        <v>31414284.791140322</v>
      </c>
      <c r="L160" s="10"/>
    </row>
    <row r="161" spans="1:12" x14ac:dyDescent="0.2">
      <c r="A161" s="32">
        <v>42064</v>
      </c>
      <c r="B161" s="27">
        <f>'[15]Data Input'!B189</f>
        <v>32200533.083333332</v>
      </c>
      <c r="C161" s="17">
        <f t="shared" ref="C161:D161" si="148">C149</f>
        <v>538.09285714285716</v>
      </c>
      <c r="D161" s="17">
        <f t="shared" si="148"/>
        <v>0</v>
      </c>
      <c r="E161" s="17">
        <v>31</v>
      </c>
      <c r="F161" s="17">
        <f>'CDM Activity'!B130</f>
        <v>1235119.146926386</v>
      </c>
      <c r="G161" s="17">
        <v>352</v>
      </c>
      <c r="H161" s="17">
        <v>1</v>
      </c>
      <c r="I161" s="34">
        <v>151.61059696663892</v>
      </c>
      <c r="J161" s="17">
        <f>'[15]Data Input'!AJ189</f>
        <v>22502</v>
      </c>
      <c r="K161" s="17">
        <f t="shared" si="119"/>
        <v>32689137.598013334</v>
      </c>
      <c r="L161" s="10"/>
    </row>
    <row r="162" spans="1:12" x14ac:dyDescent="0.2">
      <c r="A162" s="32">
        <v>42095</v>
      </c>
      <c r="B162" s="27">
        <f>'[15]Data Input'!B190</f>
        <v>27396995.083333332</v>
      </c>
      <c r="C162" s="17">
        <f t="shared" ref="C162:D162" si="149">C150</f>
        <v>314.69285714285712</v>
      </c>
      <c r="D162" s="17">
        <f t="shared" si="149"/>
        <v>0.59285714285714275</v>
      </c>
      <c r="E162" s="17">
        <v>30</v>
      </c>
      <c r="F162" s="17">
        <f>'CDM Activity'!B131</f>
        <v>1243424.9056108426</v>
      </c>
      <c r="G162" s="17">
        <v>336</v>
      </c>
      <c r="H162" s="17">
        <v>1</v>
      </c>
      <c r="I162" s="34">
        <v>151.92288997316331</v>
      </c>
      <c r="J162" s="17">
        <f>'[15]Data Input'!AJ190</f>
        <v>22537</v>
      </c>
      <c r="K162" s="17">
        <f t="shared" si="119"/>
        <v>29173874.924929257</v>
      </c>
      <c r="L162" s="10"/>
    </row>
    <row r="163" spans="1:12" x14ac:dyDescent="0.2">
      <c r="A163" s="32">
        <v>42125</v>
      </c>
      <c r="B163" s="27">
        <f>'[15]Data Input'!B191</f>
        <v>28717672.083333332</v>
      </c>
      <c r="C163" s="17">
        <f t="shared" ref="C163:D163" si="150">C151</f>
        <v>143.67857142857142</v>
      </c>
      <c r="D163" s="17">
        <f t="shared" si="150"/>
        <v>14.428571428571429</v>
      </c>
      <c r="E163" s="17">
        <v>31</v>
      </c>
      <c r="F163" s="17">
        <f>'CDM Activity'!B132</f>
        <v>1251730.6642952992</v>
      </c>
      <c r="G163" s="17">
        <v>320</v>
      </c>
      <c r="H163" s="17">
        <v>1</v>
      </c>
      <c r="I163" s="34">
        <v>152.23582625214937</v>
      </c>
      <c r="J163" s="17">
        <f>'[15]Data Input'!AJ191</f>
        <v>22526</v>
      </c>
      <c r="K163" s="17">
        <f t="shared" si="119"/>
        <v>28746003.878515732</v>
      </c>
      <c r="L163" s="10"/>
    </row>
    <row r="164" spans="1:12" x14ac:dyDescent="0.2">
      <c r="A164" s="32">
        <v>42156</v>
      </c>
      <c r="B164" s="27">
        <f>'[15]Data Input'!B192</f>
        <v>29735254.083333332</v>
      </c>
      <c r="C164" s="17">
        <f t="shared" ref="C164:D164" si="151">C152</f>
        <v>28.635714285714283</v>
      </c>
      <c r="D164" s="17">
        <f t="shared" si="151"/>
        <v>59.24285714285714</v>
      </c>
      <c r="E164" s="17">
        <v>30</v>
      </c>
      <c r="F164" s="17">
        <f>'CDM Activity'!B133</f>
        <v>1260036.4229797558</v>
      </c>
      <c r="G164" s="17">
        <v>352</v>
      </c>
      <c r="H164" s="17">
        <v>0</v>
      </c>
      <c r="I164" s="34">
        <v>152.54940712863302</v>
      </c>
      <c r="J164" s="17">
        <f>'[15]Data Input'!AJ192</f>
        <v>22535</v>
      </c>
      <c r="K164" s="17">
        <f t="shared" si="119"/>
        <v>31954981.170431741</v>
      </c>
      <c r="L164" s="10"/>
    </row>
    <row r="165" spans="1:12" x14ac:dyDescent="0.2">
      <c r="A165" s="32">
        <v>42186</v>
      </c>
      <c r="B165" s="27">
        <f>'[15]Data Input'!B193</f>
        <v>35302271.083333336</v>
      </c>
      <c r="C165" s="17">
        <f t="shared" ref="C165:D165" si="152">C153</f>
        <v>4.7928571428571436</v>
      </c>
      <c r="D165" s="17">
        <f t="shared" si="152"/>
        <v>112.94285714285714</v>
      </c>
      <c r="E165" s="17">
        <v>31</v>
      </c>
      <c r="F165" s="17">
        <f>'CDM Activity'!B134</f>
        <v>1268342.1816642124</v>
      </c>
      <c r="G165" s="17">
        <v>352</v>
      </c>
      <c r="H165" s="17">
        <v>0</v>
      </c>
      <c r="I165" s="34">
        <v>152.86363393037959</v>
      </c>
      <c r="J165" s="17">
        <f>'[15]Data Input'!AJ193</f>
        <v>22560</v>
      </c>
      <c r="K165" s="17">
        <f t="shared" si="119"/>
        <v>36687329.638289742</v>
      </c>
      <c r="L165" s="10"/>
    </row>
    <row r="166" spans="1:12" x14ac:dyDescent="0.2">
      <c r="A166" s="32">
        <v>42217</v>
      </c>
      <c r="B166" s="27">
        <f>'[15]Data Input'!B194</f>
        <v>33761714.083333336</v>
      </c>
      <c r="C166" s="17">
        <f t="shared" ref="C166:D166" si="153">C154</f>
        <v>8.1785714285714288</v>
      </c>
      <c r="D166" s="17">
        <f t="shared" si="153"/>
        <v>88.214285714285694</v>
      </c>
      <c r="E166" s="17">
        <v>31</v>
      </c>
      <c r="F166" s="17">
        <f>'CDM Activity'!B135</f>
        <v>1276647.940348669</v>
      </c>
      <c r="G166" s="17">
        <v>320</v>
      </c>
      <c r="H166" s="17">
        <v>0</v>
      </c>
      <c r="I166" s="34">
        <v>153.17850798788936</v>
      </c>
      <c r="J166" s="17">
        <f>'[15]Data Input'!AJ194</f>
        <v>22588</v>
      </c>
      <c r="K166" s="17">
        <f t="shared" si="119"/>
        <v>33898693.507949315</v>
      </c>
      <c r="L166" s="10"/>
    </row>
    <row r="167" spans="1:12" x14ac:dyDescent="0.2">
      <c r="A167" s="32">
        <v>42248</v>
      </c>
      <c r="B167" s="27">
        <f>'[15]Data Input'!B195</f>
        <v>32384101.083333332</v>
      </c>
      <c r="C167" s="17">
        <f t="shared" ref="C167:D167" si="154">C155</f>
        <v>58.871428571428574</v>
      </c>
      <c r="D167" s="17">
        <f t="shared" si="154"/>
        <v>33.699999999999989</v>
      </c>
      <c r="E167" s="17">
        <v>30</v>
      </c>
      <c r="F167" s="17">
        <f>'CDM Activity'!B136</f>
        <v>1284953.6990331255</v>
      </c>
      <c r="G167" s="17">
        <v>336</v>
      </c>
      <c r="H167" s="17">
        <v>1</v>
      </c>
      <c r="I167" s="34">
        <v>153.4940306344032</v>
      </c>
      <c r="J167" s="17">
        <f>'[15]Data Input'!AJ195</f>
        <v>22606</v>
      </c>
      <c r="K167" s="17">
        <f t="shared" si="119"/>
        <v>28782979.541547436</v>
      </c>
      <c r="L167" s="10"/>
    </row>
    <row r="168" spans="1:12" x14ac:dyDescent="0.2">
      <c r="A168" s="32">
        <v>42278</v>
      </c>
      <c r="B168" s="27">
        <f>'[15]Data Input'!B196</f>
        <v>27193803.083333332</v>
      </c>
      <c r="C168" s="17">
        <f t="shared" ref="C168:D168" si="155">C156</f>
        <v>236.51428571428571</v>
      </c>
      <c r="D168" s="17">
        <f t="shared" si="155"/>
        <v>3.7357142857142862</v>
      </c>
      <c r="E168" s="17">
        <v>31</v>
      </c>
      <c r="F168" s="17">
        <f>'CDM Activity'!B137</f>
        <v>1293259.4577175821</v>
      </c>
      <c r="G168" s="17">
        <v>336</v>
      </c>
      <c r="H168" s="17">
        <v>1</v>
      </c>
      <c r="I168" s="34">
        <v>153.81020320590829</v>
      </c>
      <c r="J168" s="17">
        <f>'[15]Data Input'!AJ196</f>
        <v>22626</v>
      </c>
      <c r="K168" s="17">
        <f t="shared" si="119"/>
        <v>28931561.481468353</v>
      </c>
      <c r="L168" s="10"/>
    </row>
    <row r="169" spans="1:12" x14ac:dyDescent="0.2">
      <c r="A169" s="32">
        <v>42309</v>
      </c>
      <c r="B169" s="27">
        <f>'[15]Data Input'!B197</f>
        <v>27893759.083333332</v>
      </c>
      <c r="C169" s="17">
        <f t="shared" ref="C169:D169" si="156">C157</f>
        <v>378.76428571428568</v>
      </c>
      <c r="D169" s="17">
        <f t="shared" si="156"/>
        <v>0</v>
      </c>
      <c r="E169" s="17">
        <v>30</v>
      </c>
      <c r="F169" s="17">
        <f>'CDM Activity'!B138</f>
        <v>1301565.2164020387</v>
      </c>
      <c r="G169" s="17">
        <v>320</v>
      </c>
      <c r="H169" s="17">
        <v>1</v>
      </c>
      <c r="I169" s="34">
        <v>154.12702704114372</v>
      </c>
      <c r="J169" s="17">
        <f>'[15]Data Input'!AJ197</f>
        <v>22650</v>
      </c>
      <c r="K169" s="17">
        <f t="shared" si="119"/>
        <v>28964522.778516222</v>
      </c>
      <c r="L169" s="10"/>
    </row>
    <row r="170" spans="1:12" x14ac:dyDescent="0.2">
      <c r="A170" s="32">
        <v>42339</v>
      </c>
      <c r="B170" s="27">
        <f>'[15]Data Input'!B198</f>
        <v>30136379.083333332</v>
      </c>
      <c r="C170" s="17">
        <f t="shared" ref="C170:D170" si="157">C158</f>
        <v>569.47857142857151</v>
      </c>
      <c r="D170" s="17">
        <f t="shared" si="157"/>
        <v>0</v>
      </c>
      <c r="E170" s="17">
        <v>31</v>
      </c>
      <c r="F170" s="17">
        <f>'CDM Activity'!B139</f>
        <v>1309870.9750864953</v>
      </c>
      <c r="G170" s="17">
        <v>352</v>
      </c>
      <c r="H170" s="17">
        <v>0</v>
      </c>
      <c r="I170" s="34">
        <v>154.44450348160629</v>
      </c>
      <c r="J170" s="17">
        <f>'[15]Data Input'!AJ198</f>
        <v>22667</v>
      </c>
      <c r="K170" s="17">
        <f t="shared" si="119"/>
        <v>33290145.219907634</v>
      </c>
      <c r="L170" s="10"/>
    </row>
    <row r="171" spans="1:12" x14ac:dyDescent="0.2">
      <c r="A171" s="32">
        <v>42370</v>
      </c>
      <c r="C171" s="132">
        <f t="shared" ref="C171:D171" si="158">C159</f>
        <v>693.29285714285732</v>
      </c>
      <c r="D171" s="132">
        <f t="shared" si="158"/>
        <v>0</v>
      </c>
      <c r="E171" s="17">
        <v>31</v>
      </c>
      <c r="F171" s="17">
        <f ca="1">'CDM Activity'!B140</f>
        <v>1301560.0145390357</v>
      </c>
      <c r="G171" s="17">
        <v>320</v>
      </c>
      <c r="H171" s="17">
        <v>0</v>
      </c>
      <c r="I171" s="34">
        <v>154.72483615659849</v>
      </c>
      <c r="J171" s="17"/>
      <c r="K171" s="17">
        <f t="shared" ca="1" si="119"/>
        <v>33905614.559322022</v>
      </c>
      <c r="L171" s="10"/>
    </row>
    <row r="172" spans="1:12" x14ac:dyDescent="0.2">
      <c r="A172" s="32">
        <v>42401</v>
      </c>
      <c r="C172" s="132">
        <f t="shared" ref="C172:D172" si="159">C160</f>
        <v>646.2071428571428</v>
      </c>
      <c r="D172" s="132">
        <f t="shared" si="159"/>
        <v>0</v>
      </c>
      <c r="E172" s="17">
        <v>29</v>
      </c>
      <c r="F172" s="17">
        <f ca="1">'CDM Activity'!B141</f>
        <v>1293249.0539915762</v>
      </c>
      <c r="G172" s="17">
        <v>320</v>
      </c>
      <c r="H172" s="17">
        <v>0</v>
      </c>
      <c r="I172" s="34">
        <v>155.00567766425806</v>
      </c>
      <c r="J172" s="17"/>
      <c r="K172" s="17">
        <f t="shared" ca="1" si="119"/>
        <v>32005797.142617084</v>
      </c>
      <c r="L172" s="10"/>
    </row>
    <row r="173" spans="1:12" x14ac:dyDescent="0.2">
      <c r="A173" s="32">
        <v>42430</v>
      </c>
      <c r="C173" s="132">
        <f t="shared" ref="C173:D173" si="160">C161</f>
        <v>538.09285714285716</v>
      </c>
      <c r="D173" s="132">
        <f t="shared" si="160"/>
        <v>0</v>
      </c>
      <c r="E173" s="17">
        <v>31</v>
      </c>
      <c r="F173" s="17">
        <f ca="1">'CDM Activity'!B142</f>
        <v>1284938.0934441166</v>
      </c>
      <c r="G173" s="17">
        <v>352</v>
      </c>
      <c r="H173" s="17">
        <v>1</v>
      </c>
      <c r="I173" s="34">
        <v>155.2870289281687</v>
      </c>
      <c r="J173" s="17"/>
      <c r="K173" s="17">
        <f t="shared" ca="1" si="119"/>
        <v>32295314.025337614</v>
      </c>
      <c r="L173" s="10"/>
    </row>
    <row r="174" spans="1:12" x14ac:dyDescent="0.2">
      <c r="A174" s="32">
        <v>42461</v>
      </c>
      <c r="C174" s="132">
        <f t="shared" ref="C174:D174" si="161">C162</f>
        <v>314.69285714285712</v>
      </c>
      <c r="D174" s="132">
        <f t="shared" si="161"/>
        <v>0.59285714285714275</v>
      </c>
      <c r="E174" s="17">
        <v>30</v>
      </c>
      <c r="F174" s="17">
        <f ca="1">'CDM Activity'!B143</f>
        <v>1276627.1328966571</v>
      </c>
      <c r="G174" s="17">
        <v>336</v>
      </c>
      <c r="H174" s="17">
        <v>1</v>
      </c>
      <c r="I174" s="34">
        <v>155.56889087359048</v>
      </c>
      <c r="J174" s="17"/>
      <c r="K174" s="17">
        <f t="shared" ca="1" si="119"/>
        <v>28911408.118935335</v>
      </c>
      <c r="L174" s="10"/>
    </row>
    <row r="175" spans="1:12" x14ac:dyDescent="0.2">
      <c r="A175" s="32">
        <v>42491</v>
      </c>
      <c r="C175" s="132">
        <f t="shared" ref="C175:D175" si="162">C163</f>
        <v>143.67857142857142</v>
      </c>
      <c r="D175" s="132">
        <f t="shared" si="162"/>
        <v>14.428571428571429</v>
      </c>
      <c r="E175" s="17">
        <v>31</v>
      </c>
      <c r="F175" s="17">
        <f ca="1">'CDM Activity'!B144</f>
        <v>1268316.1723491976</v>
      </c>
      <c r="G175" s="17">
        <v>336</v>
      </c>
      <c r="H175" s="17">
        <v>1</v>
      </c>
      <c r="I175" s="34">
        <v>155.85126442746289</v>
      </c>
      <c r="J175" s="17"/>
      <c r="K175" s="17">
        <f t="shared" ca="1" si="119"/>
        <v>28999707.098235022</v>
      </c>
      <c r="L175" s="10"/>
    </row>
    <row r="176" spans="1:12" x14ac:dyDescent="0.2">
      <c r="A176" s="32">
        <v>42522</v>
      </c>
      <c r="C176" s="132">
        <f t="shared" ref="C176:D176" si="163">C164</f>
        <v>28.635714285714283</v>
      </c>
      <c r="D176" s="132">
        <f t="shared" si="163"/>
        <v>59.24285714285714</v>
      </c>
      <c r="E176" s="17">
        <v>30</v>
      </c>
      <c r="F176" s="17">
        <f ca="1">'CDM Activity'!B145</f>
        <v>1260005.211801738</v>
      </c>
      <c r="G176" s="17">
        <v>352</v>
      </c>
      <c r="H176" s="17">
        <v>0</v>
      </c>
      <c r="I176" s="34">
        <v>156.13415051840798</v>
      </c>
      <c r="J176" s="17"/>
      <c r="K176" s="17">
        <f t="shared" ca="1" si="119"/>
        <v>31955227.897801414</v>
      </c>
      <c r="L176" s="10"/>
    </row>
    <row r="177" spans="1:12" x14ac:dyDescent="0.2">
      <c r="A177" s="32">
        <v>42552</v>
      </c>
      <c r="C177" s="132">
        <f t="shared" ref="C177:D177" si="164">C165</f>
        <v>4.7928571428571436</v>
      </c>
      <c r="D177" s="132">
        <f t="shared" si="164"/>
        <v>112.94285714285714</v>
      </c>
      <c r="E177" s="17">
        <v>31</v>
      </c>
      <c r="F177" s="17">
        <f ca="1">'CDM Activity'!B146</f>
        <v>1251694.2512542785</v>
      </c>
      <c r="G177" s="17">
        <v>320</v>
      </c>
      <c r="H177" s="17">
        <v>0</v>
      </c>
      <c r="I177" s="34">
        <v>156.41755007673331</v>
      </c>
      <c r="J177" s="17"/>
      <c r="K177" s="17">
        <f t="shared" ca="1" si="119"/>
        <v>36049306.614278384</v>
      </c>
      <c r="L177" s="10"/>
    </row>
    <row r="178" spans="1:12" x14ac:dyDescent="0.2">
      <c r="A178" s="32">
        <v>42583</v>
      </c>
      <c r="C178" s="132">
        <f t="shared" ref="C178:D178" si="165">C166</f>
        <v>8.1785714285714288</v>
      </c>
      <c r="D178" s="132">
        <f t="shared" si="165"/>
        <v>88.214285714285694</v>
      </c>
      <c r="E178" s="17">
        <v>31</v>
      </c>
      <c r="F178" s="17">
        <f ca="1">'CDM Activity'!B147</f>
        <v>1243383.2907068189</v>
      </c>
      <c r="G178" s="17">
        <v>352</v>
      </c>
      <c r="H178" s="17">
        <v>0</v>
      </c>
      <c r="I178" s="34">
        <v>156.70146403443502</v>
      </c>
      <c r="J178" s="17"/>
      <c r="K178" s="17">
        <f t="shared" ca="1" si="119"/>
        <v>34931280.286745422</v>
      </c>
      <c r="L178" s="10"/>
    </row>
    <row r="179" spans="1:12" x14ac:dyDescent="0.2">
      <c r="A179" s="32">
        <v>42614</v>
      </c>
      <c r="C179" s="132">
        <f t="shared" ref="C179:D179" si="166">C167</f>
        <v>58.871428571428574</v>
      </c>
      <c r="D179" s="132">
        <f t="shared" si="166"/>
        <v>33.699999999999989</v>
      </c>
      <c r="E179" s="17">
        <v>30</v>
      </c>
      <c r="F179" s="17">
        <f ca="1">'CDM Activity'!B148</f>
        <v>1235072.3301593594</v>
      </c>
      <c r="G179" s="17">
        <v>336</v>
      </c>
      <c r="H179" s="17">
        <v>1</v>
      </c>
      <c r="I179" s="34">
        <v>156.98589332520095</v>
      </c>
      <c r="J179" s="17"/>
      <c r="K179" s="17">
        <f t="shared" ca="1" si="119"/>
        <v>29177296.568962511</v>
      </c>
      <c r="L179" s="10"/>
    </row>
    <row r="180" spans="1:12" x14ac:dyDescent="0.2">
      <c r="A180" s="32">
        <v>42644</v>
      </c>
      <c r="C180" s="132">
        <f t="shared" ref="C180:D180" si="167">C168</f>
        <v>236.51428571428571</v>
      </c>
      <c r="D180" s="132">
        <f t="shared" si="167"/>
        <v>3.7357142857142862</v>
      </c>
      <c r="E180" s="17">
        <v>31</v>
      </c>
      <c r="F180" s="17">
        <f ca="1">'CDM Activity'!B149</f>
        <v>1226761.3696118998</v>
      </c>
      <c r="G180" s="17">
        <v>320</v>
      </c>
      <c r="H180" s="17">
        <v>1</v>
      </c>
      <c r="I180" s="34">
        <v>157.27083888441365</v>
      </c>
      <c r="J180" s="17"/>
      <c r="K180" s="17">
        <f t="shared" ca="1" si="119"/>
        <v>29072422.016533811</v>
      </c>
      <c r="L180" s="10"/>
    </row>
    <row r="181" spans="1:12" x14ac:dyDescent="0.2">
      <c r="A181" s="32">
        <v>42675</v>
      </c>
      <c r="C181" s="132">
        <f t="shared" ref="C181:D181" si="168">C169</f>
        <v>378.76428571428568</v>
      </c>
      <c r="D181" s="132">
        <f t="shared" si="168"/>
        <v>0</v>
      </c>
      <c r="E181" s="17">
        <v>30</v>
      </c>
      <c r="F181" s="17">
        <f ca="1">'CDM Activity'!B150</f>
        <v>1218450.4090644403</v>
      </c>
      <c r="G181" s="17">
        <v>336</v>
      </c>
      <c r="H181" s="17">
        <v>1</v>
      </c>
      <c r="I181" s="34">
        <v>157.55630164915351</v>
      </c>
      <c r="J181" s="17"/>
      <c r="K181" s="17">
        <f t="shared" ca="1" si="119"/>
        <v>30006366.598326307</v>
      </c>
      <c r="L181" s="10"/>
    </row>
    <row r="182" spans="1:12" x14ac:dyDescent="0.2">
      <c r="A182" s="32">
        <v>42705</v>
      </c>
      <c r="C182" s="132">
        <f t="shared" ref="C182:D182" si="169">C170</f>
        <v>569.47857142857151</v>
      </c>
      <c r="D182" s="132">
        <f t="shared" si="169"/>
        <v>0</v>
      </c>
      <c r="E182" s="17">
        <v>31</v>
      </c>
      <c r="F182" s="17">
        <f ca="1">'CDM Activity'!B151</f>
        <v>1210139.4485169807</v>
      </c>
      <c r="G182" s="17">
        <v>336</v>
      </c>
      <c r="H182" s="17">
        <v>0</v>
      </c>
      <c r="I182" s="34">
        <v>157.84228255820162</v>
      </c>
      <c r="J182" s="17"/>
      <c r="K182" s="17">
        <f t="shared" ca="1" si="119"/>
        <v>33693719.288336687</v>
      </c>
      <c r="L182" s="10"/>
    </row>
    <row r="183" spans="1:12" x14ac:dyDescent="0.2">
      <c r="A183" s="32">
        <v>42736</v>
      </c>
      <c r="C183" s="132">
        <f t="shared" ref="C183:D183" si="170">C171</f>
        <v>693.29285714285732</v>
      </c>
      <c r="D183" s="132">
        <f t="shared" si="170"/>
        <v>0</v>
      </c>
      <c r="E183" s="17">
        <v>31</v>
      </c>
      <c r="F183" s="17">
        <f ca="1">'CDM Activity'!B152</f>
        <v>1201838.5451896612</v>
      </c>
      <c r="G183" s="17">
        <v>336</v>
      </c>
      <c r="H183" s="17">
        <v>0</v>
      </c>
      <c r="I183" s="34">
        <v>158.15454692394951</v>
      </c>
      <c r="J183" s="17"/>
      <c r="K183" s="17">
        <f t="shared" ca="1" si="119"/>
        <v>35078735.642519608</v>
      </c>
      <c r="L183" s="10"/>
    </row>
    <row r="184" spans="1:12" x14ac:dyDescent="0.2">
      <c r="A184" s="32">
        <v>42767</v>
      </c>
      <c r="C184" s="132">
        <f t="shared" ref="C184:D184" si="171">C172</f>
        <v>646.2071428571428</v>
      </c>
      <c r="D184" s="132">
        <f t="shared" si="171"/>
        <v>0</v>
      </c>
      <c r="E184" s="17">
        <v>28</v>
      </c>
      <c r="F184" s="17">
        <f ca="1">'CDM Activity'!B153</f>
        <v>1193537.6418623417</v>
      </c>
      <c r="G184" s="17">
        <v>304</v>
      </c>
      <c r="H184" s="17">
        <v>0</v>
      </c>
      <c r="I184" s="34">
        <v>158.46742905214063</v>
      </c>
      <c r="J184" s="17"/>
      <c r="K184" s="17">
        <f t="shared" ca="1" si="119"/>
        <v>31677332.772654671</v>
      </c>
      <c r="L184" s="10"/>
    </row>
    <row r="185" spans="1:12" x14ac:dyDescent="0.2">
      <c r="A185" s="32">
        <v>42795</v>
      </c>
      <c r="C185" s="132">
        <f t="shared" ref="C185:D185" si="172">C173</f>
        <v>538.09285714285716</v>
      </c>
      <c r="D185" s="132">
        <f t="shared" si="172"/>
        <v>0</v>
      </c>
      <c r="E185" s="17">
        <v>31</v>
      </c>
      <c r="F185" s="17">
        <f ca="1">'CDM Activity'!B154</f>
        <v>1185236.7385350221</v>
      </c>
      <c r="G185" s="17">
        <v>368</v>
      </c>
      <c r="H185" s="17">
        <v>1</v>
      </c>
      <c r="I185" s="34">
        <v>158.78093016491388</v>
      </c>
      <c r="J185" s="17"/>
      <c r="K185" s="17">
        <f t="shared" ca="1" si="119"/>
        <v>33468276.101946596</v>
      </c>
      <c r="L185" s="10"/>
    </row>
    <row r="186" spans="1:12" x14ac:dyDescent="0.2">
      <c r="A186" s="32">
        <v>42826</v>
      </c>
      <c r="C186" s="132">
        <f t="shared" ref="C186:D186" si="173">C174</f>
        <v>314.69285714285712</v>
      </c>
      <c r="D186" s="132">
        <f t="shared" si="173"/>
        <v>0.59285714285714275</v>
      </c>
      <c r="E186" s="17">
        <v>30</v>
      </c>
      <c r="F186" s="17">
        <f ca="1">'CDM Activity'!B155</f>
        <v>1176935.8352077026</v>
      </c>
      <c r="G186" s="17">
        <v>304</v>
      </c>
      <c r="H186" s="17">
        <v>1</v>
      </c>
      <c r="I186" s="34">
        <v>159.09505148682601</v>
      </c>
      <c r="J186" s="17"/>
      <c r="K186" s="17">
        <f t="shared" ca="1" si="119"/>
        <v>28929850.915155776</v>
      </c>
      <c r="L186" s="10"/>
    </row>
    <row r="187" spans="1:12" x14ac:dyDescent="0.2">
      <c r="A187" s="32">
        <v>42856</v>
      </c>
      <c r="C187" s="132">
        <f t="shared" ref="C187:D187" si="174">C175</f>
        <v>143.67857142857142</v>
      </c>
      <c r="D187" s="132">
        <f t="shared" si="174"/>
        <v>14.428571428571429</v>
      </c>
      <c r="E187" s="17">
        <v>31</v>
      </c>
      <c r="F187" s="17">
        <f ca="1">'CDM Activity'!B156</f>
        <v>1168634.9318803831</v>
      </c>
      <c r="G187" s="17">
        <v>352</v>
      </c>
      <c r="H187" s="17">
        <v>1</v>
      </c>
      <c r="I187" s="34">
        <v>159.4097942448563</v>
      </c>
      <c r="J187" s="17"/>
      <c r="K187" s="17">
        <f t="shared" ca="1" si="119"/>
        <v>30172510.1682554</v>
      </c>
      <c r="L187" s="10"/>
    </row>
    <row r="188" spans="1:12" x14ac:dyDescent="0.2">
      <c r="A188" s="32">
        <v>42887</v>
      </c>
      <c r="C188" s="132">
        <f t="shared" ref="C188:D188" si="175">C176</f>
        <v>28.635714285714283</v>
      </c>
      <c r="D188" s="132">
        <f t="shared" si="175"/>
        <v>59.24285714285714</v>
      </c>
      <c r="E188" s="17">
        <v>30</v>
      </c>
      <c r="F188" s="17">
        <f ca="1">'CDM Activity'!B157</f>
        <v>1160334.0285530635</v>
      </c>
      <c r="G188" s="17">
        <v>352</v>
      </c>
      <c r="H188" s="17">
        <v>0</v>
      </c>
      <c r="I188" s="34">
        <v>159.72515966841141</v>
      </c>
      <c r="J188" s="17"/>
      <c r="K188" s="17">
        <f t="shared" ca="1" si="119"/>
        <v>32743138.20549608</v>
      </c>
      <c r="L188" s="10"/>
    </row>
    <row r="189" spans="1:12" x14ac:dyDescent="0.2">
      <c r="A189" s="32">
        <v>42917</v>
      </c>
      <c r="C189" s="132">
        <f t="shared" ref="C189:D189" si="176">C177</f>
        <v>4.7928571428571436</v>
      </c>
      <c r="D189" s="132">
        <f t="shared" si="176"/>
        <v>112.94285714285714</v>
      </c>
      <c r="E189" s="17">
        <v>31</v>
      </c>
      <c r="F189" s="17">
        <f ca="1">'CDM Activity'!B158</f>
        <v>1152033.125225744</v>
      </c>
      <c r="G189" s="17">
        <v>320</v>
      </c>
      <c r="H189" s="17">
        <v>0</v>
      </c>
      <c r="I189" s="34">
        <v>160.0411489893302</v>
      </c>
      <c r="J189" s="17"/>
      <c r="K189" s="17">
        <f t="shared" ca="1" si="119"/>
        <v>36837137.418678753</v>
      </c>
      <c r="L189" s="10"/>
    </row>
    <row r="190" spans="1:12" x14ac:dyDescent="0.2">
      <c r="A190" s="32">
        <v>42948</v>
      </c>
      <c r="C190" s="132">
        <f t="shared" ref="C190:D190" si="177">C178</f>
        <v>8.1785714285714288</v>
      </c>
      <c r="D190" s="132">
        <f t="shared" si="177"/>
        <v>88.214285714285694</v>
      </c>
      <c r="E190" s="17">
        <v>31</v>
      </c>
      <c r="F190" s="17">
        <f ca="1">'CDM Activity'!B159</f>
        <v>1143732.2218984244</v>
      </c>
      <c r="G190" s="17">
        <v>352</v>
      </c>
      <c r="H190" s="17">
        <v>0</v>
      </c>
      <c r="I190" s="34">
        <v>160.35776344188849</v>
      </c>
      <c r="J190" s="17"/>
      <c r="K190" s="17">
        <f t="shared" ca="1" si="119"/>
        <v>35719031.587851487</v>
      </c>
      <c r="L190" s="10"/>
    </row>
    <row r="191" spans="1:12" x14ac:dyDescent="0.2">
      <c r="A191" s="32">
        <v>42979</v>
      </c>
      <c r="C191" s="132">
        <f t="shared" ref="C191:D191" si="178">C179</f>
        <v>58.871428571428574</v>
      </c>
      <c r="D191" s="132">
        <f t="shared" si="178"/>
        <v>33.699999999999989</v>
      </c>
      <c r="E191" s="17">
        <v>30</v>
      </c>
      <c r="F191" s="17">
        <f ca="1">'CDM Activity'!B160</f>
        <v>1135431.3185711049</v>
      </c>
      <c r="G191" s="17">
        <v>320</v>
      </c>
      <c r="H191" s="17">
        <v>1</v>
      </c>
      <c r="I191" s="34">
        <v>160.67500426280395</v>
      </c>
      <c r="J191" s="17"/>
      <c r="K191" s="17">
        <f t="shared" ca="1" si="119"/>
        <v>29580155.107742857</v>
      </c>
      <c r="L191" s="10"/>
    </row>
    <row r="192" spans="1:12" x14ac:dyDescent="0.2">
      <c r="A192" s="32">
        <v>43009</v>
      </c>
      <c r="C192" s="132">
        <f t="shared" ref="C192:D192" si="179">C180</f>
        <v>236.51428571428571</v>
      </c>
      <c r="D192" s="132">
        <f t="shared" si="179"/>
        <v>3.7357142857142862</v>
      </c>
      <c r="E192" s="17">
        <v>31</v>
      </c>
      <c r="F192" s="17">
        <f ca="1">'CDM Activity'!B161</f>
        <v>1127130.4152437854</v>
      </c>
      <c r="G192" s="17">
        <v>336</v>
      </c>
      <c r="H192" s="17">
        <v>1</v>
      </c>
      <c r="I192" s="34">
        <v>160.99287269124085</v>
      </c>
      <c r="J192" s="17"/>
      <c r="K192" s="17">
        <f t="shared" ca="1" si="119"/>
        <v>30244827.570082691</v>
      </c>
      <c r="L192" s="10"/>
    </row>
    <row r="193" spans="1:13" x14ac:dyDescent="0.2">
      <c r="A193" s="32">
        <v>43040</v>
      </c>
      <c r="C193" s="132">
        <f t="shared" ref="C193:D193" si="180">C181</f>
        <v>378.76428571428568</v>
      </c>
      <c r="D193" s="132">
        <f t="shared" si="180"/>
        <v>0</v>
      </c>
      <c r="E193" s="17">
        <v>30</v>
      </c>
      <c r="F193" s="17">
        <f ca="1">'CDM Activity'!B162</f>
        <v>1118829.5119164658</v>
      </c>
      <c r="G193" s="17">
        <v>352</v>
      </c>
      <c r="H193" s="17">
        <v>1</v>
      </c>
      <c r="I193" s="34">
        <v>161.31136996881492</v>
      </c>
      <c r="J193" s="17"/>
      <c r="K193" s="17">
        <f t="shared" ca="1" si="119"/>
        <v>31178692.648580883</v>
      </c>
      <c r="L193" s="10"/>
    </row>
    <row r="194" spans="1:13" x14ac:dyDescent="0.2">
      <c r="A194" s="32">
        <v>43070</v>
      </c>
      <c r="C194" s="132">
        <f t="shared" ref="C194:D194" si="181">C182</f>
        <v>569.47857142857151</v>
      </c>
      <c r="D194" s="132">
        <f t="shared" si="181"/>
        <v>0</v>
      </c>
      <c r="E194" s="17">
        <v>31</v>
      </c>
      <c r="F194" s="17">
        <f ca="1">'CDM Activity'!B163</f>
        <v>1110528.6085891463</v>
      </c>
      <c r="G194" s="17">
        <v>304</v>
      </c>
      <c r="H194" s="17">
        <v>0</v>
      </c>
      <c r="I194" s="34">
        <v>161.63049733959846</v>
      </c>
      <c r="J194" s="17"/>
      <c r="K194" s="17">
        <f t="shared" ca="1" si="119"/>
        <v>33711526.058202721</v>
      </c>
      <c r="L194" s="10"/>
    </row>
    <row r="195" spans="1:13" x14ac:dyDescent="0.2">
      <c r="A195" s="32"/>
      <c r="F195" s="17"/>
    </row>
    <row r="196" spans="1:13" x14ac:dyDescent="0.2">
      <c r="A196" s="32"/>
      <c r="D196" s="148" t="s">
        <v>67</v>
      </c>
      <c r="K196" s="131">
        <f ca="1">SUM(K3:K195)</f>
        <v>7196961095.8890285</v>
      </c>
    </row>
    <row r="197" spans="1:13" x14ac:dyDescent="0.2">
      <c r="A197" s="32"/>
    </row>
    <row r="198" spans="1:13" x14ac:dyDescent="0.2">
      <c r="A198" s="33">
        <v>2002</v>
      </c>
      <c r="B198" s="27">
        <f>SUM(B3:B14)</f>
        <v>522661540</v>
      </c>
      <c r="K198" s="27">
        <f>SUM(K3:K14)</f>
        <v>499771589.55224931</v>
      </c>
      <c r="L198" s="37">
        <f t="shared" ref="L198:L211" si="182">K198-B198</f>
        <v>-22889950.447750688</v>
      </c>
      <c r="M198" s="5">
        <f t="shared" ref="M198:M211" si="183">L198/B198</f>
        <v>-4.3794977621178489E-2</v>
      </c>
    </row>
    <row r="199" spans="1:13" x14ac:dyDescent="0.2">
      <c r="A199" s="133">
        <v>2003</v>
      </c>
      <c r="B199" s="27">
        <f>SUM(B15:B26)</f>
        <v>497113270</v>
      </c>
      <c r="K199" s="27">
        <f>SUM(K15:K26)</f>
        <v>499806799.96545064</v>
      </c>
      <c r="L199" s="37">
        <f t="shared" si="182"/>
        <v>2693529.9654506445</v>
      </c>
      <c r="M199" s="5">
        <f t="shared" si="183"/>
        <v>5.4183425146760705E-3</v>
      </c>
    </row>
    <row r="200" spans="1:13" x14ac:dyDescent="0.2">
      <c r="A200" s="33">
        <v>2004</v>
      </c>
      <c r="B200" s="27">
        <f>SUM(B27:B38)</f>
        <v>501185430</v>
      </c>
      <c r="K200" s="27">
        <f>SUM(K27:K38)</f>
        <v>500954277.7170074</v>
      </c>
      <c r="L200" s="37">
        <f t="shared" si="182"/>
        <v>-231152.28299260139</v>
      </c>
      <c r="M200" s="5">
        <f t="shared" si="183"/>
        <v>-4.6121109903893536E-4</v>
      </c>
    </row>
    <row r="201" spans="1:13" x14ac:dyDescent="0.2">
      <c r="A201" s="133">
        <v>2005</v>
      </c>
      <c r="B201" s="27">
        <f>SUM(B39:B50)</f>
        <v>520774860</v>
      </c>
      <c r="K201" s="27">
        <f>SUM(K39:K50)</f>
        <v>499410249.90201873</v>
      </c>
      <c r="L201" s="37">
        <f t="shared" si="182"/>
        <v>-21364610.097981274</v>
      </c>
      <c r="M201" s="5">
        <f t="shared" si="183"/>
        <v>-4.1024657177155734E-2</v>
      </c>
    </row>
    <row r="202" spans="1:13" x14ac:dyDescent="0.2">
      <c r="A202" s="33">
        <v>2006</v>
      </c>
      <c r="B202" s="27">
        <f>SUM(B51:B62)</f>
        <v>488381990</v>
      </c>
      <c r="K202" s="27">
        <f>SUM(K51:K62)</f>
        <v>493118691.39882755</v>
      </c>
      <c r="L202" s="37">
        <f t="shared" si="182"/>
        <v>4736701.3988275528</v>
      </c>
      <c r="M202" s="5">
        <f t="shared" si="183"/>
        <v>9.6987634593723501E-3</v>
      </c>
    </row>
    <row r="203" spans="1:13" x14ac:dyDescent="0.2">
      <c r="A203" s="133">
        <v>2007</v>
      </c>
      <c r="B203" s="27">
        <f>SUM(B63:B74)</f>
        <v>493927030</v>
      </c>
      <c r="K203" s="27">
        <f>SUM(K63:K74)</f>
        <v>484210386.69273919</v>
      </c>
      <c r="L203" s="37">
        <f t="shared" si="182"/>
        <v>-9716643.3072608113</v>
      </c>
      <c r="M203" s="5">
        <f t="shared" si="183"/>
        <v>-1.9672224270173694E-2</v>
      </c>
    </row>
    <row r="204" spans="1:13" x14ac:dyDescent="0.2">
      <c r="A204" s="33">
        <v>2008</v>
      </c>
      <c r="B204" s="27">
        <f>SUM(B75:B86)</f>
        <v>487062910</v>
      </c>
      <c r="K204" s="27">
        <f>SUM(K75:K86)</f>
        <v>474527023.2878558</v>
      </c>
      <c r="L204" s="37">
        <f t="shared" si="182"/>
        <v>-12535886.712144196</v>
      </c>
      <c r="M204" s="5">
        <f t="shared" si="183"/>
        <v>-2.5737715713446945E-2</v>
      </c>
    </row>
    <row r="205" spans="1:13" x14ac:dyDescent="0.2">
      <c r="A205" s="133">
        <v>2009</v>
      </c>
      <c r="B205" s="27">
        <f>SUM(B87:B98)</f>
        <v>419617213.07692301</v>
      </c>
      <c r="K205" s="27">
        <f>SUM(K87:K98)</f>
        <v>462277842.38195193</v>
      </c>
      <c r="L205" s="37">
        <f t="shared" si="182"/>
        <v>42660629.305028915</v>
      </c>
      <c r="M205" s="5">
        <f t="shared" si="183"/>
        <v>0.1016655846699227</v>
      </c>
    </row>
    <row r="206" spans="1:13" x14ac:dyDescent="0.2">
      <c r="A206" s="33">
        <v>2010</v>
      </c>
      <c r="B206" s="27">
        <f>SUM(B99:B110)</f>
        <v>443594623.07692289</v>
      </c>
      <c r="K206" s="27">
        <f>SUM(K99:K110)</f>
        <v>459003446.36685783</v>
      </c>
      <c r="L206" s="37">
        <f t="shared" si="182"/>
        <v>15408823.289934933</v>
      </c>
      <c r="M206" s="5">
        <f t="shared" si="183"/>
        <v>3.4736271560403736E-2</v>
      </c>
    </row>
    <row r="207" spans="1:13" x14ac:dyDescent="0.2">
      <c r="A207" s="33">
        <v>2011</v>
      </c>
      <c r="B207" s="27">
        <f>SUM(B111:B122)</f>
        <v>451220848.00000006</v>
      </c>
      <c r="K207" s="27">
        <f>SUM(K111:K122)</f>
        <v>445002689.00166786</v>
      </c>
      <c r="L207" s="37">
        <f t="shared" si="182"/>
        <v>-6218158.9983322024</v>
      </c>
      <c r="M207" s="5">
        <f t="shared" si="183"/>
        <v>-1.3780744010153098E-2</v>
      </c>
    </row>
    <row r="208" spans="1:13" x14ac:dyDescent="0.2">
      <c r="A208" s="33">
        <v>2012</v>
      </c>
      <c r="B208" s="27">
        <f>SUM(B123:B134)</f>
        <v>421671164.32258064</v>
      </c>
      <c r="K208" s="27">
        <f>SUM(K123:K134)</f>
        <v>432230801.17604595</v>
      </c>
      <c r="L208" s="37">
        <f t="shared" si="182"/>
        <v>10559636.853465319</v>
      </c>
      <c r="M208" s="5">
        <f t="shared" si="183"/>
        <v>2.5042349932629354E-2</v>
      </c>
    </row>
    <row r="209" spans="1:14" x14ac:dyDescent="0.2">
      <c r="A209" s="33">
        <v>2013</v>
      </c>
      <c r="B209" s="27">
        <f>SUM(B135:B146)</f>
        <v>415369616</v>
      </c>
      <c r="K209" s="27">
        <f>SUM(K135:K146)</f>
        <v>409862206.57280034</v>
      </c>
      <c r="L209" s="37">
        <f t="shared" si="182"/>
        <v>-5507409.4271996617</v>
      </c>
      <c r="M209" s="5">
        <f t="shared" si="183"/>
        <v>-1.3259057030304455E-2</v>
      </c>
    </row>
    <row r="210" spans="1:14" x14ac:dyDescent="0.2">
      <c r="A210" s="33">
        <v>2014</v>
      </c>
      <c r="B210" s="27">
        <f>SUM(B147:B158)</f>
        <v>391554997.00000006</v>
      </c>
      <c r="K210" s="27">
        <f>SUM(K147:K158)</f>
        <v>386959938.0058552</v>
      </c>
      <c r="L210" s="37">
        <f t="shared" si="182"/>
        <v>-4595058.9941448569</v>
      </c>
      <c r="M210" s="5">
        <f t="shared" si="183"/>
        <v>-1.1735411447564431E-2</v>
      </c>
    </row>
    <row r="211" spans="1:14" x14ac:dyDescent="0.2">
      <c r="A211" s="133">
        <v>2015</v>
      </c>
      <c r="B211" s="27">
        <f>SUM(B159:B170)</f>
        <v>372480929.99999994</v>
      </c>
      <c r="K211" s="27">
        <f>SUM(K159:K170)</f>
        <v>379480479.45510191</v>
      </c>
      <c r="L211" s="37">
        <f t="shared" si="182"/>
        <v>6999549.4551019669</v>
      </c>
      <c r="M211" s="5">
        <f t="shared" si="183"/>
        <v>1.8791698826304926E-2</v>
      </c>
    </row>
    <row r="212" spans="1:14" x14ac:dyDescent="0.2">
      <c r="A212" s="33">
        <v>2016</v>
      </c>
      <c r="K212" s="27">
        <f ca="1">SUM(K171:K182)</f>
        <v>381003460.21543163</v>
      </c>
    </row>
    <row r="213" spans="1:14" x14ac:dyDescent="0.2">
      <c r="A213" s="133">
        <v>2017</v>
      </c>
      <c r="K213" s="27">
        <f ca="1">SUM(K183:K194)</f>
        <v>389341214.19716752</v>
      </c>
    </row>
    <row r="214" spans="1:14" x14ac:dyDescent="0.2">
      <c r="K214" s="27"/>
    </row>
    <row r="215" spans="1:14" x14ac:dyDescent="0.2">
      <c r="A215" s="51" t="s">
        <v>181</v>
      </c>
      <c r="B215" s="27">
        <f>SUM(B198:B211)</f>
        <v>6426616421.4764261</v>
      </c>
      <c r="K215" s="27">
        <f>SUM(K198:K211)</f>
        <v>6426616421.4764309</v>
      </c>
      <c r="L215" s="6">
        <f>K215-B215</f>
        <v>0</v>
      </c>
    </row>
    <row r="217" spans="1:14" x14ac:dyDescent="0.2">
      <c r="K217" s="27">
        <f ca="1">SUM(K198:K213)</f>
        <v>7196961095.8890295</v>
      </c>
      <c r="L217" s="49">
        <f ca="1">K196-K217</f>
        <v>0</v>
      </c>
    </row>
    <row r="218" spans="1:14" x14ac:dyDescent="0.2">
      <c r="K218" s="18"/>
      <c r="L218" s="18" t="s">
        <v>64</v>
      </c>
      <c r="M218" s="18"/>
    </row>
    <row r="221" spans="1:14" x14ac:dyDescent="0.2">
      <c r="A221" s="51" t="s">
        <v>190</v>
      </c>
    </row>
    <row r="222" spans="1:14" x14ac:dyDescent="0.2">
      <c r="A222" s="32">
        <v>42736</v>
      </c>
      <c r="C222" s="132">
        <f>'Historical HDD &amp; CDD'!AK30</f>
        <v>684.37</v>
      </c>
      <c r="D222" s="132">
        <f>'Historical HDD &amp; CDD'!AK43</f>
        <v>0</v>
      </c>
      <c r="E222" s="17">
        <f>E183</f>
        <v>31</v>
      </c>
      <c r="F222" s="17">
        <f t="shared" ref="F222:H222" ca="1" si="184">F183</f>
        <v>1201838.5451896612</v>
      </c>
      <c r="G222" s="17">
        <f t="shared" si="184"/>
        <v>336</v>
      </c>
      <c r="H222" s="17">
        <f t="shared" si="184"/>
        <v>0</v>
      </c>
      <c r="I222" s="34">
        <v>143.1291789570798</v>
      </c>
      <c r="J222" s="17">
        <f>J221+($J$140-$J$128)/12</f>
        <v>11.916666666666666</v>
      </c>
      <c r="K222" s="17">
        <f t="shared" ref="K222:K233" ca="1" si="185">$O$18+$O$19*C222+$O$20*D222+$O$21*E222+$O$22*F222+$O$23*G222+H222*$O$24</f>
        <v>34983651.378969818</v>
      </c>
      <c r="L222" s="10"/>
      <c r="N222" s="146"/>
    </row>
    <row r="223" spans="1:14" x14ac:dyDescent="0.2">
      <c r="A223" s="32">
        <v>42767</v>
      </c>
      <c r="C223" s="132">
        <f>'Historical HDD &amp; CDD'!AK31</f>
        <v>663.53</v>
      </c>
      <c r="D223" s="132">
        <f>'Historical HDD &amp; CDD'!AK44</f>
        <v>0</v>
      </c>
      <c r="E223" s="17">
        <f t="shared" ref="E223:H233" si="186">E184</f>
        <v>28</v>
      </c>
      <c r="F223" s="17">
        <f t="shared" ca="1" si="186"/>
        <v>1193537.6418623417</v>
      </c>
      <c r="G223" s="17">
        <f t="shared" si="186"/>
        <v>304</v>
      </c>
      <c r="H223" s="17">
        <f t="shared" si="186"/>
        <v>0</v>
      </c>
      <c r="I223" s="34">
        <v>143.42400163116841</v>
      </c>
      <c r="J223" s="17">
        <f>J222+($J$140-$J$128)/12</f>
        <v>23.833333333333332</v>
      </c>
      <c r="K223" s="17">
        <f t="shared" ca="1" si="185"/>
        <v>31861929.59939253</v>
      </c>
      <c r="L223" s="10"/>
      <c r="N223" s="146"/>
    </row>
    <row r="224" spans="1:14" x14ac:dyDescent="0.2">
      <c r="A224" s="32">
        <v>42795</v>
      </c>
      <c r="C224" s="132">
        <f>'Historical HDD &amp; CDD'!AK32</f>
        <v>542.12</v>
      </c>
      <c r="D224" s="132">
        <f>'Historical HDD &amp; CDD'!AK45</f>
        <v>0</v>
      </c>
      <c r="E224" s="17">
        <f t="shared" si="186"/>
        <v>31</v>
      </c>
      <c r="F224" s="17">
        <f t="shared" ca="1" si="186"/>
        <v>1185236.7385350221</v>
      </c>
      <c r="G224" s="17">
        <f t="shared" si="186"/>
        <v>368</v>
      </c>
      <c r="H224" s="17">
        <f t="shared" si="186"/>
        <v>1</v>
      </c>
      <c r="I224" s="34">
        <v>143.71943159169427</v>
      </c>
      <c r="J224" s="17">
        <f>J223+($J$140-$J$128)/12</f>
        <v>35.75</v>
      </c>
      <c r="K224" s="17">
        <f t="shared" ca="1" si="185"/>
        <v>33511190.373311762</v>
      </c>
      <c r="L224" s="10"/>
      <c r="N224" s="146"/>
    </row>
    <row r="225" spans="1:14" x14ac:dyDescent="0.2">
      <c r="A225" s="32">
        <v>42826</v>
      </c>
      <c r="C225" s="132">
        <f>'Historical HDD &amp; CDD'!AK33</f>
        <v>313.20999999999998</v>
      </c>
      <c r="D225" s="132">
        <f>'Historical HDD &amp; CDD'!AK46</f>
        <v>0.24</v>
      </c>
      <c r="E225" s="17">
        <f t="shared" si="186"/>
        <v>30</v>
      </c>
      <c r="F225" s="17">
        <f t="shared" ca="1" si="186"/>
        <v>1176935.8352077026</v>
      </c>
      <c r="G225" s="17">
        <f t="shared" si="186"/>
        <v>304</v>
      </c>
      <c r="H225" s="17">
        <f t="shared" si="186"/>
        <v>1</v>
      </c>
      <c r="I225" s="34">
        <v>144.01547008956803</v>
      </c>
      <c r="J225" s="17">
        <f>J224+($J$140-$J$128)/12</f>
        <v>47.666666666666664</v>
      </c>
      <c r="K225" s="17">
        <f t="shared" ca="1" si="185"/>
        <v>28885661.604122512</v>
      </c>
      <c r="L225" s="10"/>
      <c r="N225" s="146"/>
    </row>
    <row r="226" spans="1:14" x14ac:dyDescent="0.2">
      <c r="A226" s="32">
        <v>42856</v>
      </c>
      <c r="C226" s="132">
        <f>'Historical HDD &amp; CDD'!AK34</f>
        <v>134.59999999999997</v>
      </c>
      <c r="D226" s="132">
        <f>'Historical HDD &amp; CDD'!AK47</f>
        <v>17.610000000000003</v>
      </c>
      <c r="E226" s="17">
        <f t="shared" si="186"/>
        <v>31</v>
      </c>
      <c r="F226" s="17">
        <f t="shared" ca="1" si="186"/>
        <v>1168634.9318803831</v>
      </c>
      <c r="G226" s="17">
        <f t="shared" si="186"/>
        <v>352</v>
      </c>
      <c r="H226" s="17">
        <f t="shared" si="186"/>
        <v>1</v>
      </c>
      <c r="I226" s="34">
        <v>144.31211837827698</v>
      </c>
      <c r="J226" s="17">
        <f>J225+($J$140-$J$128)/12</f>
        <v>59.583333333333329</v>
      </c>
      <c r="K226" s="17">
        <f t="shared" ca="1" si="185"/>
        <v>30331714.722502161</v>
      </c>
      <c r="L226" s="10"/>
      <c r="N226" s="146"/>
    </row>
    <row r="227" spans="1:14" x14ac:dyDescent="0.2">
      <c r="A227" s="32">
        <v>42887</v>
      </c>
      <c r="C227" s="132">
        <f>'Historical HDD &amp; CDD'!AK35</f>
        <v>28.799999999999994</v>
      </c>
      <c r="D227" s="132">
        <f>'Historical HDD &amp; CDD'!AK48</f>
        <v>53.589999999999996</v>
      </c>
      <c r="E227" s="17">
        <f t="shared" si="186"/>
        <v>30</v>
      </c>
      <c r="F227" s="17">
        <f t="shared" ca="1" si="186"/>
        <v>1160334.0285530635</v>
      </c>
      <c r="G227" s="17">
        <f t="shared" si="186"/>
        <v>352</v>
      </c>
      <c r="H227" s="17">
        <f t="shared" si="186"/>
        <v>0</v>
      </c>
      <c r="I227" s="34">
        <v>144.60937771389038</v>
      </c>
      <c r="J227" s="17">
        <f>SUM('Rate Class Customer Model'!B57:E57)</f>
        <v>0</v>
      </c>
      <c r="K227" s="17">
        <f t="shared" ca="1" si="185"/>
        <v>32290112.573330689</v>
      </c>
      <c r="L227" s="10"/>
      <c r="N227" s="146"/>
    </row>
    <row r="228" spans="1:14" x14ac:dyDescent="0.2">
      <c r="A228" s="32">
        <v>42917</v>
      </c>
      <c r="C228" s="132">
        <f>'Historical HDD &amp; CDD'!AK36</f>
        <v>6.4800000000000013</v>
      </c>
      <c r="D228" s="132">
        <f>'Historical HDD &amp; CDD'!AK49</f>
        <v>102.28999999999999</v>
      </c>
      <c r="E228" s="17">
        <f t="shared" si="186"/>
        <v>31</v>
      </c>
      <c r="F228" s="17">
        <f t="shared" ca="1" si="186"/>
        <v>1152033.125225744</v>
      </c>
      <c r="G228" s="17">
        <f t="shared" si="186"/>
        <v>320</v>
      </c>
      <c r="H228" s="17">
        <f t="shared" si="186"/>
        <v>0</v>
      </c>
      <c r="I228" s="34">
        <v>144.90724935506483</v>
      </c>
      <c r="J228" s="17">
        <f t="shared" ref="J228:J233" si="187">J227+($J$140-$J$128)/12</f>
        <v>11.916666666666666</v>
      </c>
      <c r="K228" s="17">
        <f t="shared" ca="1" si="185"/>
        <v>35998086.254214428</v>
      </c>
      <c r="L228" s="10"/>
      <c r="N228" s="146"/>
    </row>
    <row r="229" spans="1:14" x14ac:dyDescent="0.2">
      <c r="A229" s="32">
        <v>42948</v>
      </c>
      <c r="C229" s="132">
        <f>'Historical HDD &amp; CDD'!AK37</f>
        <v>9.74</v>
      </c>
      <c r="D229" s="132">
        <f>'Historical HDD &amp; CDD'!AK50</f>
        <v>75.989999999999995</v>
      </c>
      <c r="E229" s="17">
        <f t="shared" si="186"/>
        <v>31</v>
      </c>
      <c r="F229" s="17">
        <f t="shared" ca="1" si="186"/>
        <v>1143732.2218984244</v>
      </c>
      <c r="G229" s="17">
        <f t="shared" si="186"/>
        <v>352</v>
      </c>
      <c r="H229" s="17">
        <f t="shared" si="186"/>
        <v>0</v>
      </c>
      <c r="I229" s="34">
        <v>145.20573456304953</v>
      </c>
      <c r="J229" s="17">
        <f t="shared" si="187"/>
        <v>23.833333333333332</v>
      </c>
      <c r="K229" s="17">
        <f t="shared" ca="1" si="185"/>
        <v>34752218.254098251</v>
      </c>
      <c r="L229" s="10"/>
      <c r="N229" s="146"/>
    </row>
    <row r="230" spans="1:14" x14ac:dyDescent="0.2">
      <c r="A230" s="32">
        <v>42979</v>
      </c>
      <c r="C230" s="132">
        <f>'Historical HDD &amp; CDD'!AK38</f>
        <v>70.37</v>
      </c>
      <c r="D230" s="132">
        <f>'Historical HDD &amp; CDD'!AK51</f>
        <v>26.9</v>
      </c>
      <c r="E230" s="17">
        <f t="shared" si="186"/>
        <v>30</v>
      </c>
      <c r="F230" s="17">
        <f t="shared" ca="1" si="186"/>
        <v>1135431.3185711049</v>
      </c>
      <c r="G230" s="17">
        <f t="shared" si="186"/>
        <v>320</v>
      </c>
      <c r="H230" s="17">
        <f t="shared" si="186"/>
        <v>1</v>
      </c>
      <c r="I230" s="34">
        <v>145.50483460169167</v>
      </c>
      <c r="J230" s="17">
        <f t="shared" si="187"/>
        <v>35.75</v>
      </c>
      <c r="K230" s="17">
        <f t="shared" ca="1" si="185"/>
        <v>29155622.099376392</v>
      </c>
      <c r="L230" s="10"/>
      <c r="N230" s="146"/>
    </row>
    <row r="231" spans="1:14" x14ac:dyDescent="0.2">
      <c r="A231" s="32">
        <v>43009</v>
      </c>
      <c r="C231" s="132">
        <f>'Historical HDD &amp; CDD'!AK39</f>
        <v>236.65000000000003</v>
      </c>
      <c r="D231" s="132">
        <f>'Historical HDD &amp; CDD'!AK52</f>
        <v>3.0700000000000003</v>
      </c>
      <c r="E231" s="17">
        <f t="shared" si="186"/>
        <v>31</v>
      </c>
      <c r="F231" s="17">
        <f t="shared" ca="1" si="186"/>
        <v>1127130.4152437854</v>
      </c>
      <c r="G231" s="17">
        <f t="shared" si="186"/>
        <v>336</v>
      </c>
      <c r="H231" s="17">
        <f t="shared" si="186"/>
        <v>1</v>
      </c>
      <c r="I231" s="34">
        <v>145.8045507374417</v>
      </c>
      <c r="J231" s="17">
        <f t="shared" si="187"/>
        <v>47.666666666666664</v>
      </c>
      <c r="K231" s="17">
        <f t="shared" ca="1" si="185"/>
        <v>30192716.597482074</v>
      </c>
      <c r="L231" s="10"/>
      <c r="N231" s="146"/>
    </row>
    <row r="232" spans="1:14" x14ac:dyDescent="0.2">
      <c r="A232" s="32">
        <v>43040</v>
      </c>
      <c r="C232" s="132">
        <f>'Historical HDD &amp; CDD'!AK40</f>
        <v>381.17999999999995</v>
      </c>
      <c r="D232" s="132">
        <f>'Historical HDD &amp; CDD'!AK53</f>
        <v>0</v>
      </c>
      <c r="E232" s="17">
        <f t="shared" si="186"/>
        <v>30</v>
      </c>
      <c r="F232" s="17">
        <f t="shared" ca="1" si="186"/>
        <v>1118829.5119164658</v>
      </c>
      <c r="G232" s="17">
        <f t="shared" si="186"/>
        <v>352</v>
      </c>
      <c r="H232" s="17">
        <f t="shared" si="186"/>
        <v>1</v>
      </c>
      <c r="I232" s="34">
        <v>146.1048842393588</v>
      </c>
      <c r="J232" s="17">
        <f t="shared" si="187"/>
        <v>59.583333333333329</v>
      </c>
      <c r="K232" s="17">
        <f t="shared" ca="1" si="185"/>
        <v>31204435.122109968</v>
      </c>
      <c r="L232" s="10"/>
      <c r="N232" s="146"/>
    </row>
    <row r="233" spans="1:14" x14ac:dyDescent="0.2">
      <c r="A233" s="32">
        <v>43070</v>
      </c>
      <c r="C233" s="132">
        <f>'Historical HDD &amp; CDD'!AK41</f>
        <v>558.82999999999993</v>
      </c>
      <c r="D233" s="132">
        <f>'Historical HDD &amp; CDD'!AK54</f>
        <v>0</v>
      </c>
      <c r="E233" s="17">
        <f t="shared" si="186"/>
        <v>31</v>
      </c>
      <c r="F233" s="17">
        <f t="shared" ca="1" si="186"/>
        <v>1110528.6085891463</v>
      </c>
      <c r="G233" s="17">
        <f t="shared" si="186"/>
        <v>304</v>
      </c>
      <c r="H233" s="17">
        <f t="shared" si="186"/>
        <v>0</v>
      </c>
      <c r="I233" s="34">
        <v>146.40583637911641</v>
      </c>
      <c r="J233" s="17">
        <f t="shared" si="187"/>
        <v>71.5</v>
      </c>
      <c r="K233" s="17">
        <f t="shared" ca="1" si="185"/>
        <v>33598052.138814308</v>
      </c>
      <c r="L233" s="10">
        <f ca="1">SUM(K222:K233)</f>
        <v>386765390.71772492</v>
      </c>
      <c r="N233" s="146"/>
    </row>
    <row r="235" spans="1:14" x14ac:dyDescent="0.2">
      <c r="A235" s="51" t="s">
        <v>192</v>
      </c>
    </row>
    <row r="236" spans="1:14" x14ac:dyDescent="0.2">
      <c r="A236" s="32">
        <v>42736</v>
      </c>
      <c r="C236" s="132">
        <f>'Historical HDD &amp; CDD'!AJ30</f>
        <v>715.35278195488718</v>
      </c>
      <c r="D236" s="132">
        <f>'Historical HDD &amp; CDD'!AJ43</f>
        <v>0</v>
      </c>
      <c r="E236" s="17">
        <f>E222</f>
        <v>31</v>
      </c>
      <c r="F236" s="17">
        <f t="shared" ref="F236:H236" ca="1" si="188">F222</f>
        <v>1201838.5451896612</v>
      </c>
      <c r="G236" s="17">
        <f t="shared" si="188"/>
        <v>336</v>
      </c>
      <c r="H236" s="17">
        <f t="shared" si="188"/>
        <v>0</v>
      </c>
      <c r="I236" s="34">
        <v>143.1291789570798</v>
      </c>
      <c r="J236" s="17">
        <f>J235+($J$140-$J$128)/12</f>
        <v>11.916666666666666</v>
      </c>
      <c r="K236" s="17">
        <f t="shared" ref="K236:K247" ca="1" si="189">$O$18+$O$19*C236+$O$20*D236+$O$21*E236+$O$22*F236+$O$23*G236+H236*$O$24</f>
        <v>35313811.882241152</v>
      </c>
      <c r="L236" s="10"/>
      <c r="N236" s="146"/>
    </row>
    <row r="237" spans="1:14" x14ac:dyDescent="0.2">
      <c r="A237" s="32">
        <v>42767</v>
      </c>
      <c r="C237" s="132">
        <f>'Historical HDD &amp; CDD'!AJ31</f>
        <v>721.80323308270818</v>
      </c>
      <c r="D237" s="132">
        <f>'Historical HDD &amp; CDD'!AJ44</f>
        <v>0</v>
      </c>
      <c r="E237" s="17">
        <f t="shared" ref="E237:H247" si="190">E223</f>
        <v>28</v>
      </c>
      <c r="F237" s="17">
        <f t="shared" ca="1" si="190"/>
        <v>1193537.6418623417</v>
      </c>
      <c r="G237" s="17">
        <f t="shared" si="190"/>
        <v>304</v>
      </c>
      <c r="H237" s="17">
        <f t="shared" si="190"/>
        <v>0</v>
      </c>
      <c r="I237" s="34">
        <v>143.42400163116841</v>
      </c>
      <c r="J237" s="17">
        <f>J236+($J$140-$J$128)/12</f>
        <v>23.833333333333332</v>
      </c>
      <c r="K237" s="17">
        <f t="shared" ca="1" si="189"/>
        <v>32482904.177784111</v>
      </c>
      <c r="L237" s="10"/>
      <c r="N237" s="146"/>
    </row>
    <row r="238" spans="1:14" x14ac:dyDescent="0.2">
      <c r="A238" s="32">
        <v>42795</v>
      </c>
      <c r="C238" s="132">
        <f>'Historical HDD &amp; CDD'!AJ32</f>
        <v>555.00947368421066</v>
      </c>
      <c r="D238" s="132">
        <f>'Historical HDD &amp; CDD'!AJ45</f>
        <v>-6.3759398496241459E-2</v>
      </c>
      <c r="E238" s="17">
        <f t="shared" si="190"/>
        <v>31</v>
      </c>
      <c r="F238" s="17">
        <f t="shared" ca="1" si="190"/>
        <v>1185236.7385350221</v>
      </c>
      <c r="G238" s="17">
        <f t="shared" si="190"/>
        <v>368</v>
      </c>
      <c r="H238" s="17">
        <f t="shared" si="190"/>
        <v>1</v>
      </c>
      <c r="I238" s="34">
        <v>143.71943159169427</v>
      </c>
      <c r="J238" s="17">
        <f>J237+($J$140-$J$128)/12</f>
        <v>35.75</v>
      </c>
      <c r="K238" s="17">
        <f t="shared" ca="1" si="189"/>
        <v>33643414.436103359</v>
      </c>
      <c r="L238" s="10"/>
      <c r="N238" s="146"/>
    </row>
    <row r="239" spans="1:14" x14ac:dyDescent="0.2">
      <c r="A239" s="32">
        <v>42826</v>
      </c>
      <c r="C239" s="132">
        <f>'Historical HDD &amp; CDD'!AJ33</f>
        <v>306.33601503759382</v>
      </c>
      <c r="D239" s="132">
        <f>'Historical HDD &amp; CDD'!AJ46</f>
        <v>0.19458646616541841</v>
      </c>
      <c r="E239" s="17">
        <f t="shared" si="190"/>
        <v>30</v>
      </c>
      <c r="F239" s="17">
        <f t="shared" ca="1" si="190"/>
        <v>1176935.8352077026</v>
      </c>
      <c r="G239" s="17">
        <f t="shared" si="190"/>
        <v>304</v>
      </c>
      <c r="H239" s="17">
        <f t="shared" si="190"/>
        <v>1</v>
      </c>
      <c r="I239" s="34">
        <v>144.01547008956803</v>
      </c>
      <c r="J239" s="17">
        <f>J238+($J$140-$J$128)/12</f>
        <v>47.666666666666664</v>
      </c>
      <c r="K239" s="17">
        <f t="shared" ca="1" si="189"/>
        <v>28808757.099660777</v>
      </c>
      <c r="L239" s="10"/>
      <c r="N239" s="146"/>
    </row>
    <row r="240" spans="1:14" x14ac:dyDescent="0.2">
      <c r="A240" s="32">
        <v>42856</v>
      </c>
      <c r="C240" s="132">
        <f>'Historical HDD &amp; CDD'!AJ34</f>
        <v>116.62601503759379</v>
      </c>
      <c r="D240" s="132">
        <f>'Historical HDD &amp; CDD'!AJ47</f>
        <v>21.31872180451137</v>
      </c>
      <c r="E240" s="17">
        <f t="shared" si="190"/>
        <v>31</v>
      </c>
      <c r="F240" s="17">
        <f t="shared" ca="1" si="190"/>
        <v>1168634.9318803831</v>
      </c>
      <c r="G240" s="17">
        <f t="shared" si="190"/>
        <v>352</v>
      </c>
      <c r="H240" s="17">
        <f t="shared" si="190"/>
        <v>1</v>
      </c>
      <c r="I240" s="34">
        <v>144.31211837827698</v>
      </c>
      <c r="J240" s="17">
        <f>J239+($J$140-$J$128)/12</f>
        <v>59.583333333333329</v>
      </c>
      <c r="K240" s="17">
        <f t="shared" ca="1" si="189"/>
        <v>30438548.568035718</v>
      </c>
      <c r="L240" s="10"/>
      <c r="N240" s="146"/>
    </row>
    <row r="241" spans="1:14" x14ac:dyDescent="0.2">
      <c r="A241" s="32">
        <v>42887</v>
      </c>
      <c r="C241" s="132">
        <f>'Historical HDD &amp; CDD'!AJ35</f>
        <v>28.464210526315753</v>
      </c>
      <c r="D241" s="132">
        <f>'Historical HDD &amp; CDD'!AJ48</f>
        <v>47.76007518796996</v>
      </c>
      <c r="E241" s="17">
        <f t="shared" si="190"/>
        <v>30</v>
      </c>
      <c r="F241" s="17">
        <f t="shared" ca="1" si="190"/>
        <v>1160334.0285530635</v>
      </c>
      <c r="G241" s="17">
        <f t="shared" si="190"/>
        <v>352</v>
      </c>
      <c r="H241" s="17">
        <f t="shared" si="190"/>
        <v>0</v>
      </c>
      <c r="I241" s="34">
        <v>144.60937771389038</v>
      </c>
      <c r="J241" s="17">
        <f>SUM('Rate Class Customer Model'!B71:E71)</f>
        <v>0</v>
      </c>
      <c r="K241" s="17">
        <f t="shared" ca="1" si="189"/>
        <v>31817512.793597057</v>
      </c>
      <c r="L241" s="10"/>
      <c r="N241" s="146"/>
    </row>
    <row r="242" spans="1:14" x14ac:dyDescent="0.2">
      <c r="A242" s="32">
        <v>42917</v>
      </c>
      <c r="C242" s="132">
        <f>'Historical HDD &amp; CDD'!AJ36</f>
        <v>5.6444360902255646</v>
      </c>
      <c r="D242" s="132">
        <f>'Historical HDD &amp; CDD'!AJ49</f>
        <v>104.40353383458648</v>
      </c>
      <c r="E242" s="17">
        <f t="shared" si="190"/>
        <v>31</v>
      </c>
      <c r="F242" s="17">
        <f t="shared" ca="1" si="190"/>
        <v>1152033.125225744</v>
      </c>
      <c r="G242" s="17">
        <f t="shared" si="190"/>
        <v>320</v>
      </c>
      <c r="H242" s="17">
        <f t="shared" si="190"/>
        <v>0</v>
      </c>
      <c r="I242" s="34">
        <v>144.90724935506483</v>
      </c>
      <c r="J242" s="17">
        <f t="shared" ref="J242:J247" si="191">J241+($J$140-$J$128)/12</f>
        <v>11.916666666666666</v>
      </c>
      <c r="K242" s="17">
        <f t="shared" ca="1" si="189"/>
        <v>36159217.542331927</v>
      </c>
      <c r="L242" s="10"/>
      <c r="N242" s="146"/>
    </row>
    <row r="243" spans="1:14" x14ac:dyDescent="0.2">
      <c r="A243" s="32">
        <v>42948</v>
      </c>
      <c r="C243" s="132">
        <f>'Historical HDD &amp; CDD'!AJ37</f>
        <v>10.724736842105301</v>
      </c>
      <c r="D243" s="132">
        <f>'Historical HDD &amp; CDD'!AJ50</f>
        <v>68.140075187970069</v>
      </c>
      <c r="E243" s="17">
        <f t="shared" si="190"/>
        <v>31</v>
      </c>
      <c r="F243" s="17">
        <f t="shared" ca="1" si="190"/>
        <v>1143732.2218984244</v>
      </c>
      <c r="G243" s="17">
        <f t="shared" si="190"/>
        <v>352</v>
      </c>
      <c r="H243" s="17">
        <f t="shared" si="190"/>
        <v>0</v>
      </c>
      <c r="I243" s="34">
        <v>145.20573456304953</v>
      </c>
      <c r="J243" s="17">
        <f t="shared" si="191"/>
        <v>23.833333333333332</v>
      </c>
      <c r="K243" s="17">
        <f t="shared" ca="1" si="189"/>
        <v>34131179.932816833</v>
      </c>
      <c r="L243" s="10"/>
      <c r="N243" s="146"/>
    </row>
    <row r="244" spans="1:14" x14ac:dyDescent="0.2">
      <c r="A244" s="32">
        <v>42979</v>
      </c>
      <c r="C244" s="132">
        <f>'Historical HDD &amp; CDD'!AJ38</f>
        <v>67.793834586466119</v>
      </c>
      <c r="D244" s="132">
        <f>'Historical HDD &amp; CDD'!AJ51</f>
        <v>28.23699248120306</v>
      </c>
      <c r="E244" s="17">
        <f t="shared" si="190"/>
        <v>30</v>
      </c>
      <c r="F244" s="17">
        <f t="shared" ca="1" si="190"/>
        <v>1135431.3185711049</v>
      </c>
      <c r="G244" s="17">
        <f t="shared" si="190"/>
        <v>320</v>
      </c>
      <c r="H244" s="17">
        <f t="shared" si="190"/>
        <v>1</v>
      </c>
      <c r="I244" s="34">
        <v>145.50483460169167</v>
      </c>
      <c r="J244" s="17">
        <f t="shared" si="191"/>
        <v>35.75</v>
      </c>
      <c r="K244" s="17">
        <f t="shared" ca="1" si="189"/>
        <v>29235731.795691986</v>
      </c>
      <c r="L244" s="10"/>
      <c r="N244" s="146"/>
    </row>
    <row r="245" spans="1:14" x14ac:dyDescent="0.2">
      <c r="A245" s="32">
        <v>43009</v>
      </c>
      <c r="C245" s="132">
        <f>'Historical HDD &amp; CDD'!AJ39</f>
        <v>232.18360902255642</v>
      </c>
      <c r="D245" s="132">
        <f>'Historical HDD &amp; CDD'!AJ52</f>
        <v>3.3601503759398526</v>
      </c>
      <c r="E245" s="17">
        <f t="shared" si="190"/>
        <v>31</v>
      </c>
      <c r="F245" s="17">
        <f t="shared" ca="1" si="190"/>
        <v>1127130.4152437854</v>
      </c>
      <c r="G245" s="17">
        <f t="shared" si="190"/>
        <v>336</v>
      </c>
      <c r="H245" s="17">
        <f t="shared" si="190"/>
        <v>1</v>
      </c>
      <c r="I245" s="34">
        <v>145.8045507374417</v>
      </c>
      <c r="J245" s="17">
        <f t="shared" si="191"/>
        <v>47.666666666666664</v>
      </c>
      <c r="K245" s="17">
        <f t="shared" ca="1" si="189"/>
        <v>30168464.385310698</v>
      </c>
      <c r="L245" s="10"/>
      <c r="N245" s="146"/>
    </row>
    <row r="246" spans="1:14" x14ac:dyDescent="0.2">
      <c r="A246" s="32">
        <v>43040</v>
      </c>
      <c r="C246" s="132">
        <f>'Historical HDD &amp; CDD'!AJ40</f>
        <v>359.00962406014969</v>
      </c>
      <c r="D246" s="132">
        <f>'Historical HDD &amp; CDD'!AJ53</f>
        <v>0</v>
      </c>
      <c r="E246" s="17">
        <f t="shared" si="190"/>
        <v>30</v>
      </c>
      <c r="F246" s="17">
        <f t="shared" ca="1" si="190"/>
        <v>1118829.5119164658</v>
      </c>
      <c r="G246" s="17">
        <f t="shared" si="190"/>
        <v>352</v>
      </c>
      <c r="H246" s="17">
        <f t="shared" si="190"/>
        <v>1</v>
      </c>
      <c r="I246" s="34">
        <v>146.1048842393588</v>
      </c>
      <c r="J246" s="17">
        <f t="shared" si="191"/>
        <v>59.583333333333329</v>
      </c>
      <c r="K246" s="17">
        <f t="shared" ca="1" si="189"/>
        <v>30968181.886726733</v>
      </c>
      <c r="L246" s="10"/>
      <c r="N246" s="146"/>
    </row>
    <row r="247" spans="1:14" x14ac:dyDescent="0.2">
      <c r="A247" s="32">
        <v>43070</v>
      </c>
      <c r="C247" s="132">
        <f>'Historical HDD &amp; CDD'!AJ41</f>
        <v>545.96255639097762</v>
      </c>
      <c r="D247" s="132">
        <f>'Historical HDD &amp; CDD'!AJ54</f>
        <v>0</v>
      </c>
      <c r="E247" s="17">
        <f t="shared" si="190"/>
        <v>31</v>
      </c>
      <c r="F247" s="17">
        <f t="shared" ca="1" si="190"/>
        <v>1110528.6085891463</v>
      </c>
      <c r="G247" s="17">
        <f t="shared" si="190"/>
        <v>304</v>
      </c>
      <c r="H247" s="17">
        <f t="shared" si="190"/>
        <v>0</v>
      </c>
      <c r="I247" s="34">
        <v>146.40583637911641</v>
      </c>
      <c r="J247" s="17">
        <f t="shared" si="191"/>
        <v>71.5</v>
      </c>
      <c r="K247" s="17">
        <f t="shared" ca="1" si="189"/>
        <v>33460933.346061736</v>
      </c>
      <c r="L247" s="10">
        <f ca="1">SUM(K236:K247)</f>
        <v>386628657.84636211</v>
      </c>
      <c r="N247" s="146"/>
    </row>
  </sheetData>
  <mergeCells count="1">
    <mergeCell ref="I1:J1"/>
  </mergeCells>
  <pageMargins left="0.38" right="0.75" top="0.73" bottom="0.74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92"/>
  <sheetViews>
    <sheetView workbookViewId="0">
      <pane xSplit="1" ySplit="2" topLeftCell="F68" activePane="bottomRight" state="frozen"/>
      <selection pane="topRight" activeCell="B1" sqref="B1"/>
      <selection pane="bottomLeft" activeCell="A3" sqref="A3"/>
      <selection pane="bottomRight" activeCell="L84" sqref="L84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140625" style="6" customWidth="1"/>
    <col min="12" max="12" width="14.7109375" style="6" customWidth="1"/>
    <col min="13" max="14" width="13.85546875" style="6" bestFit="1" customWidth="1"/>
    <col min="15" max="16" width="12.7109375" style="6" bestFit="1" customWidth="1"/>
    <col min="17" max="17" width="11.140625" style="6" bestFit="1" customWidth="1"/>
    <col min="18" max="18" width="12.7109375" style="6" bestFit="1" customWidth="1"/>
    <col min="19" max="19" width="11.140625" style="6" bestFit="1" customWidth="1"/>
    <col min="20" max="20" width="10.140625" bestFit="1" customWidth="1"/>
    <col min="22" max="22" width="10.140625" bestFit="1" customWidth="1"/>
  </cols>
  <sheetData>
    <row r="2" spans="1:19" ht="42" customHeight="1" x14ac:dyDescent="0.2">
      <c r="B2" s="2" t="s">
        <v>7</v>
      </c>
      <c r="C2" s="2" t="s">
        <v>8</v>
      </c>
      <c r="D2" s="2" t="s">
        <v>40</v>
      </c>
      <c r="E2" s="2" t="s">
        <v>9</v>
      </c>
      <c r="F2" s="2" t="s">
        <v>1</v>
      </c>
      <c r="G2" s="7" t="s">
        <v>2</v>
      </c>
      <c r="H2" s="46" t="s">
        <v>94</v>
      </c>
      <c r="I2" s="261" t="s">
        <v>280</v>
      </c>
      <c r="J2" s="261" t="s">
        <v>281</v>
      </c>
      <c r="K2" s="47" t="s">
        <v>73</v>
      </c>
      <c r="L2" s="261" t="s">
        <v>271</v>
      </c>
      <c r="M2" s="48" t="s">
        <v>95</v>
      </c>
      <c r="N2" s="48" t="s">
        <v>272</v>
      </c>
    </row>
    <row r="4" spans="1:19" x14ac:dyDescent="0.2">
      <c r="A4" s="18"/>
      <c r="B4" s="40" t="s">
        <v>42</v>
      </c>
    </row>
    <row r="5" spans="1:19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x14ac:dyDescent="0.2">
      <c r="A6">
        <f>'Purchased Power Model '!A198</f>
        <v>2002</v>
      </c>
      <c r="B6" s="6">
        <f>'Purchased Power Model '!B198</f>
        <v>522661540</v>
      </c>
      <c r="C6" s="6">
        <f>'Purchased Power Model '!K198</f>
        <v>512066001.0901044</v>
      </c>
      <c r="D6" s="37">
        <f t="shared" ref="D6:D19" si="0">C6-B6</f>
        <v>-10595538.909895599</v>
      </c>
      <c r="E6" s="5">
        <f t="shared" ref="E6:E19" si="1">D6/B6</f>
        <v>-2.027227584010792E-2</v>
      </c>
      <c r="F6" s="53">
        <f>1 +(B6-G6)/G6</f>
        <v>1.0397563997052681</v>
      </c>
      <c r="G6" s="66">
        <f t="shared" ref="G6:G19" si="2">SUM(H6:N6)</f>
        <v>502676915.61999995</v>
      </c>
      <c r="H6" s="141">
        <f>'[15]Data Input'!$D$17</f>
        <v>163758007.56999999</v>
      </c>
      <c r="I6" s="141">
        <f>'[15]Data Input'!$H$17</f>
        <v>47941435.170000002</v>
      </c>
      <c r="J6" s="141">
        <f>'[15]Data Input'!$L$17</f>
        <v>220590237.66</v>
      </c>
      <c r="K6" s="141">
        <f>'[15]Data Input'!$AF$17</f>
        <v>64185900.630000003</v>
      </c>
      <c r="L6" s="141">
        <f>'[15]Data Input'!$Q$17</f>
        <v>4578874</v>
      </c>
      <c r="M6" s="141">
        <f>'[15]Data Input'!$V$17</f>
        <v>608624.5</v>
      </c>
      <c r="N6" s="141">
        <f>'[15]Data Input'!$AA$17</f>
        <v>1013836.09</v>
      </c>
    </row>
    <row r="7" spans="1:19" x14ac:dyDescent="0.2">
      <c r="A7">
        <f>'Purchased Power Model '!A199</f>
        <v>2003</v>
      </c>
      <c r="B7" s="6">
        <f>'Purchased Power Model '!B199</f>
        <v>497113270</v>
      </c>
      <c r="C7" s="6">
        <f>'Purchased Power Model '!K199</f>
        <v>499914630.07050908</v>
      </c>
      <c r="D7" s="37">
        <f t="shared" si="0"/>
        <v>2801360.0705090761</v>
      </c>
      <c r="E7" s="5">
        <f t="shared" si="1"/>
        <v>5.6352550607009066E-3</v>
      </c>
      <c r="F7" s="53">
        <f t="shared" ref="F7:F19" si="3">1 +(B7-G7)/G7</f>
        <v>1.0402845231187099</v>
      </c>
      <c r="G7" s="66">
        <f t="shared" si="2"/>
        <v>477862795.18000001</v>
      </c>
      <c r="H7" s="141">
        <f>'[15]Data Input'!$D$31</f>
        <v>157611433.94999999</v>
      </c>
      <c r="I7" s="141">
        <f>'[15]Data Input'!$H$31</f>
        <v>46463108.060000002</v>
      </c>
      <c r="J7" s="141">
        <f>'[15]Data Input'!$L$31</f>
        <v>148754541.44</v>
      </c>
      <c r="K7" s="141">
        <f>'[15]Data Input'!$AF$31</f>
        <v>118136694</v>
      </c>
      <c r="L7" s="141">
        <f>'[15]Data Input'!$Q$31</f>
        <v>4648825</v>
      </c>
      <c r="M7" s="141">
        <f>'[15]Data Input'!$V$31</f>
        <v>1025570.6699999999</v>
      </c>
      <c r="N7" s="141">
        <f>'[15]Data Input'!$AA$31</f>
        <v>1222622.06</v>
      </c>
    </row>
    <row r="8" spans="1:19" x14ac:dyDescent="0.2">
      <c r="A8">
        <f>'Purchased Power Model '!A200</f>
        <v>2004</v>
      </c>
      <c r="B8" s="6">
        <f>'Purchased Power Model '!B200</f>
        <v>501185430</v>
      </c>
      <c r="C8" s="6">
        <f>'Purchased Power Model '!K200</f>
        <v>496315907.5564568</v>
      </c>
      <c r="D8" s="37">
        <f t="shared" si="0"/>
        <v>-4869522.4435431957</v>
      </c>
      <c r="E8" s="5">
        <f t="shared" si="1"/>
        <v>-9.7160095885931788E-3</v>
      </c>
      <c r="F8" s="53">
        <f t="shared" si="3"/>
        <v>1.0352038200747795</v>
      </c>
      <c r="G8" s="66">
        <f t="shared" si="2"/>
        <v>484141789.55000001</v>
      </c>
      <c r="H8" s="141">
        <f>'[15]Data Input'!$D$45</f>
        <v>158198542.48000002</v>
      </c>
      <c r="I8" s="141">
        <f>'[15]Data Input'!$H$45</f>
        <v>49935622.290000007</v>
      </c>
      <c r="J8" s="141">
        <f>'[15]Data Input'!$L$45</f>
        <v>145858310.61000001</v>
      </c>
      <c r="K8" s="141">
        <f>'[15]Data Input'!$AF$45</f>
        <v>123252607</v>
      </c>
      <c r="L8" s="141">
        <f>'[15]Data Input'!$Q$45</f>
        <v>4671053</v>
      </c>
      <c r="M8" s="141">
        <f>'[15]Data Input'!$V$45</f>
        <v>1029431.6400000001</v>
      </c>
      <c r="N8" s="141">
        <f>'[15]Data Input'!$AA$45</f>
        <v>1196222.5299999998</v>
      </c>
    </row>
    <row r="9" spans="1:19" x14ac:dyDescent="0.2">
      <c r="A9">
        <f>'Purchased Power Model '!A201</f>
        <v>2005</v>
      </c>
      <c r="B9" s="6">
        <f>'Purchased Power Model '!B201</f>
        <v>520774860</v>
      </c>
      <c r="C9" s="6">
        <f>'Purchased Power Model '!K201</f>
        <v>517404613.21408188</v>
      </c>
      <c r="D9" s="37">
        <f t="shared" si="0"/>
        <v>-3370246.7859181166</v>
      </c>
      <c r="E9" s="5">
        <f t="shared" si="1"/>
        <v>-6.4716003877723985E-3</v>
      </c>
      <c r="F9" s="53">
        <f t="shared" si="3"/>
        <v>1.037675044869047</v>
      </c>
      <c r="G9" s="66">
        <f t="shared" si="2"/>
        <v>501866998.31999999</v>
      </c>
      <c r="H9" s="141">
        <f>'[15]Data Input'!$D$59</f>
        <v>170925878.90000001</v>
      </c>
      <c r="I9" s="141">
        <f>'[15]Data Input'!$H$59</f>
        <v>52581299.459999993</v>
      </c>
      <c r="J9" s="141">
        <f>'[15]Data Input'!$L$59</f>
        <v>147125296.04999998</v>
      </c>
      <c r="K9" s="141">
        <f>'[15]Data Input'!$AF$59</f>
        <v>124361165</v>
      </c>
      <c r="L9" s="141">
        <f>'[15]Data Input'!$Q$59</f>
        <v>4673771</v>
      </c>
      <c r="M9" s="141">
        <f>'[15]Data Input'!$V$59</f>
        <v>999999.72</v>
      </c>
      <c r="N9" s="141">
        <f>'[15]Data Input'!$AA$59</f>
        <v>1199588.1900000002</v>
      </c>
    </row>
    <row r="10" spans="1:19" x14ac:dyDescent="0.2">
      <c r="A10">
        <f>'Purchased Power Model '!A202</f>
        <v>2006</v>
      </c>
      <c r="B10" s="6">
        <f>'Purchased Power Model '!B202</f>
        <v>488381990</v>
      </c>
      <c r="C10" s="6">
        <f>'Purchased Power Model '!K202</f>
        <v>493428796.72708476</v>
      </c>
      <c r="D10" s="37">
        <f t="shared" si="0"/>
        <v>5046806.7270847559</v>
      </c>
      <c r="E10" s="5">
        <f t="shared" si="1"/>
        <v>1.0333728168568944E-2</v>
      </c>
      <c r="F10" s="53">
        <f t="shared" si="3"/>
        <v>1.0243111284272413</v>
      </c>
      <c r="G10" s="66">
        <f t="shared" si="2"/>
        <v>476790670.77000004</v>
      </c>
      <c r="H10" s="141">
        <f>'[15]Data Input'!$D$73</f>
        <v>160694398.38</v>
      </c>
      <c r="I10" s="141">
        <f>'[15]Data Input'!$H$73</f>
        <v>50343291.240000002</v>
      </c>
      <c r="J10" s="141">
        <f>'[15]Data Input'!$L$73</f>
        <v>146968682.79000002</v>
      </c>
      <c r="K10" s="141">
        <f>'[15]Data Input'!$AF$73</f>
        <v>111878086</v>
      </c>
      <c r="L10" s="141">
        <f>'[15]Data Input'!$Q$73</f>
        <v>4688652</v>
      </c>
      <c r="M10" s="141">
        <f>'[15]Data Input'!$V$73</f>
        <v>1010962.7199999999</v>
      </c>
      <c r="N10" s="141">
        <f>'[15]Data Input'!$AA$73</f>
        <v>1206597.6399999999</v>
      </c>
    </row>
    <row r="11" spans="1:19" x14ac:dyDescent="0.2">
      <c r="A11">
        <f>'Purchased Power Model '!A203</f>
        <v>2007</v>
      </c>
      <c r="B11" s="6">
        <f>'Purchased Power Model '!B203</f>
        <v>493927030</v>
      </c>
      <c r="C11" s="6">
        <f>'Purchased Power Model '!K203</f>
        <v>487595358.62470913</v>
      </c>
      <c r="D11" s="37">
        <f t="shared" si="0"/>
        <v>-6331671.3752908707</v>
      </c>
      <c r="E11" s="5">
        <f t="shared" si="1"/>
        <v>-1.2819042066377438E-2</v>
      </c>
      <c r="F11" s="53">
        <f t="shared" si="3"/>
        <v>1.0535212809291725</v>
      </c>
      <c r="G11" s="66">
        <f t="shared" si="2"/>
        <v>468834411.74000007</v>
      </c>
      <c r="H11" s="141">
        <f>'[15]Data Input'!$D$87</f>
        <v>162856079.99000001</v>
      </c>
      <c r="I11" s="141">
        <f>'[15]Data Input'!$H$87</f>
        <v>53416948.359999999</v>
      </c>
      <c r="J11" s="141">
        <f>'[15]Data Input'!$L$87</f>
        <v>163224573.41000003</v>
      </c>
      <c r="K11" s="141">
        <f>'[15]Data Input'!$AF$87</f>
        <v>82520777</v>
      </c>
      <c r="L11" s="141">
        <f>'[15]Data Input'!$Q$87</f>
        <v>4691239</v>
      </c>
      <c r="M11" s="141">
        <f>'[15]Data Input'!$V$87</f>
        <v>980631.10999999975</v>
      </c>
      <c r="N11" s="141">
        <f>'[15]Data Input'!$AA$87</f>
        <v>1144162.8699999999</v>
      </c>
    </row>
    <row r="12" spans="1:19" x14ac:dyDescent="0.2">
      <c r="A12">
        <f>'Purchased Power Model '!A204</f>
        <v>2008</v>
      </c>
      <c r="B12" s="6">
        <f>'Purchased Power Model '!B204</f>
        <v>487062910</v>
      </c>
      <c r="C12" s="6">
        <f>'Purchased Power Model '!K204</f>
        <v>469216998.90999269</v>
      </c>
      <c r="D12" s="37">
        <f t="shared" si="0"/>
        <v>-17845911.090007305</v>
      </c>
      <c r="E12" s="5">
        <f t="shared" si="1"/>
        <v>-3.6639848207713668E-2</v>
      </c>
      <c r="F12" s="53">
        <f t="shared" si="3"/>
        <v>1.0415219824384814</v>
      </c>
      <c r="G12" s="66">
        <f t="shared" si="2"/>
        <v>467645348.06999999</v>
      </c>
      <c r="H12" s="141">
        <f>'[15]Data Input'!$D$101</f>
        <v>157944948.05999997</v>
      </c>
      <c r="I12" s="141">
        <f>'[15]Data Input'!$H$101</f>
        <v>55072082.170000002</v>
      </c>
      <c r="J12" s="141">
        <f>'[15]Data Input'!$L$101</f>
        <v>145113726.81</v>
      </c>
      <c r="K12" s="141">
        <f>'[15]Data Input'!$AF$101</f>
        <v>102682486</v>
      </c>
      <c r="L12" s="141">
        <f>'[15]Data Input'!$Q$101</f>
        <v>4724654</v>
      </c>
      <c r="M12" s="141">
        <f>'[15]Data Input'!$V$101</f>
        <v>949655.42</v>
      </c>
      <c r="N12" s="141">
        <f>'[15]Data Input'!$AA$101</f>
        <v>1157795.6099999999</v>
      </c>
    </row>
    <row r="13" spans="1:19" x14ac:dyDescent="0.2">
      <c r="A13">
        <f>'Purchased Power Model '!A205</f>
        <v>2009</v>
      </c>
      <c r="B13" s="6">
        <f>'Purchased Power Model '!B205</f>
        <v>419617213.07692301</v>
      </c>
      <c r="C13" s="6">
        <f>'Purchased Power Model '!K205</f>
        <v>451597014.00582421</v>
      </c>
      <c r="D13" s="37">
        <f t="shared" si="0"/>
        <v>31979800.928901196</v>
      </c>
      <c r="E13" s="5">
        <f t="shared" si="1"/>
        <v>7.6211842441836986E-2</v>
      </c>
      <c r="F13" s="53">
        <f t="shared" si="3"/>
        <v>1.055629297348927</v>
      </c>
      <c r="G13" s="66">
        <f t="shared" si="2"/>
        <v>397504326.69</v>
      </c>
      <c r="H13" s="141">
        <f>'[15]Data Input'!$D$115</f>
        <v>152428517.84</v>
      </c>
      <c r="I13" s="141">
        <f>'[15]Data Input'!$H$115</f>
        <v>54644526.329999998</v>
      </c>
      <c r="J13" s="141">
        <f>'[15]Data Input'!$L$115</f>
        <v>135381160.95000002</v>
      </c>
      <c r="K13" s="141">
        <f>'[15]Data Input'!$AF$115</f>
        <v>48153613</v>
      </c>
      <c r="L13" s="141">
        <f>'[15]Data Input'!$Q$115</f>
        <v>4691957</v>
      </c>
      <c r="M13" s="141">
        <f>'[15]Data Input'!$V$115</f>
        <v>1052725.24</v>
      </c>
      <c r="N13" s="141">
        <f>'[15]Data Input'!$AA$115</f>
        <v>1151826.33</v>
      </c>
    </row>
    <row r="14" spans="1:19" x14ac:dyDescent="0.2">
      <c r="A14">
        <f>'Purchased Power Model '!A206</f>
        <v>2010</v>
      </c>
      <c r="B14" s="6">
        <f>'Purchased Power Model '!B206</f>
        <v>443594623.07692289</v>
      </c>
      <c r="C14" s="6">
        <f>'Purchased Power Model '!K206</f>
        <v>457705895.51661623</v>
      </c>
      <c r="D14" s="37">
        <f t="shared" si="0"/>
        <v>14111272.439693332</v>
      </c>
      <c r="E14" s="5">
        <f t="shared" si="1"/>
        <v>3.1811189102818146E-2</v>
      </c>
      <c r="F14" s="53">
        <f t="shared" si="3"/>
        <v>1.0413559874036153</v>
      </c>
      <c r="G14" s="66">
        <f t="shared" si="2"/>
        <v>425977886.94999999</v>
      </c>
      <c r="H14" s="141">
        <f>'[15]Data Input'!$D$129</f>
        <v>159733337.50999999</v>
      </c>
      <c r="I14" s="141">
        <f>'[15]Data Input'!$H$129</f>
        <v>54184999.660000004</v>
      </c>
      <c r="J14" s="141">
        <f>'[15]Data Input'!$L$129</f>
        <v>144932476.47</v>
      </c>
      <c r="K14" s="141">
        <f>'[15]Data Input'!$AF$129</f>
        <v>60389409</v>
      </c>
      <c r="L14" s="141">
        <f>'[15]Data Input'!$Q$129</f>
        <v>4700576</v>
      </c>
      <c r="M14" s="141">
        <f>'[15]Data Input'!$V$129</f>
        <v>908961.79999999993</v>
      </c>
      <c r="N14" s="141">
        <f>'[15]Data Input'!$AA$129</f>
        <v>1128126.51</v>
      </c>
    </row>
    <row r="15" spans="1:19" x14ac:dyDescent="0.2">
      <c r="A15">
        <f>'Purchased Power Model '!A207</f>
        <v>2011</v>
      </c>
      <c r="B15" s="6">
        <f>'Purchased Power Model '!B207</f>
        <v>451220848.00000006</v>
      </c>
      <c r="C15" s="6">
        <f>'Purchased Power Model '!K207</f>
        <v>445772004.81993032</v>
      </c>
      <c r="D15" s="37">
        <f t="shared" si="0"/>
        <v>-5448843.1800697446</v>
      </c>
      <c r="E15" s="5">
        <f t="shared" si="1"/>
        <v>-1.2075778865762301E-2</v>
      </c>
      <c r="F15" s="53">
        <f t="shared" si="3"/>
        <v>1.0494172374134541</v>
      </c>
      <c r="G15" s="66">
        <f t="shared" si="2"/>
        <v>429972781</v>
      </c>
      <c r="H15" s="141">
        <f>'[15]Data Input'!$D$143</f>
        <v>158621921</v>
      </c>
      <c r="I15" s="141">
        <f>'[15]Data Input'!$H$143</f>
        <v>54435719</v>
      </c>
      <c r="J15" s="141">
        <f>'[15]Data Input'!$L$143</f>
        <v>150174158</v>
      </c>
      <c r="K15" s="141">
        <f>'[15]Data Input'!$AF$143</f>
        <v>59993492</v>
      </c>
      <c r="L15" s="141">
        <f>'[15]Data Input'!$Q$143</f>
        <v>4730347</v>
      </c>
      <c r="M15" s="141">
        <f>'[15]Data Input'!$V$143</f>
        <v>894240</v>
      </c>
      <c r="N15" s="141">
        <f>'[15]Data Input'!$AA$143</f>
        <v>1122904</v>
      </c>
    </row>
    <row r="16" spans="1:19" x14ac:dyDescent="0.2">
      <c r="A16">
        <f>'Purchased Power Model '!A208</f>
        <v>2012</v>
      </c>
      <c r="B16" s="6">
        <f>'Purchased Power Model '!B208</f>
        <v>421671164.32258064</v>
      </c>
      <c r="C16" s="6">
        <f>'Purchased Power Model '!K208</f>
        <v>428204003.91304761</v>
      </c>
      <c r="D16" s="37">
        <f t="shared" si="0"/>
        <v>6532839.5904669762</v>
      </c>
      <c r="E16" s="5">
        <f t="shared" si="1"/>
        <v>1.549273496318406E-2</v>
      </c>
      <c r="F16" s="53">
        <f t="shared" si="3"/>
        <v>1.0399277667805098</v>
      </c>
      <c r="G16" s="66">
        <f t="shared" si="2"/>
        <v>405481205.32258064</v>
      </c>
      <c r="H16" s="141">
        <f>'[15]Data Input'!$D$157</f>
        <v>159179968</v>
      </c>
      <c r="I16" s="141">
        <f>'[15]Data Input'!$H$157</f>
        <v>50022065</v>
      </c>
      <c r="J16" s="141">
        <f>'[15]Data Input'!$L$157</f>
        <v>141440866.32258064</v>
      </c>
      <c r="K16" s="141">
        <f>'[15]Data Input'!$AF$157</f>
        <v>48424320</v>
      </c>
      <c r="L16" s="141">
        <f>'[15]Data Input'!$Q$157</f>
        <v>4479319</v>
      </c>
      <c r="M16" s="141">
        <f>'[15]Data Input'!$V$157</f>
        <v>849278</v>
      </c>
      <c r="N16" s="141">
        <f>'[15]Data Input'!$AA$157</f>
        <v>1085389</v>
      </c>
    </row>
    <row r="17" spans="1:19" x14ac:dyDescent="0.2">
      <c r="A17">
        <f>'Purchased Power Model '!A209</f>
        <v>2013</v>
      </c>
      <c r="B17" s="6">
        <f>'Purchased Power Model '!B209</f>
        <v>415369616</v>
      </c>
      <c r="C17" s="6">
        <f>'Purchased Power Model '!K209</f>
        <v>407493643.81737864</v>
      </c>
      <c r="D17" s="37">
        <f t="shared" si="0"/>
        <v>-7875972.1826213598</v>
      </c>
      <c r="E17" s="5">
        <f t="shared" si="1"/>
        <v>-1.8961358460608636E-2</v>
      </c>
      <c r="F17" s="53">
        <f t="shared" si="3"/>
        <v>1.0410205456372743</v>
      </c>
      <c r="G17" s="66">
        <f t="shared" si="2"/>
        <v>399002323</v>
      </c>
      <c r="H17" s="141">
        <f>'[15]Data Input'!$D$171</f>
        <v>158724607</v>
      </c>
      <c r="I17" s="141">
        <f>'[15]Data Input'!$H$171</f>
        <v>52726527</v>
      </c>
      <c r="J17" s="141">
        <f>'[15]Data Input'!$L$171</f>
        <v>138149957</v>
      </c>
      <c r="K17" s="141">
        <f>'[15]Data Input'!$AF$171</f>
        <v>44784691</v>
      </c>
      <c r="L17" s="141">
        <f>'[15]Data Input'!$Q$171</f>
        <v>2844301</v>
      </c>
      <c r="M17" s="141">
        <f>'[15]Data Input'!$V$171</f>
        <v>782990</v>
      </c>
      <c r="N17" s="141">
        <f>'[15]Data Input'!$AA$171</f>
        <v>989250</v>
      </c>
    </row>
    <row r="18" spans="1:19" x14ac:dyDescent="0.2">
      <c r="A18">
        <f>'Purchased Power Model '!A210</f>
        <v>2014</v>
      </c>
      <c r="B18" s="6">
        <f>'Purchased Power Model '!B210</f>
        <v>391554997.00000006</v>
      </c>
      <c r="C18" s="6">
        <f>'Purchased Power Model '!K210</f>
        <v>383405251.21115166</v>
      </c>
      <c r="D18" s="37">
        <f t="shared" si="0"/>
        <v>-8149745.7888484001</v>
      </c>
      <c r="E18" s="5">
        <f t="shared" si="1"/>
        <v>-2.081379589403733E-2</v>
      </c>
      <c r="F18" s="53">
        <f t="shared" si="3"/>
        <v>1.0280119993710763</v>
      </c>
      <c r="G18" s="66">
        <f t="shared" si="2"/>
        <v>380885629</v>
      </c>
      <c r="H18" s="141">
        <f>'[15]Data Input'!$D$185</f>
        <v>158185053</v>
      </c>
      <c r="I18" s="141">
        <f>'[15]Data Input'!$H$185</f>
        <v>53903009</v>
      </c>
      <c r="J18" s="141">
        <f>'[15]Data Input'!$L$185</f>
        <v>144192534</v>
      </c>
      <c r="K18" s="141">
        <f>'[15]Data Input'!$AF$185</f>
        <v>20367511</v>
      </c>
      <c r="L18" s="141">
        <f>'[15]Data Input'!$Q$185</f>
        <v>2503378</v>
      </c>
      <c r="M18" s="141">
        <f>'[15]Data Input'!$V$185</f>
        <v>767199</v>
      </c>
      <c r="N18" s="141">
        <f>'[15]Data Input'!$AA$185</f>
        <v>966945</v>
      </c>
    </row>
    <row r="19" spans="1:19" x14ac:dyDescent="0.2">
      <c r="A19">
        <f>'Purchased Power Model '!A211</f>
        <v>2015</v>
      </c>
      <c r="B19" s="6">
        <f>'Purchased Power Model '!B211</f>
        <v>372480929.99999994</v>
      </c>
      <c r="C19" s="6">
        <f>'Purchased Power Model '!K211</f>
        <v>376496301.999542</v>
      </c>
      <c r="D19" s="37">
        <f t="shared" si="0"/>
        <v>4015371.9995420575</v>
      </c>
      <c r="E19" s="5">
        <f t="shared" si="1"/>
        <v>1.0780074028332292E-2</v>
      </c>
      <c r="F19" s="53">
        <f t="shared" si="3"/>
        <v>1.0452112037471624</v>
      </c>
      <c r="G19" s="66">
        <f t="shared" si="2"/>
        <v>356369056</v>
      </c>
      <c r="H19" s="141">
        <f>'[15]Data Input'!$D$199</f>
        <v>157973719</v>
      </c>
      <c r="I19" s="141">
        <f>'[15]Data Input'!$H$199</f>
        <v>54312604</v>
      </c>
      <c r="J19" s="141">
        <f>'[15]Data Input'!$L$199</f>
        <v>139796962</v>
      </c>
      <c r="K19" s="141">
        <f>'[15]Data Input'!$AF$199</f>
        <v>277079</v>
      </c>
      <c r="L19" s="141">
        <f>'[15]Data Input'!$Q$199</f>
        <v>2284687</v>
      </c>
      <c r="M19" s="141">
        <f>'[15]Data Input'!$V$199</f>
        <v>753964</v>
      </c>
      <c r="N19" s="141">
        <f>'[15]Data Input'!$AA$199</f>
        <v>970041</v>
      </c>
    </row>
    <row r="20" spans="1:19" x14ac:dyDescent="0.2">
      <c r="A20">
        <f>'Purchased Power Model '!A212</f>
        <v>2016</v>
      </c>
      <c r="B20" s="6"/>
      <c r="C20" s="6">
        <f ca="1">'Purchased Power Model '!K212</f>
        <v>381003460.21543163</v>
      </c>
      <c r="G20" s="21">
        <f ca="1">C20/$F$24</f>
        <v>366026487.30648959</v>
      </c>
      <c r="P20"/>
      <c r="Q20"/>
      <c r="R20"/>
      <c r="S20"/>
    </row>
    <row r="21" spans="1:19" x14ac:dyDescent="0.2">
      <c r="A21">
        <f>'Purchased Power Model '!A213</f>
        <v>2017</v>
      </c>
      <c r="B21" s="6"/>
      <c r="C21" s="6">
        <f ca="1">'Purchased Power Model '!K213</f>
        <v>389341214.19716752</v>
      </c>
      <c r="G21" s="21">
        <f ca="1">C21/$F$24</f>
        <v>374036490.15589905</v>
      </c>
      <c r="P21"/>
      <c r="Q21"/>
      <c r="R21"/>
      <c r="S21"/>
    </row>
    <row r="22" spans="1:19" x14ac:dyDescent="0.2">
      <c r="B22" s="6"/>
      <c r="C22" s="6"/>
      <c r="G22" s="27"/>
      <c r="P22"/>
      <c r="Q22"/>
      <c r="R22"/>
      <c r="S22"/>
    </row>
    <row r="23" spans="1:19" x14ac:dyDescent="0.2">
      <c r="P23"/>
      <c r="Q23"/>
      <c r="R23"/>
      <c r="S23"/>
    </row>
    <row r="24" spans="1:19" x14ac:dyDescent="0.2">
      <c r="A24" s="19" t="s">
        <v>13</v>
      </c>
      <c r="F24" s="52">
        <f>AVERAGE(F6:F19)</f>
        <v>1.0409177298046226</v>
      </c>
    </row>
    <row r="25" spans="1:19" x14ac:dyDescent="0.2">
      <c r="E25" s="23"/>
      <c r="F25" s="23"/>
      <c r="G25" s="27"/>
    </row>
    <row r="26" spans="1:19" x14ac:dyDescent="0.2">
      <c r="E26" s="23"/>
      <c r="F26" s="23"/>
      <c r="G26" s="27"/>
    </row>
    <row r="27" spans="1:19" x14ac:dyDescent="0.2">
      <c r="A27" s="22" t="s">
        <v>15</v>
      </c>
      <c r="B27" s="13"/>
      <c r="H27" s="27"/>
      <c r="I27" s="27"/>
      <c r="J27" s="27"/>
      <c r="K27" s="27"/>
      <c r="L27" s="27"/>
      <c r="M27" s="27"/>
    </row>
    <row r="28" spans="1:19" x14ac:dyDescent="0.2">
      <c r="H28" s="27"/>
      <c r="I28" s="27"/>
      <c r="J28" s="27"/>
      <c r="K28" s="27"/>
      <c r="L28" s="27"/>
      <c r="M28" s="27"/>
    </row>
    <row r="29" spans="1:19" x14ac:dyDescent="0.2">
      <c r="A29">
        <f t="shared" ref="A29:A44" si="4">A6</f>
        <v>2002</v>
      </c>
      <c r="D29" s="6"/>
      <c r="H29" s="27">
        <f>H6/'Rate Class Customer Model'!B3</f>
        <v>9008.5822186159094</v>
      </c>
      <c r="I29" s="27">
        <f>I6/'Rate Class Customer Model'!C3</f>
        <v>28545.064108365586</v>
      </c>
      <c r="J29" s="27">
        <f>J6/'Rate Class Customer Model'!D3</f>
        <v>921365.4200904977</v>
      </c>
      <c r="K29" s="27">
        <f>K6/'Rate Class Customer Model'!E3</f>
        <v>48139425.472500004</v>
      </c>
      <c r="L29" s="27">
        <f>L6/'Rate Class Customer Model'!F3</f>
        <v>714.13794985768311</v>
      </c>
      <c r="M29" s="27">
        <f>M6/'Rate Class Customer Model'!G3</f>
        <v>795.5875816993464</v>
      </c>
      <c r="N29" s="27">
        <f>N6/'Rate Class Customer Model'!H3</f>
        <v>4500.9371365149836</v>
      </c>
    </row>
    <row r="30" spans="1:19" x14ac:dyDescent="0.2">
      <c r="A30">
        <f t="shared" si="4"/>
        <v>2003</v>
      </c>
      <c r="H30" s="27">
        <f>H7/'Rate Class Customer Model'!B4</f>
        <v>8613.6664969440826</v>
      </c>
      <c r="I30" s="27">
        <f>I7/'Rate Class Customer Model'!C4</f>
        <v>27585.458970908374</v>
      </c>
      <c r="J30" s="27">
        <f>J7/'Rate Class Customer Model'!D4</f>
        <v>630984.26909862144</v>
      </c>
      <c r="K30" s="27">
        <f>K7/'Rate Class Customer Model'!E4</f>
        <v>42958797.81818182</v>
      </c>
      <c r="L30" s="27">
        <f>L7/'Rate Class Customer Model'!F4</f>
        <v>719.91095625241962</v>
      </c>
      <c r="M30" s="27">
        <f>M7/'Rate Class Customer Model'!G4</f>
        <v>1352.846876992415</v>
      </c>
      <c r="N30" s="27">
        <f>N7/'Rate Class Customer Model'!H4</f>
        <v>5348.6929347429823</v>
      </c>
    </row>
    <row r="31" spans="1:19" x14ac:dyDescent="0.2">
      <c r="A31">
        <f t="shared" si="4"/>
        <v>2004</v>
      </c>
      <c r="H31" s="27">
        <f>H8/'Rate Class Customer Model'!B5</f>
        <v>8552.2741841837342</v>
      </c>
      <c r="I31" s="27">
        <f>I8/'Rate Class Customer Model'!C5</f>
        <v>29672.070684822978</v>
      </c>
      <c r="J31" s="27">
        <f>J8/'Rate Class Customer Model'!D5</f>
        <v>673710.4416166282</v>
      </c>
      <c r="K31" s="27">
        <f>K8/'Rate Class Customer Model'!E5</f>
        <v>43500920.117647059</v>
      </c>
      <c r="L31" s="27">
        <f>L8/'Rate Class Customer Model'!F5</f>
        <v>721.80689193365617</v>
      </c>
      <c r="M31" s="27">
        <f>M8/'Rate Class Customer Model'!G5</f>
        <v>1371.8134014436428</v>
      </c>
      <c r="N31" s="27">
        <f>N8/'Rate Class Customer Model'!H5</f>
        <v>5146.8879024740045</v>
      </c>
    </row>
    <row r="32" spans="1:19" x14ac:dyDescent="0.2">
      <c r="A32">
        <f t="shared" si="4"/>
        <v>2005</v>
      </c>
      <c r="H32" s="27">
        <f>H9/'Rate Class Customer Model'!B6</f>
        <v>9113.0496938784581</v>
      </c>
      <c r="I32" s="27">
        <f>I9/'Rate Class Customer Model'!C6</f>
        <v>31097.860695909312</v>
      </c>
      <c r="J32" s="27">
        <f>J9/'Rate Class Customer Model'!D6</f>
        <v>707333.15408653836</v>
      </c>
      <c r="K32" s="27">
        <f>K9/'Rate Class Customer Model'!E6</f>
        <v>43892175.882352941</v>
      </c>
      <c r="L32" s="27">
        <f>L9/'Rate Class Customer Model'!F6</f>
        <v>716.81771938345128</v>
      </c>
      <c r="M32" s="27">
        <f>M9/'Rate Class Customer Model'!G6</f>
        <v>1352.7219749746364</v>
      </c>
      <c r="N32" s="27">
        <f>N9/'Rate Class Customer Model'!H6</f>
        <v>5126.4452564102576</v>
      </c>
    </row>
    <row r="33" spans="1:23" x14ac:dyDescent="0.2">
      <c r="A33">
        <f t="shared" si="4"/>
        <v>2006</v>
      </c>
      <c r="H33" s="27">
        <f>H10/'Rate Class Customer Model'!B7</f>
        <v>8495.6814341478039</v>
      </c>
      <c r="I33" s="27">
        <f>I10/'Rate Class Customer Model'!C7</f>
        <v>30181.829280575541</v>
      </c>
      <c r="J33" s="27">
        <f>J10/'Rate Class Customer Model'!D7</f>
        <v>704885.76877697848</v>
      </c>
      <c r="K33" s="27">
        <f>K10/'Rate Class Customer Model'!E7</f>
        <v>37292695.333333336</v>
      </c>
      <c r="L33" s="27">
        <f>L10/'Rate Class Customer Model'!F7</f>
        <v>714.97876558270752</v>
      </c>
      <c r="M33" s="27">
        <f>M10/'Rate Class Customer Model'!G7</f>
        <v>1380.3109159176242</v>
      </c>
      <c r="N33" s="27">
        <f>N10/'Rate Class Customer Model'!H7</f>
        <v>5187.807839484055</v>
      </c>
    </row>
    <row r="34" spans="1:23" x14ac:dyDescent="0.2">
      <c r="A34">
        <f t="shared" si="4"/>
        <v>2007</v>
      </c>
      <c r="H34" s="27">
        <f>H11/'Rate Class Customer Model'!B8</f>
        <v>8573.1022920413761</v>
      </c>
      <c r="I34" s="27">
        <f>I11/'Rate Class Customer Model'!C8</f>
        <v>32246.87495321461</v>
      </c>
      <c r="J34" s="27">
        <f>J11/'Rate Class Customer Model'!D8</f>
        <v>840641.57979399164</v>
      </c>
      <c r="K34" s="27">
        <f>K11/'Rate Class Customer Model'!E8</f>
        <v>34146528.413793102</v>
      </c>
      <c r="L34" s="27">
        <f>L11/'Rate Class Customer Model'!F8</f>
        <v>709.68266854924116</v>
      </c>
      <c r="M34" s="27">
        <f>M11/'Rate Class Customer Model'!G8</f>
        <v>1392.1179841476396</v>
      </c>
      <c r="N34" s="27">
        <f>N11/'Rate Class Customer Model'!H8</f>
        <v>4938.8325323741001</v>
      </c>
    </row>
    <row r="35" spans="1:23" x14ac:dyDescent="0.2">
      <c r="A35">
        <f t="shared" si="4"/>
        <v>2008</v>
      </c>
      <c r="H35" s="27">
        <f>H12/'Rate Class Customer Model'!B9</f>
        <v>8253.5964288140458</v>
      </c>
      <c r="I35" s="27">
        <f>I12/'Rate Class Customer Model'!C9</f>
        <v>32854.336865026104</v>
      </c>
      <c r="J35" s="27">
        <f>J12/'Rate Class Customer Model'!D9</f>
        <v>823340.29395744682</v>
      </c>
      <c r="K35" s="27">
        <f>K12/'Rate Class Customer Model'!E9</f>
        <v>41072994.399999999</v>
      </c>
      <c r="L35" s="27">
        <f>L12/'Rate Class Customer Model'!F9</f>
        <v>708.28198433420368</v>
      </c>
      <c r="M35" s="27">
        <f>M12/'Rate Class Customer Model'!G9</f>
        <v>1378.3097532656025</v>
      </c>
      <c r="N35" s="27">
        <f>N12/'Rate Class Customer Model'!H9</f>
        <v>4990.4983189655168</v>
      </c>
    </row>
    <row r="36" spans="1:23" x14ac:dyDescent="0.2">
      <c r="A36">
        <f t="shared" si="4"/>
        <v>2009</v>
      </c>
      <c r="H36" s="27">
        <f>H13/'Rate Class Customer Model'!B10</f>
        <v>7907.2396588349729</v>
      </c>
      <c r="I36" s="27">
        <f>I13/'Rate Class Customer Model'!C10</f>
        <v>32330.850801696084</v>
      </c>
      <c r="J36" s="27">
        <f>J13/'Rate Class Customer Model'!D10</f>
        <v>792861.85036603233</v>
      </c>
      <c r="K36" s="27">
        <f>K13/'Rate Class Customer Model'!E10</f>
        <v>19261445.199999999</v>
      </c>
      <c r="L36" s="27">
        <f>L13/'Rate Class Customer Model'!F10</f>
        <v>699.30922956541178</v>
      </c>
      <c r="M36" s="27">
        <f>M13/'Rate Class Customer Model'!G10</f>
        <v>1548.8846101029917</v>
      </c>
      <c r="N36" s="27">
        <f>N13/'Rate Class Customer Model'!H10</f>
        <v>4997.0773535791759</v>
      </c>
    </row>
    <row r="37" spans="1:23" x14ac:dyDescent="0.2">
      <c r="A37">
        <f t="shared" si="4"/>
        <v>2010</v>
      </c>
      <c r="H37" s="27">
        <f>H14/'Rate Class Customer Model'!B11</f>
        <v>8219.1313059362292</v>
      </c>
      <c r="I37" s="27">
        <f>I14/'Rate Class Customer Model'!C11</f>
        <v>32049.487180599372</v>
      </c>
      <c r="J37" s="27">
        <f>J14/'Rate Class Customer Model'!D11</f>
        <v>841000.83058027073</v>
      </c>
      <c r="K37" s="27">
        <f>K14/'Rate Class Customer Model'!E11</f>
        <v>45292056.75</v>
      </c>
      <c r="L37" s="27">
        <f>L14/'Rate Class Customer Model'!F11</f>
        <v>697.65635976846579</v>
      </c>
      <c r="M37" s="27">
        <f>M14/'Rate Class Customer Model'!G11</f>
        <v>1338.348662576687</v>
      </c>
      <c r="N37" s="27">
        <f>N14/'Rate Class Customer Model'!H11</f>
        <v>4964.2530693069311</v>
      </c>
    </row>
    <row r="38" spans="1:23" x14ac:dyDescent="0.2">
      <c r="A38">
        <f t="shared" si="4"/>
        <v>2011</v>
      </c>
      <c r="H38" s="27">
        <f>H15/'Rate Class Customer Model'!B12</f>
        <v>8044.9715042860125</v>
      </c>
      <c r="I38" s="27">
        <f>I15/'Rate Class Customer Model'!C12</f>
        <v>32195.13847771443</v>
      </c>
      <c r="J38" s="27">
        <f>J15/'Rate Class Customer Model'!D12</f>
        <v>884750.78766058455</v>
      </c>
      <c r="K38" s="27">
        <f>K15/'Rate Class Customer Model'!E12</f>
        <v>59993492</v>
      </c>
      <c r="L38" s="27">
        <f>L15/'Rate Class Customer Model'!F12</f>
        <v>701.93604392343082</v>
      </c>
      <c r="M38" s="27">
        <f>M15/'Rate Class Customer Model'!G12</f>
        <v>1348.1993027127201</v>
      </c>
      <c r="N38" s="27">
        <f>N15/'Rate Class Customer Model'!H12</f>
        <v>4961.5125880241167</v>
      </c>
    </row>
    <row r="39" spans="1:23" x14ac:dyDescent="0.2">
      <c r="A39">
        <f t="shared" si="4"/>
        <v>2012</v>
      </c>
      <c r="B39" s="142"/>
      <c r="C39" s="142"/>
      <c r="D39" s="142"/>
      <c r="E39" s="142"/>
      <c r="F39" s="142"/>
      <c r="H39" s="27">
        <f>H16/'Rate Class Customer Model'!B13</f>
        <v>7915.5289534970461</v>
      </c>
      <c r="I39" s="27">
        <f>I16/'Rate Class Customer Model'!C13</f>
        <v>29444.951437260868</v>
      </c>
      <c r="J39" s="27">
        <f>J16/'Rate Class Customer Model'!D13</f>
        <v>816397.49681143218</v>
      </c>
      <c r="K39" s="27">
        <f>K16/'Rate Class Customer Model'!E13</f>
        <v>48424320</v>
      </c>
      <c r="L39" s="27">
        <f>L16/'Rate Class Customer Model'!F13</f>
        <v>663.68475120385233</v>
      </c>
      <c r="M39" s="27">
        <f>M16/'Rate Class Customer Model'!G13</f>
        <v>1354.8436206222457</v>
      </c>
      <c r="N39" s="27">
        <f>N16/'Rate Class Customer Model'!H13</f>
        <v>4917.9364435695261</v>
      </c>
    </row>
    <row r="40" spans="1:23" x14ac:dyDescent="0.2">
      <c r="A40">
        <f t="shared" si="4"/>
        <v>2013</v>
      </c>
      <c r="B40" s="142"/>
      <c r="C40" s="142"/>
      <c r="D40" s="142"/>
      <c r="E40" s="142"/>
      <c r="F40" s="142"/>
      <c r="H40" s="27">
        <f>H17/'Rate Class Customer Model'!B14</f>
        <v>7832.1605171286528</v>
      </c>
      <c r="I40" s="27">
        <f>I17/'Rate Class Customer Model'!C14</f>
        <v>31042.99499558434</v>
      </c>
      <c r="J40" s="27">
        <f>J17/'Rate Class Customer Model'!D14</f>
        <v>800096.27606177609</v>
      </c>
      <c r="K40" s="27">
        <f>K17/'Rate Class Customer Model'!E14</f>
        <v>44784691</v>
      </c>
      <c r="L40" s="27">
        <f>L17/'Rate Class Customer Model'!F14</f>
        <v>419.58046393843654</v>
      </c>
      <c r="M40" s="27">
        <f>M17/'Rate Class Customer Model'!G14</f>
        <v>1349.4011202068075</v>
      </c>
      <c r="N40" s="27">
        <f>N17/'Rate Class Customer Model'!H14</f>
        <v>4200.6369426751589</v>
      </c>
    </row>
    <row r="41" spans="1:23" x14ac:dyDescent="0.2">
      <c r="A41">
        <f t="shared" si="4"/>
        <v>2014</v>
      </c>
      <c r="B41" s="142"/>
      <c r="C41" s="142"/>
      <c r="D41" s="142"/>
      <c r="E41" s="142"/>
      <c r="F41" s="142"/>
      <c r="H41" s="27">
        <f>H18/'Rate Class Customer Model'!B15</f>
        <v>7726.8349547759963</v>
      </c>
      <c r="I41" s="27">
        <f>I18/'Rate Class Customer Model'!C15</f>
        <v>30928.378502438558</v>
      </c>
      <c r="J41" s="27">
        <f>J18/'Rate Class Customer Model'!D15</f>
        <v>871692.90075566759</v>
      </c>
      <c r="K41" s="27">
        <f>K18/'Rate Class Customer Model'!E15</f>
        <v>20367511</v>
      </c>
      <c r="L41" s="27">
        <f>L18/'Rate Class Customer Model'!F15</f>
        <v>368.99395666486515</v>
      </c>
      <c r="M41" s="27">
        <f>M18/'Rate Class Customer Model'!G15</f>
        <v>1477.7508828250402</v>
      </c>
      <c r="N41" s="27">
        <f>N18/'Rate Class Customer Model'!H15</f>
        <v>3728.5796915167098</v>
      </c>
    </row>
    <row r="42" spans="1:23" x14ac:dyDescent="0.2">
      <c r="A42">
        <f t="shared" si="4"/>
        <v>2015</v>
      </c>
      <c r="B42" s="142"/>
      <c r="C42" s="142"/>
      <c r="D42" s="142"/>
      <c r="E42" s="142"/>
      <c r="F42" s="142"/>
      <c r="H42" s="27">
        <f>H19/'Rate Class Customer Model'!B16</f>
        <v>7655.434518184682</v>
      </c>
      <c r="I42" s="27">
        <f>I19/'Rate Class Customer Model'!C16</f>
        <v>30700.986763389705</v>
      </c>
      <c r="J42" s="27">
        <f>J19/'Rate Class Customer Model'!D16</f>
        <v>880148.76390346268</v>
      </c>
      <c r="K42" s="27">
        <f>K19</f>
        <v>277079</v>
      </c>
      <c r="L42" s="27">
        <f>L19/'Rate Class Customer Model'!F16</f>
        <v>336.35023493761582</v>
      </c>
      <c r="M42" s="27">
        <f>M19/'Rate Class Customer Model'!G16</f>
        <v>1463.7709108558486</v>
      </c>
      <c r="N42" s="27">
        <f>N19/'Rate Class Customer Model'!H16</f>
        <v>3779.3805194805191</v>
      </c>
    </row>
    <row r="43" spans="1:23" x14ac:dyDescent="0.2">
      <c r="A43">
        <f t="shared" si="4"/>
        <v>2016</v>
      </c>
      <c r="H43" s="21">
        <f>H42*H60</f>
        <v>7655.434518184682</v>
      </c>
      <c r="I43" s="21">
        <f t="shared" ref="I43:N43" si="5">I42*I60</f>
        <v>30700.986763389705</v>
      </c>
      <c r="J43" s="21">
        <f t="shared" si="5"/>
        <v>880148.76390346268</v>
      </c>
      <c r="K43" s="21">
        <v>0</v>
      </c>
      <c r="L43" s="21">
        <f t="shared" si="5"/>
        <v>336.35023493761582</v>
      </c>
      <c r="M43" s="21">
        <f t="shared" si="5"/>
        <v>1463.7709108558486</v>
      </c>
      <c r="N43" s="21">
        <f t="shared" si="5"/>
        <v>3728.9238807889456</v>
      </c>
    </row>
    <row r="44" spans="1:23" x14ac:dyDescent="0.2">
      <c r="A44">
        <f t="shared" si="4"/>
        <v>2017</v>
      </c>
      <c r="H44" s="21">
        <f>H43*H60</f>
        <v>7655.434518184682</v>
      </c>
      <c r="I44" s="21">
        <f t="shared" ref="I44:N44" si="6">I43*I60</f>
        <v>30700.986763389705</v>
      </c>
      <c r="J44" s="21">
        <f t="shared" si="6"/>
        <v>880148.76390346268</v>
      </c>
      <c r="K44" s="21">
        <v>0</v>
      </c>
      <c r="L44" s="21">
        <f t="shared" si="6"/>
        <v>336.35023493761582</v>
      </c>
      <c r="M44" s="21">
        <f t="shared" si="6"/>
        <v>1463.7709108558486</v>
      </c>
      <c r="N44" s="21">
        <f t="shared" si="6"/>
        <v>3679.140863706768</v>
      </c>
    </row>
    <row r="46" spans="1:23" x14ac:dyDescent="0.2">
      <c r="A46" s="38">
        <v>2003</v>
      </c>
      <c r="D46" s="6"/>
      <c r="H46" s="25">
        <f>H30/H29</f>
        <v>0.95616227813786858</v>
      </c>
      <c r="I46" s="25">
        <f t="shared" ref="I46:N46" si="7">I30/I29</f>
        <v>0.96638279970875995</v>
      </c>
      <c r="J46" s="25">
        <f t="shared" si="7"/>
        <v>0.68483606540892905</v>
      </c>
      <c r="K46" s="25">
        <f t="shared" si="7"/>
        <v>0.89238285244435134</v>
      </c>
      <c r="L46" s="25">
        <f t="shared" si="7"/>
        <v>1.0080838812667594</v>
      </c>
      <c r="M46" s="25">
        <f t="shared" si="7"/>
        <v>1.7004373976059088</v>
      </c>
      <c r="N46" s="25">
        <f t="shared" si="7"/>
        <v>1.1883509528161074</v>
      </c>
      <c r="P46"/>
      <c r="Q46"/>
      <c r="R46"/>
      <c r="S46"/>
      <c r="W46" s="117"/>
    </row>
    <row r="47" spans="1:23" x14ac:dyDescent="0.2">
      <c r="A47" s="38">
        <v>2004</v>
      </c>
      <c r="D47" s="6"/>
      <c r="H47" s="25">
        <f t="shared" ref="H47:N57" si="8">H31/H30</f>
        <v>0.99287268519368277</v>
      </c>
      <c r="I47" s="25">
        <f t="shared" si="8"/>
        <v>1.0756417254509032</v>
      </c>
      <c r="J47" s="25">
        <f t="shared" si="8"/>
        <v>1.0677135304482983</v>
      </c>
      <c r="K47" s="25">
        <f t="shared" si="8"/>
        <v>1.0126195873022263</v>
      </c>
      <c r="L47" s="25">
        <f t="shared" si="8"/>
        <v>1.0026335697002113</v>
      </c>
      <c r="M47" s="25">
        <f t="shared" si="8"/>
        <v>1.0140197126325141</v>
      </c>
      <c r="N47" s="25">
        <f t="shared" si="8"/>
        <v>0.96227021540942603</v>
      </c>
      <c r="P47"/>
      <c r="Q47"/>
      <c r="R47"/>
      <c r="S47"/>
    </row>
    <row r="48" spans="1:23" x14ac:dyDescent="0.2">
      <c r="A48" s="38">
        <v>2005</v>
      </c>
      <c r="D48" s="6"/>
      <c r="H48" s="25">
        <f t="shared" si="8"/>
        <v>1.065570338089932</v>
      </c>
      <c r="I48" s="25">
        <f t="shared" si="8"/>
        <v>1.0480515844758895</v>
      </c>
      <c r="J48" s="25">
        <f t="shared" si="8"/>
        <v>1.0499067706138403</v>
      </c>
      <c r="K48" s="25">
        <f t="shared" si="8"/>
        <v>1.0089941951491541</v>
      </c>
      <c r="L48" s="25">
        <f t="shared" si="8"/>
        <v>0.99308793999342493</v>
      </c>
      <c r="M48" s="25">
        <f t="shared" si="8"/>
        <v>0.98608307336193446</v>
      </c>
      <c r="N48" s="25">
        <f t="shared" si="8"/>
        <v>0.99602815401246247</v>
      </c>
      <c r="P48"/>
      <c r="Q48"/>
      <c r="R48"/>
      <c r="S48"/>
    </row>
    <row r="49" spans="1:19" x14ac:dyDescent="0.2">
      <c r="A49" s="38">
        <v>2006</v>
      </c>
      <c r="D49" s="6"/>
      <c r="H49" s="25">
        <f t="shared" si="8"/>
        <v>0.93225448335419903</v>
      </c>
      <c r="I49" s="25">
        <f t="shared" si="8"/>
        <v>0.97054358740971958</v>
      </c>
      <c r="J49" s="25">
        <f t="shared" si="8"/>
        <v>0.9965399821916725</v>
      </c>
      <c r="K49" s="25">
        <f t="shared" si="8"/>
        <v>0.84964334949562259</v>
      </c>
      <c r="L49" s="25">
        <f t="shared" si="8"/>
        <v>0.99743455867368136</v>
      </c>
      <c r="M49" s="25">
        <f t="shared" si="8"/>
        <v>1.0203951303027403</v>
      </c>
      <c r="N49" s="25">
        <f t="shared" si="8"/>
        <v>1.0119698114394313</v>
      </c>
      <c r="P49"/>
      <c r="Q49"/>
      <c r="R49"/>
      <c r="S49"/>
    </row>
    <row r="50" spans="1:19" x14ac:dyDescent="0.2">
      <c r="A50" s="38">
        <v>2007</v>
      </c>
      <c r="D50" s="6"/>
      <c r="H50" s="25">
        <f t="shared" si="8"/>
        <v>1.009112966216269</v>
      </c>
      <c r="I50" s="25">
        <f t="shared" si="8"/>
        <v>1.0684201627887444</v>
      </c>
      <c r="J50" s="25">
        <f t="shared" si="8"/>
        <v>1.1925926398720719</v>
      </c>
      <c r="K50" s="25">
        <f t="shared" si="8"/>
        <v>0.91563583990326125</v>
      </c>
      <c r="L50" s="25">
        <f t="shared" si="8"/>
        <v>0.99259265129482543</v>
      </c>
      <c r="M50" s="25">
        <f t="shared" si="8"/>
        <v>1.0085539193335771</v>
      </c>
      <c r="N50" s="25">
        <f t="shared" si="8"/>
        <v>0.95200760806616225</v>
      </c>
      <c r="P50"/>
      <c r="Q50"/>
      <c r="R50"/>
      <c r="S50"/>
    </row>
    <row r="51" spans="1:19" x14ac:dyDescent="0.2">
      <c r="A51" s="38">
        <v>2008</v>
      </c>
      <c r="D51" s="6"/>
      <c r="H51" s="25">
        <f t="shared" si="8"/>
        <v>0.96273159326187729</v>
      </c>
      <c r="I51" s="25">
        <f t="shared" si="8"/>
        <v>1.0188378536739708</v>
      </c>
      <c r="J51" s="25">
        <f t="shared" si="8"/>
        <v>0.9794189506533989</v>
      </c>
      <c r="K51" s="25">
        <f t="shared" si="8"/>
        <v>1.2028453933082413</v>
      </c>
      <c r="L51" s="25">
        <f t="shared" si="8"/>
        <v>0.99802632320456575</v>
      </c>
      <c r="M51" s="25">
        <f t="shared" si="8"/>
        <v>0.99008113461698322</v>
      </c>
      <c r="N51" s="25">
        <f t="shared" si="8"/>
        <v>1.0104611335275588</v>
      </c>
      <c r="P51"/>
      <c r="Q51"/>
      <c r="R51"/>
      <c r="S51"/>
    </row>
    <row r="52" spans="1:19" x14ac:dyDescent="0.2">
      <c r="A52" s="38">
        <v>2009</v>
      </c>
      <c r="D52" s="6"/>
      <c r="H52" s="25">
        <f t="shared" si="8"/>
        <v>0.9580356547637936</v>
      </c>
      <c r="I52" s="25">
        <f t="shared" si="8"/>
        <v>0.98406645474292687</v>
      </c>
      <c r="J52" s="25">
        <f t="shared" si="8"/>
        <v>0.96298196041770578</v>
      </c>
      <c r="K52" s="25">
        <f t="shared" si="8"/>
        <v>0.46895643917308349</v>
      </c>
      <c r="L52" s="25">
        <f t="shared" si="8"/>
        <v>0.98733166314087961</v>
      </c>
      <c r="M52" s="25">
        <f t="shared" si="8"/>
        <v>1.1237565477812586</v>
      </c>
      <c r="N52" s="25">
        <f t="shared" si="8"/>
        <v>1.0013183121590596</v>
      </c>
      <c r="P52"/>
      <c r="Q52"/>
      <c r="R52"/>
      <c r="S52"/>
    </row>
    <row r="53" spans="1:19" x14ac:dyDescent="0.2">
      <c r="A53" s="38">
        <v>2010</v>
      </c>
      <c r="D53" s="6"/>
      <c r="H53" s="25">
        <f t="shared" si="8"/>
        <v>1.0394438085296644</v>
      </c>
      <c r="I53" s="25">
        <f t="shared" si="8"/>
        <v>0.99129736415467451</v>
      </c>
      <c r="J53" s="25">
        <f t="shared" si="8"/>
        <v>1.0607154704088924</v>
      </c>
      <c r="K53" s="25">
        <f t="shared" si="8"/>
        <v>2.3514360568333679</v>
      </c>
      <c r="L53" s="25">
        <f t="shared" si="8"/>
        <v>0.99763642502191319</v>
      </c>
      <c r="M53" s="25">
        <f t="shared" si="8"/>
        <v>0.86407254216806684</v>
      </c>
      <c r="N53" s="25">
        <f t="shared" si="8"/>
        <v>0.99343130355011733</v>
      </c>
      <c r="P53"/>
      <c r="Q53"/>
      <c r="R53"/>
      <c r="S53"/>
    </row>
    <row r="54" spans="1:19" x14ac:dyDescent="0.2">
      <c r="A54" s="38">
        <v>2011</v>
      </c>
      <c r="D54" s="6"/>
      <c r="H54" s="25">
        <f t="shared" si="8"/>
        <v>0.97881043687373259</v>
      </c>
      <c r="I54" s="25">
        <f t="shared" si="8"/>
        <v>1.0045445749660302</v>
      </c>
      <c r="J54" s="25">
        <f t="shared" si="8"/>
        <v>1.0520213006806751</v>
      </c>
      <c r="K54" s="25">
        <f t="shared" si="8"/>
        <v>1.3245919109204507</v>
      </c>
      <c r="L54" s="25">
        <f t="shared" si="8"/>
        <v>1.0061343727395897</v>
      </c>
      <c r="M54" s="25">
        <f t="shared" si="8"/>
        <v>1.0073602943773021</v>
      </c>
      <c r="N54" s="25">
        <f t="shared" si="8"/>
        <v>0.99944795697468403</v>
      </c>
      <c r="P54"/>
      <c r="Q54"/>
      <c r="R54"/>
      <c r="S54"/>
    </row>
    <row r="55" spans="1:19" x14ac:dyDescent="0.2">
      <c r="A55" s="38">
        <v>2012</v>
      </c>
      <c r="B55" s="142"/>
      <c r="C55" s="142"/>
      <c r="D55" s="6"/>
      <c r="E55" s="142"/>
      <c r="F55" s="142"/>
      <c r="H55" s="25">
        <f t="shared" si="8"/>
        <v>0.98391012936217304</v>
      </c>
      <c r="I55" s="25">
        <f t="shared" si="8"/>
        <v>0.91457756759278264</v>
      </c>
      <c r="J55" s="25">
        <f t="shared" si="8"/>
        <v>0.92274288782506897</v>
      </c>
      <c r="K55" s="25">
        <f t="shared" si="8"/>
        <v>0.80715954990584649</v>
      </c>
      <c r="L55" s="25">
        <f t="shared" si="8"/>
        <v>0.94550601432891934</v>
      </c>
      <c r="M55" s="25">
        <f t="shared" si="8"/>
        <v>1.0049282905696186</v>
      </c>
      <c r="N55" s="25">
        <f t="shared" si="8"/>
        <v>0.99121716539432492</v>
      </c>
      <c r="P55"/>
      <c r="Q55"/>
      <c r="R55"/>
      <c r="S55"/>
    </row>
    <row r="56" spans="1:19" x14ac:dyDescent="0.2">
      <c r="A56" s="38">
        <v>2013</v>
      </c>
      <c r="B56" s="142"/>
      <c r="C56" s="142"/>
      <c r="D56" s="6"/>
      <c r="E56" s="142"/>
      <c r="F56" s="142"/>
      <c r="H56" s="25">
        <f t="shared" si="8"/>
        <v>0.98946773653938047</v>
      </c>
      <c r="I56" s="25">
        <f t="shared" si="8"/>
        <v>1.0542722429591527</v>
      </c>
      <c r="J56" s="25">
        <f t="shared" si="8"/>
        <v>0.98003274040731014</v>
      </c>
      <c r="K56" s="25">
        <f t="shared" si="8"/>
        <v>0.92483882065871037</v>
      </c>
      <c r="L56" s="25">
        <f t="shared" si="8"/>
        <v>0.63219843936049902</v>
      </c>
      <c r="M56" s="25">
        <f t="shared" si="8"/>
        <v>0.99598293092088475</v>
      </c>
      <c r="N56" s="25">
        <f t="shared" si="8"/>
        <v>0.85414624423780916</v>
      </c>
      <c r="P56"/>
      <c r="Q56"/>
      <c r="R56"/>
      <c r="S56"/>
    </row>
    <row r="57" spans="1:19" x14ac:dyDescent="0.2">
      <c r="A57" s="38">
        <v>2014</v>
      </c>
      <c r="B57" s="142"/>
      <c r="C57" s="142"/>
      <c r="D57" s="6"/>
      <c r="E57" s="142"/>
      <c r="F57" s="142"/>
      <c r="H57" s="25">
        <f t="shared" si="8"/>
        <v>0.98655217010398177</v>
      </c>
      <c r="I57" s="25">
        <f t="shared" si="8"/>
        <v>0.99630781459192042</v>
      </c>
      <c r="J57" s="25">
        <f t="shared" si="8"/>
        <v>1.0894850117867108</v>
      </c>
      <c r="K57" s="25">
        <f t="shared" si="8"/>
        <v>0.45478735132949782</v>
      </c>
      <c r="L57" s="25">
        <f t="shared" si="8"/>
        <v>0.87943550374405954</v>
      </c>
      <c r="M57" s="25">
        <f t="shared" si="8"/>
        <v>1.0951160931291966</v>
      </c>
      <c r="N57" s="25">
        <f t="shared" si="8"/>
        <v>0.8876224587841145</v>
      </c>
      <c r="P57"/>
      <c r="Q57"/>
      <c r="R57"/>
      <c r="S57"/>
    </row>
    <row r="58" spans="1:19" x14ac:dyDescent="0.2">
      <c r="A58" s="38">
        <v>2015</v>
      </c>
      <c r="B58" s="142"/>
      <c r="C58" s="142"/>
      <c r="D58" s="6"/>
      <c r="E58" s="142"/>
      <c r="F58" s="142"/>
      <c r="H58" s="25">
        <f>H42/H41</f>
        <v>0.99075941999418771</v>
      </c>
      <c r="I58" s="25">
        <f t="shared" ref="I58:N58" si="9">I42/I41</f>
        <v>0.9926477962939142</v>
      </c>
      <c r="J58" s="25">
        <f t="shared" si="9"/>
        <v>1.0097005070713145</v>
      </c>
      <c r="K58" s="25">
        <f t="shared" si="9"/>
        <v>1.3603969576842257E-2</v>
      </c>
      <c r="L58" s="25">
        <f t="shared" si="9"/>
        <v>0.91153318059109123</v>
      </c>
      <c r="M58" s="25">
        <f t="shared" si="9"/>
        <v>0.99053969641861017</v>
      </c>
      <c r="N58" s="25">
        <f t="shared" si="9"/>
        <v>1.0136247129381173</v>
      </c>
      <c r="P58"/>
      <c r="Q58"/>
      <c r="R58"/>
      <c r="S58"/>
    </row>
    <row r="59" spans="1:19" x14ac:dyDescent="0.2">
      <c r="A59" s="3"/>
      <c r="D59" s="6"/>
      <c r="E59" s="6"/>
      <c r="F59" s="6"/>
      <c r="P59"/>
      <c r="Q59"/>
      <c r="R59"/>
      <c r="S59"/>
    </row>
    <row r="60" spans="1:19" x14ac:dyDescent="0.2">
      <c r="A60" t="s">
        <v>17</v>
      </c>
      <c r="D60" s="6"/>
      <c r="H60" s="25">
        <v>1</v>
      </c>
      <c r="I60" s="25">
        <v>1</v>
      </c>
      <c r="J60" s="25">
        <v>1</v>
      </c>
      <c r="K60" s="25">
        <v>1</v>
      </c>
      <c r="L60" s="25">
        <v>1</v>
      </c>
      <c r="M60" s="25">
        <v>1</v>
      </c>
      <c r="N60" s="25">
        <f>N62</f>
        <v>0.98664949495519205</v>
      </c>
      <c r="P60"/>
      <c r="Q60"/>
      <c r="R60"/>
      <c r="S60"/>
    </row>
    <row r="61" spans="1:19" x14ac:dyDescent="0.2">
      <c r="A61" s="3"/>
      <c r="D61" s="6"/>
      <c r="H61" s="13"/>
      <c r="I61" s="13"/>
      <c r="L61" s="11"/>
      <c r="M61" s="11"/>
      <c r="N61" s="11"/>
      <c r="P61"/>
      <c r="Q61"/>
      <c r="R61"/>
      <c r="S61"/>
    </row>
    <row r="62" spans="1:19" x14ac:dyDescent="0.2">
      <c r="A62" t="s">
        <v>14</v>
      </c>
      <c r="D62" s="6"/>
      <c r="H62" s="25">
        <f>GEOMEAN(H46:H58)</f>
        <v>0.98755790383883968</v>
      </c>
      <c r="I62" s="25">
        <f t="shared" ref="I62:N62" si="10">GEOMEAN(I46:I58)</f>
        <v>1.0056165417224585</v>
      </c>
      <c r="J62" s="25">
        <f t="shared" si="10"/>
        <v>0.99648574496296138</v>
      </c>
      <c r="K62" s="25">
        <f t="shared" si="10"/>
        <v>0.67251226366196226</v>
      </c>
      <c r="L62" s="25">
        <f t="shared" si="10"/>
        <v>0.94372811626275099</v>
      </c>
      <c r="M62" s="25">
        <f t="shared" si="10"/>
        <v>1.0480164171132107</v>
      </c>
      <c r="N62" s="25">
        <f t="shared" si="10"/>
        <v>0.98664949495519205</v>
      </c>
      <c r="P62"/>
      <c r="Q62"/>
      <c r="R62"/>
      <c r="S62"/>
    </row>
    <row r="63" spans="1:19" x14ac:dyDescent="0.2">
      <c r="D63" s="6"/>
      <c r="H63" s="25"/>
      <c r="I63" s="25"/>
      <c r="J63" s="25"/>
      <c r="K63" s="25"/>
      <c r="L63" s="25"/>
      <c r="M63" s="25"/>
      <c r="N63" s="25"/>
      <c r="P63"/>
      <c r="Q63"/>
      <c r="R63"/>
      <c r="S63"/>
    </row>
    <row r="64" spans="1:19" x14ac:dyDescent="0.2">
      <c r="A64" s="19" t="s">
        <v>44</v>
      </c>
    </row>
    <row r="65" spans="1:16" x14ac:dyDescent="0.2">
      <c r="A65">
        <v>2016</v>
      </c>
      <c r="B65">
        <v>2012</v>
      </c>
      <c r="C65">
        <v>2012</v>
      </c>
      <c r="G65" s="37">
        <f>SUM(H65:N65)</f>
        <v>353511303.54354745</v>
      </c>
      <c r="H65" s="37">
        <f>H43*'Rate Class Customer Model'!B17</f>
        <v>159522119.54217395</v>
      </c>
      <c r="I65" s="37">
        <f>I43*'Rate Class Customer Model'!C17</f>
        <v>54530144.327206694</v>
      </c>
      <c r="J65" s="37">
        <f>J43*'Rate Class Customer Model'!D17</f>
        <v>135453135.33995393</v>
      </c>
      <c r="K65" s="37">
        <f>K43*'Rate Class Customer Model'!E17</f>
        <v>0</v>
      </c>
      <c r="L65" s="37">
        <f>L43*'Rate Class Customer Model'!F17</f>
        <v>2294849.8714770265</v>
      </c>
      <c r="M65" s="37">
        <f>M43*'Rate Class Customer Model'!G17</f>
        <v>753964</v>
      </c>
      <c r="N65" s="37">
        <f>N43*'Rate Class Customer Model'!H17</f>
        <v>957090.46273582941</v>
      </c>
    </row>
    <row r="66" spans="1:16" x14ac:dyDescent="0.2">
      <c r="A66">
        <v>2017</v>
      </c>
      <c r="G66" s="37">
        <f>SUM(H66:N66)</f>
        <v>351081869.47308952</v>
      </c>
      <c r="H66" s="37">
        <f>H44*'Rate Class Customer Model'!B18</f>
        <v>161085696.93942344</v>
      </c>
      <c r="I66" s="37">
        <f>I44*'Rate Class Customer Model'!C18</f>
        <v>54748555.97691454</v>
      </c>
      <c r="J66" s="37">
        <f>J44*'Rate Class Customer Model'!D18</f>
        <v>131244281.78506397</v>
      </c>
      <c r="K66" s="37">
        <f>K44*'Rate Class Customer Model'!E18</f>
        <v>0</v>
      </c>
      <c r="L66" s="37">
        <f>L44*'Rate Class Customer Model'!F18</f>
        <v>2305057.9500028337</v>
      </c>
      <c r="M66" s="37">
        <f>M44*'Rate Class Customer Model'!G18</f>
        <v>753964</v>
      </c>
      <c r="N66" s="37">
        <f>N44*'Rate Class Customer Model'!H18</f>
        <v>944312.82168473722</v>
      </c>
    </row>
    <row r="67" spans="1:16" x14ac:dyDescent="0.2">
      <c r="G67" s="37"/>
      <c r="H67" s="37"/>
      <c r="I67" s="37"/>
      <c r="J67" s="37"/>
      <c r="K67" s="37"/>
      <c r="L67" s="37"/>
      <c r="M67" s="37"/>
      <c r="N67" s="37"/>
    </row>
    <row r="68" spans="1:16" x14ac:dyDescent="0.2">
      <c r="A68" s="19" t="s">
        <v>43</v>
      </c>
      <c r="G68" s="37"/>
      <c r="H68" s="37"/>
      <c r="I68" s="37"/>
      <c r="J68" s="37"/>
      <c r="K68" s="37"/>
      <c r="L68" s="37"/>
      <c r="M68" s="37"/>
      <c r="O68" s="37" t="s">
        <v>16</v>
      </c>
    </row>
    <row r="69" spans="1:16" x14ac:dyDescent="0.2">
      <c r="A69">
        <v>2016</v>
      </c>
      <c r="G69" s="57">
        <f ca="1">G20</f>
        <v>366026487.30648959</v>
      </c>
      <c r="H69" s="37">
        <f t="shared" ref="H69:N70" ca="1" si="11">H65+H77+H86</f>
        <v>165467235.58405837</v>
      </c>
      <c r="I69" s="37">
        <f t="shared" ca="1" si="11"/>
        <v>56544967.769856162</v>
      </c>
      <c r="J69" s="37">
        <f t="shared" ca="1" si="11"/>
        <v>138810311.48983923</v>
      </c>
      <c r="K69" s="37">
        <f t="shared" ca="1" si="11"/>
        <v>0</v>
      </c>
      <c r="L69" s="37">
        <f t="shared" ca="1" si="11"/>
        <v>1465918</v>
      </c>
      <c r="M69" s="37">
        <f t="shared" ca="1" si="11"/>
        <v>753964</v>
      </c>
      <c r="N69" s="37">
        <f t="shared" ca="1" si="11"/>
        <v>957090.46273582941</v>
      </c>
      <c r="O69" s="37">
        <f ca="1">SUM(H69:N69)</f>
        <v>363999487.30648959</v>
      </c>
      <c r="P69" s="6">
        <f ca="1">O69-G69</f>
        <v>-2027000</v>
      </c>
    </row>
    <row r="70" spans="1:16" x14ac:dyDescent="0.2">
      <c r="A70">
        <v>2017</v>
      </c>
      <c r="G70" s="57">
        <f ca="1">G21</f>
        <v>374036490.15589905</v>
      </c>
      <c r="H70" s="37">
        <f t="shared" ca="1" si="11"/>
        <v>171404554.63397124</v>
      </c>
      <c r="I70" s="37">
        <f t="shared" ca="1" si="11"/>
        <v>58177392.791512817</v>
      </c>
      <c r="J70" s="37">
        <f t="shared" ca="1" si="11"/>
        <v>135245198.90873027</v>
      </c>
      <c r="K70" s="37">
        <f t="shared" ca="1" si="11"/>
        <v>0</v>
      </c>
      <c r="L70" s="37">
        <f t="shared" ca="1" si="11"/>
        <v>1282066.9999999998</v>
      </c>
      <c r="M70" s="37">
        <f t="shared" ca="1" si="11"/>
        <v>753964</v>
      </c>
      <c r="N70" s="37">
        <f t="shared" ca="1" si="11"/>
        <v>944312.82168473722</v>
      </c>
      <c r="O70" s="37">
        <f ca="1">SUM(H70:N70)</f>
        <v>367807490.15589905</v>
      </c>
      <c r="P70" s="6">
        <f ca="1">O70-G70</f>
        <v>-6229000</v>
      </c>
    </row>
    <row r="71" spans="1:16" x14ac:dyDescent="0.2">
      <c r="G71" s="37"/>
      <c r="H71" s="37"/>
      <c r="I71" s="37"/>
      <c r="J71" s="37"/>
      <c r="K71" s="37"/>
      <c r="L71" s="37"/>
      <c r="M71" s="37"/>
      <c r="O71" s="37"/>
    </row>
    <row r="72" spans="1:16" x14ac:dyDescent="0.2">
      <c r="A72" s="51" t="s">
        <v>45</v>
      </c>
      <c r="G72" s="37"/>
      <c r="H72" s="58">
        <v>0.81967514412601028</v>
      </c>
      <c r="I72" s="58">
        <v>0.81967514412601028</v>
      </c>
      <c r="J72" s="58">
        <v>0.63935028825202056</v>
      </c>
      <c r="K72" s="58"/>
      <c r="L72" s="58"/>
      <c r="M72" s="58"/>
      <c r="N72" s="58"/>
      <c r="O72" s="37" t="s">
        <v>16</v>
      </c>
    </row>
    <row r="73" spans="1:16" x14ac:dyDescent="0.2">
      <c r="A73">
        <v>2016</v>
      </c>
      <c r="G73" s="37">
        <f ca="1">G69-G65</f>
        <v>12515183.762942135</v>
      </c>
      <c r="H73" s="37">
        <f t="shared" ref="H73:N73" si="12">H65*H72</f>
        <v>130756316.32701808</v>
      </c>
      <c r="I73" s="37">
        <f t="shared" si="12"/>
        <v>44697003.910615288</v>
      </c>
      <c r="J73" s="37">
        <f t="shared" si="12"/>
        <v>86602001.124239504</v>
      </c>
      <c r="K73" s="37">
        <f t="shared" si="12"/>
        <v>0</v>
      </c>
      <c r="L73" s="37">
        <f t="shared" si="12"/>
        <v>0</v>
      </c>
      <c r="M73" s="37">
        <f t="shared" si="12"/>
        <v>0</v>
      </c>
      <c r="N73" s="37">
        <f t="shared" si="12"/>
        <v>0</v>
      </c>
      <c r="O73" s="37">
        <f>SUM(H73:N73)</f>
        <v>262055321.36187288</v>
      </c>
    </row>
    <row r="74" spans="1:16" x14ac:dyDescent="0.2">
      <c r="A74">
        <v>2017</v>
      </c>
      <c r="G74" s="37">
        <f ca="1">G70-G66</f>
        <v>22954620.682809532</v>
      </c>
      <c r="H74" s="37">
        <f t="shared" ref="H74:N74" si="13">H66*H72</f>
        <v>132037941.85546072</v>
      </c>
      <c r="I74" s="37">
        <f t="shared" si="13"/>
        <v>44876030.511068366</v>
      </c>
      <c r="J74" s="37">
        <f t="shared" si="13"/>
        <v>83911069.390710056</v>
      </c>
      <c r="K74" s="37">
        <f t="shared" si="13"/>
        <v>0</v>
      </c>
      <c r="L74" s="37">
        <f t="shared" si="13"/>
        <v>0</v>
      </c>
      <c r="M74" s="37">
        <f t="shared" si="13"/>
        <v>0</v>
      </c>
      <c r="N74" s="37">
        <f t="shared" si="13"/>
        <v>0</v>
      </c>
      <c r="O74" s="37">
        <f>SUM(H74:N74)</f>
        <v>260825041.75723913</v>
      </c>
    </row>
    <row r="75" spans="1:16" ht="12" customHeight="1" x14ac:dyDescent="0.2">
      <c r="G75" s="37"/>
      <c r="H75" s="37"/>
      <c r="I75" s="37"/>
      <c r="J75" s="37"/>
      <c r="K75" s="37"/>
      <c r="L75" s="37"/>
      <c r="M75" s="37"/>
      <c r="O75" s="37"/>
    </row>
    <row r="76" spans="1:16" x14ac:dyDescent="0.2">
      <c r="A76" t="s">
        <v>46</v>
      </c>
      <c r="G76" s="37"/>
      <c r="H76" s="37"/>
      <c r="I76" s="37"/>
      <c r="J76" s="37"/>
      <c r="K76" s="37"/>
      <c r="L76" s="37"/>
      <c r="M76" s="37"/>
      <c r="O76" s="37"/>
    </row>
    <row r="77" spans="1:16" x14ac:dyDescent="0.2">
      <c r="A77">
        <v>2016</v>
      </c>
      <c r="G77" s="37"/>
      <c r="H77" s="37">
        <f t="shared" ref="H77:N77" ca="1" si="14">H73/$O$73*$G$73</f>
        <v>6244633.0740151573</v>
      </c>
      <c r="I77" s="37">
        <f t="shared" ca="1" si="14"/>
        <v>2134630.2555017718</v>
      </c>
      <c r="J77" s="37">
        <f t="shared" ca="1" si="14"/>
        <v>4135920.4334252053</v>
      </c>
      <c r="K77" s="37">
        <f t="shared" ca="1" si="14"/>
        <v>0</v>
      </c>
      <c r="L77" s="37">
        <f t="shared" ca="1" si="14"/>
        <v>0</v>
      </c>
      <c r="M77" s="37">
        <f t="shared" ca="1" si="14"/>
        <v>0</v>
      </c>
      <c r="N77" s="37">
        <f t="shared" ca="1" si="14"/>
        <v>0</v>
      </c>
      <c r="O77" s="37">
        <f ca="1">SUM(H77:N77)</f>
        <v>12515183.762942133</v>
      </c>
    </row>
    <row r="78" spans="1:16" x14ac:dyDescent="0.2">
      <c r="A78">
        <v>2017</v>
      </c>
      <c r="H78" s="37">
        <f t="shared" ref="H78:N78" ca="1" si="15">H74/$O$74*$G$74</f>
        <v>11620359.957047105</v>
      </c>
      <c r="I78" s="37">
        <f t="shared" ca="1" si="15"/>
        <v>3949437.719597992</v>
      </c>
      <c r="J78" s="37">
        <f t="shared" ca="1" si="15"/>
        <v>7384823.0061644344</v>
      </c>
      <c r="K78" s="37">
        <f t="shared" ca="1" si="15"/>
        <v>0</v>
      </c>
      <c r="L78" s="37">
        <f t="shared" ca="1" si="15"/>
        <v>0</v>
      </c>
      <c r="M78" s="37">
        <f t="shared" ca="1" si="15"/>
        <v>0</v>
      </c>
      <c r="N78" s="37">
        <f t="shared" ca="1" si="15"/>
        <v>0</v>
      </c>
      <c r="O78" s="37">
        <f ca="1">SUM(H78:N78)</f>
        <v>22954620.682809532</v>
      </c>
    </row>
    <row r="79" spans="1:16" x14ac:dyDescent="0.2">
      <c r="J79" s="37"/>
    </row>
    <row r="81" spans="1:15" x14ac:dyDescent="0.2">
      <c r="A81" t="s">
        <v>108</v>
      </c>
    </row>
    <row r="82" spans="1:15" x14ac:dyDescent="0.2">
      <c r="A82" s="120" t="s">
        <v>189</v>
      </c>
      <c r="B82" s="142"/>
      <c r="C82" s="142"/>
      <c r="D82" s="142"/>
      <c r="E82" s="142"/>
      <c r="F82" s="142"/>
    </row>
    <row r="83" spans="1:15" x14ac:dyDescent="0.2">
      <c r="A83" s="120">
        <v>2016</v>
      </c>
      <c r="B83" s="142"/>
      <c r="C83" s="142"/>
      <c r="D83" s="142"/>
      <c r="E83" s="142"/>
      <c r="F83" s="142"/>
      <c r="H83" s="144">
        <f>(100%-$L$83)*H89</f>
        <v>0.14776370603391384</v>
      </c>
      <c r="I83" s="144">
        <f>(100%-$L$83)*I89</f>
        <v>5.9105482413565537E-2</v>
      </c>
      <c r="J83" s="144">
        <f>(100%-$L$83)*J89</f>
        <v>0.38418563568817599</v>
      </c>
      <c r="K83" s="144">
        <v>0</v>
      </c>
      <c r="L83" s="144">
        <v>0.40894517586434465</v>
      </c>
      <c r="M83" s="144">
        <v>0</v>
      </c>
      <c r="N83" s="144">
        <v>0</v>
      </c>
    </row>
    <row r="84" spans="1:15" x14ac:dyDescent="0.2">
      <c r="A84" s="120">
        <v>2017</v>
      </c>
      <c r="B84" s="142"/>
      <c r="C84" s="142"/>
      <c r="D84" s="142"/>
      <c r="E84" s="142"/>
      <c r="F84" s="142"/>
      <c r="H84" s="144">
        <f>(100%-$L$84)*H89</f>
        <v>0.20894240849242118</v>
      </c>
      <c r="I84" s="144">
        <f>(100%-$L$84)*I89</f>
        <v>8.3576963396968476E-2</v>
      </c>
      <c r="J84" s="144">
        <f>(100%-$L$84)*J89</f>
        <v>0.54325026208029514</v>
      </c>
      <c r="K84" s="144">
        <v>0</v>
      </c>
      <c r="L84" s="144">
        <v>0.16423036603031529</v>
      </c>
      <c r="M84" s="144">
        <v>0</v>
      </c>
      <c r="N84" s="144">
        <v>0</v>
      </c>
    </row>
    <row r="85" spans="1:15" x14ac:dyDescent="0.2">
      <c r="A85" s="120"/>
      <c r="B85" s="142"/>
      <c r="C85" s="142"/>
      <c r="D85" s="142"/>
      <c r="E85" s="142"/>
      <c r="F85" s="142"/>
    </row>
    <row r="86" spans="1:15" ht="11.25" customHeight="1" x14ac:dyDescent="0.2">
      <c r="A86">
        <v>2016</v>
      </c>
      <c r="G86" s="37">
        <f>-'[14]D. CDM Plan Milestone LDC 1'!$Q$80*0.5*1000</f>
        <v>-2027000</v>
      </c>
      <c r="H86" s="37">
        <f>H83*$G$86</f>
        <v>-299517.03213074338</v>
      </c>
      <c r="I86" s="37">
        <f t="shared" ref="I86:N86" si="16">I83*$G$86</f>
        <v>-119806.81285229734</v>
      </c>
      <c r="J86" s="37">
        <f t="shared" si="16"/>
        <v>-778744.28353993269</v>
      </c>
      <c r="K86" s="37">
        <f t="shared" si="16"/>
        <v>0</v>
      </c>
      <c r="L86" s="37">
        <f t="shared" si="16"/>
        <v>-828931.87147702661</v>
      </c>
      <c r="M86" s="37">
        <f t="shared" si="16"/>
        <v>0</v>
      </c>
      <c r="N86" s="37">
        <f t="shared" si="16"/>
        <v>0</v>
      </c>
      <c r="O86" s="37">
        <f>SUM(H86:N86)</f>
        <v>-2027000</v>
      </c>
    </row>
    <row r="87" spans="1:15" x14ac:dyDescent="0.2">
      <c r="A87">
        <v>2017</v>
      </c>
      <c r="G87" s="37">
        <f>-('[14]D. CDM Plan Milestone LDC 1'!$Q$80+'[14]D. CDM Plan Milestone LDC 1'!$S$80*0.5)*1000</f>
        <v>-6229000</v>
      </c>
      <c r="H87" s="37">
        <f>H84*$G$87</f>
        <v>-1301502.2624992914</v>
      </c>
      <c r="I87" s="37">
        <f t="shared" ref="I87:N87" si="17">I84*$G$87</f>
        <v>-520600.90499971661</v>
      </c>
      <c r="J87" s="37">
        <f t="shared" si="17"/>
        <v>-3383905.8824981586</v>
      </c>
      <c r="K87" s="37">
        <f t="shared" si="17"/>
        <v>0</v>
      </c>
      <c r="L87" s="37">
        <f t="shared" si="17"/>
        <v>-1022990.950002834</v>
      </c>
      <c r="M87" s="37">
        <f t="shared" si="17"/>
        <v>0</v>
      </c>
      <c r="N87" s="37">
        <f t="shared" si="17"/>
        <v>0</v>
      </c>
      <c r="O87" s="37">
        <f>SUM(H87:N87)</f>
        <v>-6229000.0000000009</v>
      </c>
    </row>
    <row r="89" spans="1:15" x14ac:dyDescent="0.2">
      <c r="H89" s="144">
        <v>0.25</v>
      </c>
      <c r="I89" s="144">
        <v>0.1</v>
      </c>
      <c r="J89" s="144">
        <v>0.65</v>
      </c>
    </row>
    <row r="91" spans="1:15" x14ac:dyDescent="0.2">
      <c r="H91" s="6">
        <f ca="1">H70/'Rate Class Customer Model'!B18</f>
        <v>8145.8277739731411</v>
      </c>
      <c r="I91" s="6">
        <f ca="1">I70/'Rate Class Customer Model'!C18</f>
        <v>32623.752976679294</v>
      </c>
      <c r="J91" s="6">
        <f ca="1">J70/'Rate Class Customer Model'!D18</f>
        <v>906979.66436617402</v>
      </c>
      <c r="K91" s="134"/>
    </row>
    <row r="92" spans="1:15" x14ac:dyDescent="0.2">
      <c r="H92" s="6">
        <f>H44</f>
        <v>7655.434518184682</v>
      </c>
      <c r="I92" s="6">
        <f>I44</f>
        <v>30700.986763389705</v>
      </c>
      <c r="J92" s="6">
        <f>J44</f>
        <v>880148.76390346268</v>
      </c>
      <c r="K92" s="134"/>
      <c r="M92" s="134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2"/>
  <sheetViews>
    <sheetView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B17" sqref="B17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5" width="14.140625" style="6" customWidth="1"/>
    <col min="6" max="6" width="17.5703125" style="6" customWidth="1"/>
    <col min="7" max="8" width="12.5703125" style="6" customWidth="1"/>
    <col min="9" max="10" width="12.7109375" style="6" bestFit="1" customWidth="1"/>
    <col min="11" max="11" width="11.7109375" style="6" bestFit="1" customWidth="1"/>
    <col min="12" max="12" width="10.7109375" style="6" bestFit="1" customWidth="1"/>
    <col min="13" max="14" width="9.140625" style="6"/>
  </cols>
  <sheetData>
    <row r="2" spans="1:17" ht="42" customHeight="1" x14ac:dyDescent="0.2">
      <c r="B2" s="9" t="str">
        <f>'Rate Class Energy Model'!H2</f>
        <v xml:space="preserve">Residential </v>
      </c>
      <c r="C2" s="9" t="str">
        <f>'Rate Class Energy Model'!I2</f>
        <v>General Service 
&lt; 50 kW</v>
      </c>
      <c r="D2" s="9" t="str">
        <f>'Rate Class Energy Model'!J2</f>
        <v>General Service 
50 to 
4,999 kW</v>
      </c>
      <c r="E2" s="9" t="str">
        <f>'Rate Class Energy Model'!K2</f>
        <v>Large User</v>
      </c>
      <c r="F2" s="9" t="str">
        <f>'Rate Class Energy Model'!L2</f>
        <v xml:space="preserve">Street Lights </v>
      </c>
      <c r="G2" s="9" t="str">
        <f>'Rate Class Energy Model'!M2</f>
        <v>Sentinel Lights</v>
      </c>
      <c r="H2" s="9" t="str">
        <f>'Rate Class Energy Model'!N2</f>
        <v xml:space="preserve">Unmetered Scattered Loads </v>
      </c>
      <c r="I2" s="6" t="s">
        <v>10</v>
      </c>
    </row>
    <row r="3" spans="1:17" x14ac:dyDescent="0.2">
      <c r="A3" s="4">
        <v>2002</v>
      </c>
      <c r="B3" s="39">
        <f>'[15]Data Input'!$F$17</f>
        <v>18178</v>
      </c>
      <c r="C3" s="39">
        <f>'[15]Data Input'!$J$17</f>
        <v>1679.5</v>
      </c>
      <c r="D3" s="39">
        <f>'[15]Data Input'!$O$17</f>
        <v>239.41666666666666</v>
      </c>
      <c r="E3" s="39">
        <f>'[15]Data Input'!$AH$17</f>
        <v>1.3333333333333333</v>
      </c>
      <c r="F3" s="39">
        <f>'[15]Data Input'!$T$17</f>
        <v>6411.75</v>
      </c>
      <c r="G3" s="39">
        <f>'[15]Data Input'!$Y$17</f>
        <v>765</v>
      </c>
      <c r="H3" s="39">
        <f>'[15]Data Input'!$AC$17</f>
        <v>225.25</v>
      </c>
      <c r="I3" s="39">
        <f>SUM(B3:H3)</f>
        <v>27500.25</v>
      </c>
      <c r="K3"/>
      <c r="L3"/>
      <c r="M3"/>
      <c r="N3"/>
    </row>
    <row r="4" spans="1:17" x14ac:dyDescent="0.2">
      <c r="A4" s="4">
        <v>2003</v>
      </c>
      <c r="B4" s="39">
        <f>'[15]Data Input'!$F$31</f>
        <v>18297.833333333332</v>
      </c>
      <c r="C4" s="39">
        <f>'[15]Data Input'!$J$31</f>
        <v>1684.3333333333333</v>
      </c>
      <c r="D4" s="39">
        <f>'[15]Data Input'!$O$31</f>
        <v>235.75</v>
      </c>
      <c r="E4" s="39">
        <f>'[15]Data Input'!$AH$31</f>
        <v>2.75</v>
      </c>
      <c r="F4" s="39">
        <f>'[15]Data Input'!$T$31</f>
        <v>6457.5</v>
      </c>
      <c r="G4" s="39">
        <f>'[15]Data Input'!$Y$31</f>
        <v>758.08333333333337</v>
      </c>
      <c r="H4" s="39">
        <f>'[15]Data Input'!$AC$31</f>
        <v>228.58333333333334</v>
      </c>
      <c r="I4" s="39">
        <f t="shared" ref="I4:I18" si="0">SUM(B4:H4)</f>
        <v>27664.833333333328</v>
      </c>
      <c r="K4"/>
      <c r="L4"/>
      <c r="M4"/>
      <c r="N4"/>
    </row>
    <row r="5" spans="1:17" x14ac:dyDescent="0.2">
      <c r="A5" s="4">
        <v>2004</v>
      </c>
      <c r="B5" s="39">
        <f>'[15]Data Input'!$F$45</f>
        <v>18497.833333333332</v>
      </c>
      <c r="C5" s="39">
        <f>'[15]Data Input'!$J$45</f>
        <v>1682.9166666666667</v>
      </c>
      <c r="D5" s="39">
        <f>'[15]Data Input'!$O$45</f>
        <v>216.5</v>
      </c>
      <c r="E5" s="39">
        <f>'[15]Data Input'!$AH$45</f>
        <v>2.8333333333333335</v>
      </c>
      <c r="F5" s="39">
        <f>'[15]Data Input'!$T$45</f>
        <v>6471.333333333333</v>
      </c>
      <c r="G5" s="39">
        <f>'[15]Data Input'!$Y$45</f>
        <v>750.41666666666663</v>
      </c>
      <c r="H5" s="39">
        <f>'[15]Data Input'!$AC$45</f>
        <v>232.41666666666666</v>
      </c>
      <c r="I5" s="39">
        <f t="shared" si="0"/>
        <v>27854.25</v>
      </c>
      <c r="K5"/>
      <c r="L5"/>
      <c r="M5"/>
      <c r="N5"/>
    </row>
    <row r="6" spans="1:17" x14ac:dyDescent="0.2">
      <c r="A6" s="4">
        <v>2005</v>
      </c>
      <c r="B6" s="39">
        <f>'[15]Data Input'!$F$59</f>
        <v>18756.166666666668</v>
      </c>
      <c r="C6" s="39">
        <f>'[15]Data Input'!$J$59</f>
        <v>1690.8333333333333</v>
      </c>
      <c r="D6" s="39">
        <f>'[15]Data Input'!$O$59</f>
        <v>208</v>
      </c>
      <c r="E6" s="39">
        <f>'[15]Data Input'!$AH$59</f>
        <v>2.8333333333333335</v>
      </c>
      <c r="F6" s="39">
        <f>'[15]Data Input'!$T$59</f>
        <v>6520.166666666667</v>
      </c>
      <c r="G6" s="39">
        <f>'[15]Data Input'!$Y$59</f>
        <v>739.25</v>
      </c>
      <c r="H6" s="39">
        <f>'[15]Data Input'!$AC$59</f>
        <v>234</v>
      </c>
      <c r="I6" s="39">
        <f t="shared" si="0"/>
        <v>28151.25</v>
      </c>
      <c r="K6"/>
      <c r="L6"/>
      <c r="M6"/>
      <c r="N6"/>
    </row>
    <row r="7" spans="1:17" x14ac:dyDescent="0.2">
      <c r="A7" s="4">
        <v>2006</v>
      </c>
      <c r="B7" s="39">
        <f>'[15]Data Input'!$F$73</f>
        <v>18914.833333333332</v>
      </c>
      <c r="C7" s="39">
        <f>'[15]Data Input'!$J$73</f>
        <v>1668</v>
      </c>
      <c r="D7" s="39">
        <f>'[15]Data Input'!$O$73</f>
        <v>208.5</v>
      </c>
      <c r="E7" s="39">
        <f>'[15]Data Input'!$AH$73</f>
        <v>3</v>
      </c>
      <c r="F7" s="39">
        <f>'[15]Data Input'!$T$73</f>
        <v>6557.75</v>
      </c>
      <c r="G7" s="39">
        <f>'[15]Data Input'!$Y$73</f>
        <v>732.41666666666663</v>
      </c>
      <c r="H7" s="39">
        <f>'[15]Data Input'!$AC$73</f>
        <v>232.58333333333334</v>
      </c>
      <c r="I7" s="39">
        <f t="shared" si="0"/>
        <v>28317.083333333332</v>
      </c>
      <c r="K7"/>
      <c r="L7"/>
      <c r="M7"/>
      <c r="N7"/>
    </row>
    <row r="8" spans="1:17" x14ac:dyDescent="0.2">
      <c r="A8" s="4">
        <v>2007</v>
      </c>
      <c r="B8" s="39">
        <f>'[15]Data Input'!$F$87</f>
        <v>18996.166666666668</v>
      </c>
      <c r="C8" s="39">
        <f>'[15]Data Input'!$J$87</f>
        <v>1656.5</v>
      </c>
      <c r="D8" s="39">
        <f>'[15]Data Input'!$O$87</f>
        <v>194.16666666666666</v>
      </c>
      <c r="E8" s="39">
        <f>'[15]Data Input'!$AH$87</f>
        <v>2.4166666666666665</v>
      </c>
      <c r="F8" s="39">
        <f>'[15]Data Input'!$T$87</f>
        <v>6610.333333333333</v>
      </c>
      <c r="G8" s="39">
        <f>'[15]Data Input'!$Y$87</f>
        <v>704.41666666666663</v>
      </c>
      <c r="H8" s="39">
        <f>'[15]Data Input'!$AC$87</f>
        <v>231.66666666666666</v>
      </c>
      <c r="I8" s="39">
        <f t="shared" si="0"/>
        <v>28395.666666666672</v>
      </c>
      <c r="K8"/>
      <c r="L8"/>
      <c r="M8"/>
      <c r="N8"/>
    </row>
    <row r="9" spans="1:17" x14ac:dyDescent="0.2">
      <c r="A9" s="4">
        <v>2008</v>
      </c>
      <c r="B9" s="39">
        <f>'[15]Data Input'!$F$101</f>
        <v>19136.5</v>
      </c>
      <c r="C9" s="39">
        <f>'[15]Data Input'!$J$101</f>
        <v>1676.25</v>
      </c>
      <c r="D9" s="39">
        <f>'[15]Data Input'!$O$101</f>
        <v>176.25</v>
      </c>
      <c r="E9" s="39">
        <f>'[15]Data Input'!$AH$101</f>
        <v>2.5</v>
      </c>
      <c r="F9" s="39">
        <f>'[15]Data Input'!$T$101</f>
        <v>6670.583333333333</v>
      </c>
      <c r="G9" s="39">
        <f>'[15]Data Input'!$Y$101</f>
        <v>689</v>
      </c>
      <c r="H9" s="39">
        <f>'[15]Data Input'!$AC$101</f>
        <v>232</v>
      </c>
      <c r="I9" s="39">
        <f t="shared" si="0"/>
        <v>28583.083333333332</v>
      </c>
      <c r="K9"/>
      <c r="L9"/>
      <c r="M9"/>
      <c r="N9"/>
    </row>
    <row r="10" spans="1:17" x14ac:dyDescent="0.2">
      <c r="A10" s="4">
        <v>2009</v>
      </c>
      <c r="B10" s="39">
        <f>'[15]Data Input'!$F$115</f>
        <v>19277.083333333332</v>
      </c>
      <c r="C10" s="39">
        <f>'[15]Data Input'!$J$115</f>
        <v>1690.1666666666667</v>
      </c>
      <c r="D10" s="39">
        <f>'[15]Data Input'!$O$115</f>
        <v>170.75</v>
      </c>
      <c r="E10" s="39">
        <f>'[15]Data Input'!$AH$115</f>
        <v>2.5</v>
      </c>
      <c r="F10" s="39">
        <f>'[15]Data Input'!$T$115</f>
        <v>6709.416666666667</v>
      </c>
      <c r="G10" s="39">
        <f>'[15]Data Input'!$Y$115</f>
        <v>679.66666666666663</v>
      </c>
      <c r="H10" s="39">
        <f>'[15]Data Input'!$AC$115</f>
        <v>230.5</v>
      </c>
      <c r="I10" s="39">
        <f t="shared" si="0"/>
        <v>28760.083333333336</v>
      </c>
      <c r="K10"/>
      <c r="L10"/>
      <c r="M10"/>
      <c r="N10"/>
    </row>
    <row r="11" spans="1:17" x14ac:dyDescent="0.2">
      <c r="A11" s="4">
        <v>2010</v>
      </c>
      <c r="B11" s="39">
        <f>'[15]Data Input'!$F$129</f>
        <v>19434.333333333332</v>
      </c>
      <c r="C11" s="39">
        <f>'[15]Data Input'!$J$129</f>
        <v>1690.6666666666667</v>
      </c>
      <c r="D11" s="39">
        <f>'[15]Data Input'!$O$129</f>
        <v>172.33333333333334</v>
      </c>
      <c r="E11" s="39">
        <f>'[15]Data Input'!$AH$129</f>
        <v>1.3333333333333333</v>
      </c>
      <c r="F11" s="39">
        <f>'[15]Data Input'!$T$129</f>
        <v>6737.666666666667</v>
      </c>
      <c r="G11" s="39">
        <f>'[15]Data Input'!$Y$129</f>
        <v>679.16666666666663</v>
      </c>
      <c r="H11" s="39">
        <f>'[15]Data Input'!$AC$129</f>
        <v>227.25</v>
      </c>
      <c r="I11" s="39">
        <f t="shared" si="0"/>
        <v>28942.75</v>
      </c>
      <c r="K11"/>
      <c r="L11"/>
      <c r="M11"/>
      <c r="N11"/>
    </row>
    <row r="12" spans="1:17" x14ac:dyDescent="0.2">
      <c r="A12" s="4">
        <v>2011</v>
      </c>
      <c r="B12" s="39">
        <f>'[15]Data Input'!$F$143</f>
        <v>19716.902777777785</v>
      </c>
      <c r="C12" s="39">
        <f>'[15]Data Input'!$J$143</f>
        <v>1690.8055555555559</v>
      </c>
      <c r="D12" s="39">
        <f>'[15]Data Input'!$O$143</f>
        <v>169.73611111111106</v>
      </c>
      <c r="E12" s="39">
        <f>'[15]Data Input'!$AH$143</f>
        <v>1</v>
      </c>
      <c r="F12" s="39">
        <f>'[15]Data Input'!$T$143</f>
        <v>6739</v>
      </c>
      <c r="G12" s="39">
        <f>'[15]Data Input'!$Y$143</f>
        <v>663.28472222222206</v>
      </c>
      <c r="H12" s="39">
        <f>'[15]Data Input'!$AC$143</f>
        <v>226.32291666666671</v>
      </c>
      <c r="I12" s="39">
        <f t="shared" si="0"/>
        <v>29207.052083333339</v>
      </c>
      <c r="O12" s="6"/>
      <c r="P12" s="6"/>
      <c r="Q12" s="6"/>
    </row>
    <row r="13" spans="1:17" x14ac:dyDescent="0.2">
      <c r="A13" s="4">
        <v>2012</v>
      </c>
      <c r="B13" s="39">
        <f>'[15]Data Input'!$F$157</f>
        <v>20109.833333333332</v>
      </c>
      <c r="C13" s="39">
        <f>'[15]Data Input'!$J$157</f>
        <v>1698.8333333333333</v>
      </c>
      <c r="D13" s="39">
        <f>'[15]Data Input'!$O$157</f>
        <v>173.25</v>
      </c>
      <c r="E13" s="39">
        <f>'[15]Data Input'!$AH$157</f>
        <v>1</v>
      </c>
      <c r="F13" s="39">
        <f>'[15]Data Input'!$T$157</f>
        <v>6749.166666666667</v>
      </c>
      <c r="G13" s="39">
        <f>'[15]Data Input'!$Y$157</f>
        <v>626.84577546296293</v>
      </c>
      <c r="H13" s="39">
        <f>'[15]Data Input'!$AC$157</f>
        <v>220.70008680555566</v>
      </c>
      <c r="I13" s="39">
        <f t="shared" si="0"/>
        <v>29579.62919560185</v>
      </c>
      <c r="O13" s="6"/>
      <c r="P13" s="6"/>
      <c r="Q13" s="6"/>
    </row>
    <row r="14" spans="1:17" x14ac:dyDescent="0.2">
      <c r="A14" s="4">
        <v>2013</v>
      </c>
      <c r="B14" s="39">
        <f>'[15]Data Input'!$F$171</f>
        <v>20265.75</v>
      </c>
      <c r="C14" s="39">
        <f>'[15]Data Input'!$J$171</f>
        <v>1698.5</v>
      </c>
      <c r="D14" s="39">
        <f>'[15]Data Input'!$O$171</f>
        <v>172.66666666666666</v>
      </c>
      <c r="E14" s="39">
        <f>'[15]Data Input'!$AH$171</f>
        <v>1</v>
      </c>
      <c r="F14" s="39">
        <f>'[15]Data Input'!$T$171</f>
        <v>6778.916666666667</v>
      </c>
      <c r="G14" s="39">
        <f>'[15]Data Input'!$Y$171</f>
        <v>580.25</v>
      </c>
      <c r="H14" s="39">
        <f>'[15]Data Input'!$AC$171</f>
        <v>235.5</v>
      </c>
      <c r="I14" s="39">
        <f t="shared" si="0"/>
        <v>29732.583333333336</v>
      </c>
      <c r="O14" s="6"/>
      <c r="P14" s="6"/>
      <c r="Q14" s="6"/>
    </row>
    <row r="15" spans="1:17" x14ac:dyDescent="0.2">
      <c r="A15" s="4">
        <v>2014</v>
      </c>
      <c r="B15" s="39">
        <f>'[15]Data Input'!$F$185</f>
        <v>20472.166666666668</v>
      </c>
      <c r="C15" s="39">
        <f>'[15]Data Input'!$J$185</f>
        <v>1742.8333333333333</v>
      </c>
      <c r="D15" s="39">
        <f>'[15]Data Input'!$O$185</f>
        <v>165.41666666666666</v>
      </c>
      <c r="E15" s="39">
        <f>'[15]Data Input'!$AH$185</f>
        <v>1</v>
      </c>
      <c r="F15" s="39">
        <f>'[15]Data Input'!$T$185</f>
        <v>6784.333333333333</v>
      </c>
      <c r="G15" s="39">
        <f>'[15]Data Input'!$Y$185</f>
        <v>519.16666666666663</v>
      </c>
      <c r="H15" s="39">
        <f>'[15]Data Input'!$AC$185</f>
        <v>259.33333333333331</v>
      </c>
      <c r="I15" s="39">
        <f t="shared" si="0"/>
        <v>29944.25</v>
      </c>
      <c r="O15" s="6"/>
      <c r="P15" s="6"/>
      <c r="Q15" s="6"/>
    </row>
    <row r="16" spans="1:17" x14ac:dyDescent="0.2">
      <c r="A16" s="4">
        <v>2015</v>
      </c>
      <c r="B16" s="39">
        <f>'[15]Data Input'!$F$199</f>
        <v>20635.5</v>
      </c>
      <c r="C16" s="39">
        <f>'[15]Data Input'!$J$199</f>
        <v>1769.0833333333333</v>
      </c>
      <c r="D16" s="39">
        <f>'[15]Data Input'!$O$199</f>
        <v>158.83333333333334</v>
      </c>
      <c r="E16" s="39">
        <v>1</v>
      </c>
      <c r="F16" s="39">
        <f>'[15]Data Input'!$T$199</f>
        <v>6792.583333333333</v>
      </c>
      <c r="G16" s="39">
        <f>'[15]Data Input'!$Y$199</f>
        <v>515.08333333333337</v>
      </c>
      <c r="H16" s="39">
        <f>'[15]Data Input'!$AC$199</f>
        <v>256.66666666666669</v>
      </c>
      <c r="I16" s="39">
        <f t="shared" si="0"/>
        <v>30128.749999999996</v>
      </c>
      <c r="O16" s="6"/>
      <c r="P16" s="6"/>
      <c r="Q16" s="6"/>
    </row>
    <row r="17" spans="1:17" x14ac:dyDescent="0.2">
      <c r="A17" s="4">
        <v>2016</v>
      </c>
      <c r="B17" s="21">
        <f>B16*B35</f>
        <v>20837.76161408551</v>
      </c>
      <c r="C17" s="21">
        <f t="shared" ref="C17:D17" si="1">C16*C35</f>
        <v>1776.1691097249281</v>
      </c>
      <c r="D17" s="21">
        <f t="shared" si="1"/>
        <v>153.89800099158106</v>
      </c>
      <c r="E17" s="21">
        <v>0</v>
      </c>
      <c r="F17" s="21">
        <f>F16*F35</f>
        <v>6822.798479396517</v>
      </c>
      <c r="G17" s="21">
        <f>G16*G35</f>
        <v>515.08333333333337</v>
      </c>
      <c r="H17" s="21">
        <f>H16*H35</f>
        <v>256.66666666666669</v>
      </c>
      <c r="I17" s="21">
        <f t="shared" si="0"/>
        <v>30362.377204198536</v>
      </c>
      <c r="O17" s="6"/>
      <c r="P17" s="6"/>
      <c r="Q17" s="6"/>
    </row>
    <row r="18" spans="1:17" x14ac:dyDescent="0.2">
      <c r="A18" s="4">
        <v>2017</v>
      </c>
      <c r="B18" s="21">
        <f>B17*B35</f>
        <v>21042.005722442176</v>
      </c>
      <c r="C18" s="21">
        <f t="shared" ref="C18:D18" si="2">C17*C35</f>
        <v>1783.2832670447278</v>
      </c>
      <c r="D18" s="21">
        <f t="shared" si="2"/>
        <v>149.11602125417429</v>
      </c>
      <c r="E18" s="21">
        <v>0</v>
      </c>
      <c r="F18" s="21">
        <f>F17*F35</f>
        <v>6853.1480301488764</v>
      </c>
      <c r="G18" s="21">
        <f>G17*G35</f>
        <v>515.08333333333337</v>
      </c>
      <c r="H18" s="21">
        <f>H17*H35</f>
        <v>256.66666666666669</v>
      </c>
      <c r="I18" s="21">
        <f t="shared" si="0"/>
        <v>30599.303040889954</v>
      </c>
      <c r="O18" s="6"/>
      <c r="P18" s="6"/>
      <c r="Q18" s="6"/>
    </row>
    <row r="19" spans="1:17" x14ac:dyDescent="0.2">
      <c r="A19" s="20"/>
      <c r="K19"/>
      <c r="L19"/>
      <c r="M19"/>
      <c r="N19"/>
    </row>
    <row r="20" spans="1:17" x14ac:dyDescent="0.2">
      <c r="A20" s="19" t="s">
        <v>41</v>
      </c>
      <c r="B20" s="5"/>
      <c r="C20" s="5"/>
      <c r="D20" s="5"/>
      <c r="E20" s="5"/>
      <c r="F20" s="5"/>
      <c r="G20" s="5"/>
      <c r="H20" s="5"/>
      <c r="K20"/>
      <c r="L20"/>
      <c r="M20"/>
      <c r="N20"/>
    </row>
    <row r="21" spans="1:17" x14ac:dyDescent="0.2">
      <c r="A21" s="4">
        <v>2003</v>
      </c>
      <c r="B21" s="24">
        <f>B4/B3</f>
        <v>1.0065922176990501</v>
      </c>
      <c r="C21" s="24">
        <f t="shared" ref="C21:H21" si="3">C4/C3</f>
        <v>1.0028778406271708</v>
      </c>
      <c r="D21" s="24">
        <f t="shared" si="3"/>
        <v>0.98468499825965894</v>
      </c>
      <c r="E21" s="24">
        <f t="shared" si="3"/>
        <v>2.0625</v>
      </c>
      <c r="F21" s="24">
        <f t="shared" si="3"/>
        <v>1.0071353374663703</v>
      </c>
      <c r="G21" s="24">
        <f t="shared" si="3"/>
        <v>0.99095860566448801</v>
      </c>
      <c r="H21" s="24">
        <f t="shared" si="3"/>
        <v>1.0147983721790603</v>
      </c>
      <c r="K21"/>
      <c r="L21"/>
      <c r="M21"/>
      <c r="N21"/>
    </row>
    <row r="22" spans="1:17" x14ac:dyDescent="0.2">
      <c r="A22" s="4">
        <v>2004</v>
      </c>
      <c r="B22" s="24">
        <f t="shared" ref="B22:H33" si="4">B5/B4</f>
        <v>1.0109302558590725</v>
      </c>
      <c r="C22" s="24">
        <f t="shared" si="4"/>
        <v>0.9991589154957452</v>
      </c>
      <c r="D22" s="24">
        <f t="shared" si="4"/>
        <v>0.91834570519618242</v>
      </c>
      <c r="E22" s="24">
        <f t="shared" si="4"/>
        <v>1.0303030303030303</v>
      </c>
      <c r="F22" s="24">
        <f t="shared" si="4"/>
        <v>1.0021422118983094</v>
      </c>
      <c r="G22" s="24">
        <f t="shared" si="4"/>
        <v>0.9898867758601736</v>
      </c>
      <c r="H22" s="24">
        <f t="shared" si="4"/>
        <v>1.0167699598979218</v>
      </c>
      <c r="K22"/>
      <c r="L22"/>
      <c r="M22"/>
      <c r="N22"/>
    </row>
    <row r="23" spans="1:17" x14ac:dyDescent="0.2">
      <c r="A23" s="4">
        <v>2005</v>
      </c>
      <c r="B23" s="24">
        <f t="shared" si="4"/>
        <v>1.0139655995747252</v>
      </c>
      <c r="C23" s="24">
        <f t="shared" si="4"/>
        <v>1.0047041346868035</v>
      </c>
      <c r="D23" s="24">
        <f t="shared" si="4"/>
        <v>0.96073903002309469</v>
      </c>
      <c r="E23" s="24">
        <f t="shared" si="4"/>
        <v>1</v>
      </c>
      <c r="F23" s="24">
        <f t="shared" si="4"/>
        <v>1.0075461007520348</v>
      </c>
      <c r="G23" s="24">
        <f t="shared" si="4"/>
        <v>0.98511937812326489</v>
      </c>
      <c r="H23" s="24">
        <f t="shared" si="4"/>
        <v>1.0068124775905343</v>
      </c>
    </row>
    <row r="24" spans="1:17" x14ac:dyDescent="0.2">
      <c r="A24" s="4">
        <v>2006</v>
      </c>
      <c r="B24" s="24">
        <f t="shared" si="4"/>
        <v>1.0084594400063978</v>
      </c>
      <c r="C24" s="24">
        <f t="shared" si="4"/>
        <v>0.986495810744209</v>
      </c>
      <c r="D24" s="24">
        <f t="shared" si="4"/>
        <v>1.0024038461538463</v>
      </c>
      <c r="E24" s="24">
        <f t="shared" si="4"/>
        <v>1.0588235294117647</v>
      </c>
      <c r="F24" s="24">
        <f t="shared" si="4"/>
        <v>1.0057641675826281</v>
      </c>
      <c r="G24" s="24">
        <f t="shared" si="4"/>
        <v>0.99075639724946452</v>
      </c>
      <c r="H24" s="24">
        <f t="shared" si="4"/>
        <v>0.993945868945869</v>
      </c>
    </row>
    <row r="25" spans="1:17" x14ac:dyDescent="0.2">
      <c r="A25" s="4">
        <v>2007</v>
      </c>
      <c r="B25" s="24">
        <f t="shared" si="4"/>
        <v>1.0042999762091482</v>
      </c>
      <c r="C25" s="24">
        <f t="shared" si="4"/>
        <v>0.99310551558753002</v>
      </c>
      <c r="D25" s="24">
        <f t="shared" si="4"/>
        <v>0.93125499600319739</v>
      </c>
      <c r="E25" s="24">
        <f t="shared" si="4"/>
        <v>0.80555555555555547</v>
      </c>
      <c r="F25" s="24">
        <f t="shared" si="4"/>
        <v>1.008018502281016</v>
      </c>
      <c r="G25" s="24">
        <f t="shared" si="4"/>
        <v>0.96177039481169646</v>
      </c>
      <c r="H25" s="24">
        <f t="shared" si="4"/>
        <v>0.99605876030096729</v>
      </c>
      <c r="K25"/>
      <c r="L25"/>
      <c r="M25"/>
      <c r="N25"/>
    </row>
    <row r="26" spans="1:17" x14ac:dyDescent="0.2">
      <c r="A26" s="4">
        <v>2008</v>
      </c>
      <c r="B26" s="24">
        <f t="shared" si="4"/>
        <v>1.0073874553638014</v>
      </c>
      <c r="C26" s="24">
        <f t="shared" si="4"/>
        <v>1.0119227286447328</v>
      </c>
      <c r="D26" s="24">
        <f t="shared" si="4"/>
        <v>0.90772532188841204</v>
      </c>
      <c r="E26" s="24">
        <f t="shared" si="4"/>
        <v>1.0344827586206897</v>
      </c>
      <c r="F26" s="24">
        <f t="shared" si="4"/>
        <v>1.0091145176743483</v>
      </c>
      <c r="G26" s="24">
        <f t="shared" si="4"/>
        <v>0.97811427895421754</v>
      </c>
      <c r="H26" s="24">
        <f t="shared" si="4"/>
        <v>1.0014388489208634</v>
      </c>
      <c r="K26"/>
      <c r="L26"/>
      <c r="M26"/>
      <c r="N26"/>
    </row>
    <row r="27" spans="1:17" x14ac:dyDescent="0.2">
      <c r="A27" s="4">
        <v>2009</v>
      </c>
      <c r="B27" s="24">
        <f t="shared" si="4"/>
        <v>1.0073463451170972</v>
      </c>
      <c r="C27" s="24">
        <f t="shared" si="4"/>
        <v>1.0083022619935371</v>
      </c>
      <c r="D27" s="24">
        <f t="shared" si="4"/>
        <v>0.96879432624113471</v>
      </c>
      <c r="E27" s="24">
        <f t="shared" si="4"/>
        <v>1</v>
      </c>
      <c r="F27" s="24">
        <f t="shared" si="4"/>
        <v>1.0058215798218548</v>
      </c>
      <c r="G27" s="24">
        <f t="shared" si="4"/>
        <v>0.98645379777455244</v>
      </c>
      <c r="H27" s="24">
        <f t="shared" si="4"/>
        <v>0.99353448275862066</v>
      </c>
      <c r="K27"/>
      <c r="L27"/>
      <c r="M27"/>
      <c r="N27"/>
    </row>
    <row r="28" spans="1:17" x14ac:dyDescent="0.2">
      <c r="A28" s="4">
        <v>2010</v>
      </c>
      <c r="B28" s="24">
        <f t="shared" si="4"/>
        <v>1.0081573543715552</v>
      </c>
      <c r="C28" s="24">
        <f t="shared" si="4"/>
        <v>1.0002958288137265</v>
      </c>
      <c r="D28" s="24">
        <f t="shared" si="4"/>
        <v>1.0092728160078088</v>
      </c>
      <c r="E28" s="24">
        <f t="shared" si="4"/>
        <v>0.53333333333333333</v>
      </c>
      <c r="F28" s="24">
        <f t="shared" si="4"/>
        <v>1.0042105001676749</v>
      </c>
      <c r="G28" s="24">
        <f t="shared" si="4"/>
        <v>0.99926434526728791</v>
      </c>
      <c r="H28" s="24">
        <f t="shared" si="4"/>
        <v>0.98590021691973972</v>
      </c>
      <c r="K28"/>
      <c r="L28"/>
      <c r="M28"/>
      <c r="N28"/>
    </row>
    <row r="29" spans="1:17" x14ac:dyDescent="0.2">
      <c r="A29" s="4">
        <v>2011</v>
      </c>
      <c r="B29" s="24">
        <f t="shared" si="4"/>
        <v>1.0145397035029649</v>
      </c>
      <c r="C29" s="24">
        <f t="shared" si="4"/>
        <v>1.0000821503680337</v>
      </c>
      <c r="D29" s="24">
        <f t="shared" si="4"/>
        <v>0.98492907801418406</v>
      </c>
      <c r="E29" s="24">
        <f t="shared" si="4"/>
        <v>0.75</v>
      </c>
      <c r="F29" s="24">
        <f t="shared" si="4"/>
        <v>1.0001978924454558</v>
      </c>
      <c r="G29" s="24">
        <f t="shared" si="4"/>
        <v>0.97661554192229016</v>
      </c>
      <c r="H29" s="24">
        <f t="shared" si="4"/>
        <v>0.99592042537587111</v>
      </c>
      <c r="K29"/>
      <c r="L29"/>
      <c r="M29"/>
      <c r="N29"/>
    </row>
    <row r="30" spans="1:17" x14ac:dyDescent="0.2">
      <c r="A30" s="4">
        <v>2012</v>
      </c>
      <c r="B30" s="24">
        <f t="shared" si="4"/>
        <v>1.0199286145488533</v>
      </c>
      <c r="C30" s="24">
        <f t="shared" si="4"/>
        <v>1.0047479012305112</v>
      </c>
      <c r="D30" s="24">
        <f t="shared" si="4"/>
        <v>1.0207020702070211</v>
      </c>
      <c r="E30" s="24">
        <f t="shared" si="4"/>
        <v>1</v>
      </c>
      <c r="F30" s="24">
        <f t="shared" si="4"/>
        <v>1.001508631349854</v>
      </c>
      <c r="G30" s="24">
        <f t="shared" si="4"/>
        <v>0.94506288847242459</v>
      </c>
      <c r="H30" s="24">
        <f t="shared" si="4"/>
        <v>0.97515572022521924</v>
      </c>
      <c r="K30"/>
      <c r="L30"/>
      <c r="M30"/>
      <c r="N30"/>
    </row>
    <row r="31" spans="1:17" x14ac:dyDescent="0.2">
      <c r="A31" s="4">
        <v>2013</v>
      </c>
      <c r="B31" s="24">
        <f t="shared" si="4"/>
        <v>1.0077532550410662</v>
      </c>
      <c r="C31" s="24">
        <f t="shared" si="4"/>
        <v>0.99980378691258709</v>
      </c>
      <c r="D31" s="24">
        <f t="shared" si="4"/>
        <v>0.99663299663299654</v>
      </c>
      <c r="E31" s="24">
        <f t="shared" si="4"/>
        <v>1</v>
      </c>
      <c r="F31" s="24">
        <f t="shared" si="4"/>
        <v>1.0044079515989628</v>
      </c>
      <c r="G31" s="24">
        <f t="shared" si="4"/>
        <v>0.92566628461594214</v>
      </c>
      <c r="H31" s="24">
        <f t="shared" si="4"/>
        <v>1.0670589368978525</v>
      </c>
      <c r="K31"/>
      <c r="L31"/>
      <c r="M31"/>
      <c r="N31"/>
    </row>
    <row r="32" spans="1:17" x14ac:dyDescent="0.2">
      <c r="A32" s="4">
        <v>2014</v>
      </c>
      <c r="B32" s="24">
        <f t="shared" si="4"/>
        <v>1.0101854935872923</v>
      </c>
      <c r="C32" s="24">
        <f t="shared" si="4"/>
        <v>1.0261014620743794</v>
      </c>
      <c r="D32" s="24">
        <f t="shared" si="4"/>
        <v>0.95801158301158296</v>
      </c>
      <c r="E32" s="24">
        <f t="shared" si="4"/>
        <v>1</v>
      </c>
      <c r="F32" s="24">
        <f t="shared" si="4"/>
        <v>1.000799046061932</v>
      </c>
      <c r="G32" s="24">
        <f t="shared" si="4"/>
        <v>0.89472928335487567</v>
      </c>
      <c r="H32" s="24">
        <f t="shared" si="4"/>
        <v>1.1012031139419673</v>
      </c>
      <c r="K32"/>
      <c r="L32"/>
      <c r="M32"/>
      <c r="N32"/>
    </row>
    <row r="33" spans="1:14" x14ac:dyDescent="0.2">
      <c r="A33" s="4">
        <v>2015</v>
      </c>
      <c r="B33" s="24">
        <f t="shared" si="4"/>
        <v>1.0079783120171288</v>
      </c>
      <c r="C33" s="24">
        <f t="shared" si="4"/>
        <v>1.0150616811705078</v>
      </c>
      <c r="D33" s="24">
        <f t="shared" si="4"/>
        <v>0.96020151133501275</v>
      </c>
      <c r="E33" s="24">
        <f t="shared" si="4"/>
        <v>1</v>
      </c>
      <c r="F33" s="24">
        <f t="shared" si="4"/>
        <v>1.0012160369478702</v>
      </c>
      <c r="G33" s="24">
        <f t="shared" si="4"/>
        <v>0.99213483146067427</v>
      </c>
      <c r="H33" s="24">
        <f t="shared" si="4"/>
        <v>0.98971722365038572</v>
      </c>
      <c r="K33"/>
      <c r="L33"/>
      <c r="M33"/>
      <c r="N33"/>
    </row>
    <row r="34" spans="1:14" x14ac:dyDescent="0.2">
      <c r="K34"/>
      <c r="L34"/>
      <c r="M34"/>
      <c r="N34"/>
    </row>
    <row r="35" spans="1:14" x14ac:dyDescent="0.2">
      <c r="A35" t="s">
        <v>62</v>
      </c>
      <c r="B35" s="25">
        <f>B37</f>
        <v>1.0098016337905797</v>
      </c>
      <c r="C35" s="25">
        <f t="shared" ref="C35:D35" si="5">C37</f>
        <v>1.0040053378255753</v>
      </c>
      <c r="D35" s="25">
        <f t="shared" si="5"/>
        <v>0.96892760330481242</v>
      </c>
      <c r="E35" s="79"/>
      <c r="F35" s="25">
        <f>F37</f>
        <v>1.0044482554840231</v>
      </c>
      <c r="G35" s="25">
        <v>1</v>
      </c>
      <c r="H35" s="25">
        <v>1</v>
      </c>
      <c r="K35"/>
      <c r="L35"/>
      <c r="M35"/>
      <c r="N35"/>
    </row>
    <row r="36" spans="1:14" x14ac:dyDescent="0.2">
      <c r="B36" s="25"/>
      <c r="C36" s="25"/>
      <c r="D36" s="25"/>
      <c r="E36" s="25"/>
      <c r="F36" s="25"/>
      <c r="G36" s="25"/>
      <c r="H36" s="25"/>
      <c r="K36"/>
      <c r="L36"/>
      <c r="M36"/>
      <c r="N36"/>
    </row>
    <row r="37" spans="1:14" x14ac:dyDescent="0.2">
      <c r="A37" t="s">
        <v>14</v>
      </c>
      <c r="B37" s="25">
        <f>GEOMEAN(B21:B33)</f>
        <v>1.0098016337905797</v>
      </c>
      <c r="C37" s="25">
        <f t="shared" ref="C37:H37" si="6">GEOMEAN(C21:C33)</f>
        <v>1.0040053378255753</v>
      </c>
      <c r="D37" s="25">
        <f t="shared" si="6"/>
        <v>0.96892760330481242</v>
      </c>
      <c r="E37" s="25"/>
      <c r="F37" s="25">
        <f t="shared" si="6"/>
        <v>1.0044482554840231</v>
      </c>
      <c r="G37" s="25">
        <f t="shared" si="6"/>
        <v>0.97003153023902267</v>
      </c>
      <c r="H37" s="25">
        <f t="shared" si="6"/>
        <v>1.0100942473882681</v>
      </c>
      <c r="K37"/>
      <c r="L37"/>
      <c r="M37"/>
      <c r="N37"/>
    </row>
    <row r="38" spans="1:14" x14ac:dyDescent="0.2">
      <c r="A38" s="4"/>
      <c r="B38" s="25"/>
      <c r="C38" s="25"/>
      <c r="D38" s="25"/>
      <c r="E38" s="25"/>
      <c r="F38" s="25"/>
      <c r="G38" s="25"/>
      <c r="H38" s="25"/>
    </row>
    <row r="39" spans="1:14" x14ac:dyDescent="0.2">
      <c r="A39" s="4"/>
      <c r="B39" s="25"/>
      <c r="C39" s="25"/>
      <c r="D39" s="25"/>
      <c r="E39" s="25"/>
      <c r="F39" s="25"/>
      <c r="G39" s="25"/>
      <c r="H39" s="25"/>
    </row>
    <row r="40" spans="1:14" x14ac:dyDescent="0.2">
      <c r="A40" s="4"/>
      <c r="B40" s="25"/>
      <c r="C40" s="25"/>
      <c r="D40" s="25"/>
      <c r="E40" s="25"/>
      <c r="F40" s="25"/>
      <c r="G40" s="25"/>
      <c r="H40" s="25"/>
    </row>
    <row r="41" spans="1:14" x14ac:dyDescent="0.2">
      <c r="A41" s="4"/>
      <c r="B41" s="25"/>
      <c r="C41" s="25"/>
      <c r="D41" s="25"/>
      <c r="E41" s="25"/>
      <c r="F41" s="25"/>
      <c r="G41" s="25"/>
      <c r="H41" s="25"/>
    </row>
    <row r="42" spans="1:14" x14ac:dyDescent="0.2">
      <c r="A42" s="4"/>
      <c r="B42" s="25"/>
      <c r="C42" s="25"/>
      <c r="D42" s="25"/>
      <c r="E42" s="25"/>
      <c r="F42" s="25"/>
      <c r="G42" s="25"/>
      <c r="H42" s="25"/>
    </row>
    <row r="43" spans="1:14" x14ac:dyDescent="0.2">
      <c r="A43" s="4"/>
      <c r="B43" s="25"/>
      <c r="C43" s="25"/>
      <c r="D43" s="25"/>
      <c r="E43" s="25"/>
      <c r="F43" s="25"/>
      <c r="G43" s="25"/>
      <c r="H43" s="25"/>
    </row>
    <row r="44" spans="1:14" x14ac:dyDescent="0.2">
      <c r="A44" s="4"/>
      <c r="B44" s="25"/>
      <c r="C44" s="25"/>
      <c r="D44" s="25"/>
      <c r="E44" s="25"/>
      <c r="F44" s="25"/>
      <c r="G44" s="25"/>
      <c r="H44" s="25"/>
    </row>
    <row r="45" spans="1:14" x14ac:dyDescent="0.2">
      <c r="A45" s="4"/>
      <c r="B45" s="25"/>
      <c r="C45" s="25"/>
      <c r="D45" s="25"/>
      <c r="E45" s="25"/>
      <c r="F45" s="25"/>
      <c r="G45" s="25"/>
      <c r="H45" s="25"/>
    </row>
    <row r="46" spans="1:14" x14ac:dyDescent="0.2">
      <c r="B46" s="25"/>
      <c r="C46" s="25"/>
      <c r="D46" s="25"/>
      <c r="E46" s="25"/>
      <c r="F46" s="25"/>
      <c r="G46" s="25"/>
      <c r="H46" s="25"/>
    </row>
    <row r="47" spans="1:14" x14ac:dyDescent="0.2">
      <c r="B47" s="25"/>
      <c r="C47" s="25"/>
      <c r="D47" s="25"/>
      <c r="E47" s="25"/>
      <c r="F47" s="25"/>
      <c r="G47" s="25"/>
      <c r="H47" s="25"/>
    </row>
    <row r="48" spans="1:14" x14ac:dyDescent="0.2">
      <c r="B48" s="25"/>
      <c r="C48" s="25"/>
      <c r="D48" s="25"/>
      <c r="E48" s="25"/>
      <c r="F48" s="25"/>
      <c r="G48" s="25"/>
      <c r="H48" s="25"/>
    </row>
    <row r="49" spans="2:8" x14ac:dyDescent="0.2">
      <c r="B49" s="25"/>
      <c r="C49" s="25"/>
      <c r="D49" s="25"/>
      <c r="E49" s="25"/>
      <c r="F49" s="25"/>
      <c r="G49" s="25"/>
      <c r="H49" s="25"/>
    </row>
    <row r="50" spans="2:8" x14ac:dyDescent="0.2">
      <c r="B50" s="25"/>
      <c r="C50" s="25"/>
      <c r="D50" s="25"/>
      <c r="E50" s="25"/>
      <c r="F50" s="25"/>
      <c r="G50" s="25"/>
      <c r="H50" s="25"/>
    </row>
    <row r="51" spans="2:8" x14ac:dyDescent="0.2">
      <c r="B51" s="25"/>
      <c r="C51" s="25"/>
      <c r="D51" s="25"/>
      <c r="E51" s="25"/>
      <c r="F51" s="25"/>
      <c r="G51" s="25"/>
      <c r="H51" s="25"/>
    </row>
    <row r="52" spans="2:8" x14ac:dyDescent="0.2">
      <c r="B52" s="25"/>
      <c r="C52" s="25"/>
      <c r="D52" s="25"/>
      <c r="E52" s="25"/>
      <c r="F52" s="25"/>
      <c r="G52" s="25"/>
      <c r="H52" s="25"/>
    </row>
    <row r="53" spans="2:8" x14ac:dyDescent="0.2">
      <c r="B53" s="25"/>
      <c r="C53" s="25"/>
      <c r="D53" s="25"/>
      <c r="E53" s="25"/>
      <c r="F53" s="25"/>
      <c r="G53" s="25"/>
      <c r="H53" s="25"/>
    </row>
    <row r="54" spans="2:8" x14ac:dyDescent="0.2">
      <c r="B54" s="25"/>
      <c r="C54" s="25"/>
      <c r="D54" s="25"/>
      <c r="E54" s="25"/>
      <c r="F54" s="25"/>
      <c r="G54" s="25"/>
      <c r="H54" s="25"/>
    </row>
    <row r="55" spans="2:8" x14ac:dyDescent="0.2">
      <c r="B55" s="25"/>
      <c r="C55" s="25"/>
      <c r="D55" s="25"/>
      <c r="E55" s="25"/>
      <c r="F55" s="25"/>
      <c r="G55" s="25"/>
      <c r="H55" s="25"/>
    </row>
    <row r="56" spans="2:8" x14ac:dyDescent="0.2">
      <c r="B56" s="25"/>
      <c r="C56" s="25"/>
      <c r="D56" s="25"/>
      <c r="E56" s="25"/>
      <c r="F56" s="25"/>
      <c r="G56" s="25"/>
      <c r="H56" s="25"/>
    </row>
    <row r="57" spans="2:8" x14ac:dyDescent="0.2">
      <c r="B57" s="25"/>
      <c r="C57" s="25"/>
      <c r="D57" s="25"/>
      <c r="E57" s="25"/>
      <c r="F57" s="25"/>
      <c r="G57" s="25"/>
      <c r="H57" s="25"/>
    </row>
    <row r="58" spans="2:8" x14ac:dyDescent="0.2">
      <c r="B58" s="25"/>
      <c r="C58" s="25"/>
      <c r="D58" s="25"/>
      <c r="E58" s="25"/>
      <c r="F58" s="25"/>
      <c r="G58" s="25"/>
      <c r="H58" s="25"/>
    </row>
    <row r="59" spans="2:8" x14ac:dyDescent="0.2">
      <c r="B59" s="25"/>
      <c r="C59" s="25"/>
      <c r="D59" s="25"/>
      <c r="E59" s="25"/>
      <c r="F59" s="25"/>
      <c r="G59" s="25"/>
      <c r="H59" s="25"/>
    </row>
    <row r="60" spans="2:8" x14ac:dyDescent="0.2">
      <c r="B60" s="25"/>
      <c r="C60" s="25"/>
      <c r="D60" s="25"/>
      <c r="E60" s="25"/>
      <c r="F60" s="25"/>
      <c r="G60" s="25"/>
      <c r="H60" s="25"/>
    </row>
    <row r="61" spans="2:8" x14ac:dyDescent="0.2">
      <c r="B61" s="25"/>
      <c r="C61" s="25"/>
      <c r="D61" s="25"/>
      <c r="E61" s="25"/>
      <c r="F61" s="25"/>
      <c r="G61" s="25"/>
      <c r="H61" s="25"/>
    </row>
    <row r="62" spans="2:8" x14ac:dyDescent="0.2">
      <c r="B62" s="25"/>
      <c r="C62" s="25"/>
      <c r="D62" s="25"/>
      <c r="E62" s="25"/>
      <c r="F62" s="25"/>
      <c r="G62" s="25"/>
      <c r="H62" s="25"/>
    </row>
    <row r="63" spans="2:8" x14ac:dyDescent="0.2">
      <c r="B63" s="25"/>
      <c r="C63" s="25"/>
      <c r="D63" s="25"/>
      <c r="E63" s="25"/>
      <c r="F63" s="25"/>
      <c r="G63" s="25"/>
      <c r="H63" s="25"/>
    </row>
    <row r="64" spans="2:8" x14ac:dyDescent="0.2">
      <c r="B64" s="25"/>
      <c r="C64" s="25"/>
      <c r="F64" s="25"/>
      <c r="G64" s="25"/>
      <c r="H64" s="25"/>
    </row>
    <row r="70" spans="2:8" x14ac:dyDescent="0.2">
      <c r="D70" s="26"/>
      <c r="E70" s="26"/>
    </row>
    <row r="71" spans="2:8" x14ac:dyDescent="0.2">
      <c r="B71" s="26"/>
      <c r="C71" s="26"/>
      <c r="D71" s="26"/>
      <c r="E71" s="26"/>
      <c r="F71" s="26"/>
      <c r="G71" s="26"/>
      <c r="H71" s="26"/>
    </row>
    <row r="72" spans="2:8" x14ac:dyDescent="0.2">
      <c r="B72" s="26"/>
      <c r="C72" s="26"/>
      <c r="F72" s="26"/>
      <c r="G72" s="26"/>
      <c r="H72" s="26"/>
    </row>
    <row r="90" spans="2:8" x14ac:dyDescent="0.2">
      <c r="D90" s="16"/>
      <c r="E90" s="16"/>
    </row>
    <row r="91" spans="2:8" x14ac:dyDescent="0.2">
      <c r="B91" s="16"/>
      <c r="C91" s="16"/>
      <c r="D91" s="16"/>
      <c r="E91" s="16"/>
      <c r="F91" s="16"/>
      <c r="G91" s="16"/>
      <c r="H91" s="16"/>
    </row>
    <row r="92" spans="2:8" x14ac:dyDescent="0.2">
      <c r="B92" s="16"/>
      <c r="C92" s="16"/>
      <c r="F92" s="16"/>
      <c r="G92" s="16"/>
      <c r="H92" s="16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workbookViewId="0">
      <pane xSplit="1" ySplit="1" topLeftCell="B17" activePane="bottomRight" state="frozen"/>
      <selection pane="topRight" activeCell="B1" sqref="B1"/>
      <selection pane="bottomLeft" activeCell="A3" sqref="A3"/>
      <selection pane="bottomRight" activeCell="G34" sqref="G34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4.140625" style="6" customWidth="1"/>
    <col min="4" max="5" width="17.7109375" style="6" customWidth="1"/>
    <col min="6" max="7" width="12.7109375" style="6" bestFit="1" customWidth="1"/>
    <col min="8" max="8" width="11.7109375" style="6" bestFit="1" customWidth="1"/>
    <col min="9" max="9" width="10.7109375" style="6" bestFit="1" customWidth="1"/>
    <col min="10" max="11" width="9.140625" style="6"/>
  </cols>
  <sheetData>
    <row r="1" spans="1:11" ht="42" customHeight="1" x14ac:dyDescent="0.2">
      <c r="B1" s="8" t="str">
        <f>'Rate Class Customer Model'!D2</f>
        <v>General Service 
50 to 
4,999 kW</v>
      </c>
      <c r="C1" s="8" t="str">
        <f>'Rate Class Customer Model'!E2</f>
        <v>Large User</v>
      </c>
      <c r="D1" s="8" t="str">
        <f>'Rate Class Customer Model'!F2</f>
        <v xml:space="preserve">Street Lights </v>
      </c>
      <c r="E1" s="8" t="str">
        <f>'Rate Class Customer Model'!G2</f>
        <v>Sentinel Lights</v>
      </c>
      <c r="F1" s="6" t="s">
        <v>10</v>
      </c>
    </row>
    <row r="2" spans="1:11" x14ac:dyDescent="0.2">
      <c r="A2" s="30">
        <v>2002</v>
      </c>
      <c r="B2" s="80">
        <f>'[15]Data Input'!$N$17</f>
        <v>551945.62</v>
      </c>
      <c r="C2" s="80">
        <f>'[15]Data Input'!$AG$17</f>
        <v>193768.13</v>
      </c>
      <c r="D2" s="80">
        <f>'[15]Data Input'!$S$17</f>
        <v>11856.554</v>
      </c>
      <c r="E2" s="80">
        <f>'[15]Data Input'!$X$17</f>
        <v>2536</v>
      </c>
      <c r="F2" s="6">
        <f t="shared" ref="F2:F17" si="0">SUM(B2:E2)</f>
        <v>760106.304</v>
      </c>
    </row>
    <row r="3" spans="1:11" x14ac:dyDescent="0.2">
      <c r="A3" s="30">
        <v>2003</v>
      </c>
      <c r="B3" s="80">
        <f>'[15]Data Input'!$N$31</f>
        <v>449454.27000000008</v>
      </c>
      <c r="C3" s="80">
        <f>'[15]Data Input'!$AG$31</f>
        <v>293338</v>
      </c>
      <c r="D3" s="80">
        <f>'[15]Data Input'!$S$31</f>
        <v>12974.98</v>
      </c>
      <c r="E3" s="80">
        <f>'[15]Data Input'!$X$31</f>
        <v>2928.96</v>
      </c>
      <c r="F3" s="6">
        <f t="shared" si="0"/>
        <v>758696.21</v>
      </c>
    </row>
    <row r="4" spans="1:11" x14ac:dyDescent="0.2">
      <c r="A4" s="30">
        <v>2004</v>
      </c>
      <c r="B4" s="80">
        <f>'[15]Data Input'!$N$45</f>
        <v>418532.51999999996</v>
      </c>
      <c r="C4" s="80">
        <f>'[15]Data Input'!$AG$45</f>
        <v>287801.01</v>
      </c>
      <c r="D4" s="80">
        <f>'[15]Data Input'!$S$45</f>
        <v>13023.570000000002</v>
      </c>
      <c r="E4" s="80">
        <f>'[15]Data Input'!$X$45</f>
        <v>3192.2000000000003</v>
      </c>
      <c r="F4" s="6">
        <f t="shared" si="0"/>
        <v>722549.29999999993</v>
      </c>
    </row>
    <row r="5" spans="1:11" x14ac:dyDescent="0.2">
      <c r="A5" s="30">
        <v>2005</v>
      </c>
      <c r="B5" s="80">
        <f>'[15]Data Input'!$N$59</f>
        <v>415116.47000000003</v>
      </c>
      <c r="C5" s="80">
        <f>'[15]Data Input'!$AG$59</f>
        <v>296227</v>
      </c>
      <c r="D5" s="80">
        <f>'[15]Data Input'!$S$59</f>
        <v>13038.970000000003</v>
      </c>
      <c r="E5" s="80">
        <f>'[15]Data Input'!$X$59</f>
        <v>2843.5</v>
      </c>
      <c r="F5" s="6">
        <f t="shared" si="0"/>
        <v>727225.94</v>
      </c>
    </row>
    <row r="6" spans="1:11" x14ac:dyDescent="0.2">
      <c r="A6" s="30">
        <v>2006</v>
      </c>
      <c r="B6" s="80">
        <f>'[15]Data Input'!$N$73</f>
        <v>414301.29000000004</v>
      </c>
      <c r="C6" s="80">
        <f>'[15]Data Input'!$AG$73</f>
        <v>313394</v>
      </c>
      <c r="D6" s="80">
        <f>'[15]Data Input'!$S$73</f>
        <v>13083.960000000001</v>
      </c>
      <c r="E6" s="80">
        <f>'[15]Data Input'!$X$73</f>
        <v>2812.06</v>
      </c>
      <c r="F6" s="6">
        <f t="shared" si="0"/>
        <v>743591.31</v>
      </c>
    </row>
    <row r="7" spans="1:11" x14ac:dyDescent="0.2">
      <c r="A7" s="30">
        <v>2007</v>
      </c>
      <c r="B7" s="80">
        <f>'[15]Data Input'!$N$87</f>
        <v>441184.35</v>
      </c>
      <c r="C7" s="80">
        <f>'[15]Data Input'!$AG$87</f>
        <v>248610</v>
      </c>
      <c r="D7" s="80">
        <f>'[15]Data Input'!$S$87</f>
        <v>13085.879999999997</v>
      </c>
      <c r="E7" s="80">
        <f>'[15]Data Input'!$X$87</f>
        <v>3041.58</v>
      </c>
      <c r="F7" s="6">
        <f t="shared" si="0"/>
        <v>705921.80999999994</v>
      </c>
    </row>
    <row r="8" spans="1:11" x14ac:dyDescent="0.2">
      <c r="A8" s="30">
        <v>2008</v>
      </c>
      <c r="B8" s="80">
        <f>'[15]Data Input'!$N$101</f>
        <v>417425.21</v>
      </c>
      <c r="C8" s="80">
        <f>'[15]Data Input'!$AG$101</f>
        <v>271979</v>
      </c>
      <c r="D8" s="80">
        <f>'[15]Data Input'!$S$101</f>
        <v>13186.060000000001</v>
      </c>
      <c r="E8" s="80">
        <f>'[15]Data Input'!$X$101</f>
        <v>2690.21</v>
      </c>
      <c r="F8" s="6">
        <f t="shared" si="0"/>
        <v>705280.48</v>
      </c>
    </row>
    <row r="9" spans="1:11" x14ac:dyDescent="0.2">
      <c r="A9" s="30">
        <v>2009</v>
      </c>
      <c r="B9" s="80">
        <f>'[15]Data Input'!$N$115</f>
        <v>390493.22</v>
      </c>
      <c r="C9" s="80">
        <f>'[15]Data Input'!$AG$115</f>
        <v>195437</v>
      </c>
      <c r="D9" s="80">
        <f>'[15]Data Input'!$S$115</f>
        <v>13091.060000000001</v>
      </c>
      <c r="E9" s="80">
        <f>'[15]Data Input'!$X$115</f>
        <v>3630.8800000000006</v>
      </c>
      <c r="F9" s="6">
        <f t="shared" si="0"/>
        <v>602652.16000000003</v>
      </c>
    </row>
    <row r="10" spans="1:11" x14ac:dyDescent="0.2">
      <c r="A10" s="30">
        <v>2010</v>
      </c>
      <c r="B10" s="80">
        <f>'[15]Data Input'!$N$129</f>
        <v>432238.21</v>
      </c>
      <c r="C10" s="80">
        <f>'[15]Data Input'!$AG$129</f>
        <v>168338</v>
      </c>
      <c r="D10" s="80">
        <f>'[15]Data Input'!$S$129</f>
        <v>13118.889999999998</v>
      </c>
      <c r="E10" s="80">
        <f>'[15]Data Input'!$X$129</f>
        <v>2816.28</v>
      </c>
      <c r="F10" s="6">
        <f t="shared" si="0"/>
        <v>616511.38</v>
      </c>
    </row>
    <row r="11" spans="1:11" x14ac:dyDescent="0.2">
      <c r="A11" s="30">
        <v>2011</v>
      </c>
      <c r="B11" s="80">
        <f>'[15]Data Input'!$N$143</f>
        <v>417210</v>
      </c>
      <c r="C11" s="80">
        <f>'[15]Data Input'!$AG$143</f>
        <v>170236</v>
      </c>
      <c r="D11" s="80">
        <f>'[15]Data Input'!$S$143</f>
        <v>13148</v>
      </c>
      <c r="E11" s="80">
        <f>'[15]Data Input'!$X$143</f>
        <v>2462</v>
      </c>
      <c r="F11" s="6">
        <f t="shared" si="0"/>
        <v>603056</v>
      </c>
      <c r="H11"/>
      <c r="I11"/>
      <c r="J11"/>
      <c r="K11"/>
    </row>
    <row r="12" spans="1:11" x14ac:dyDescent="0.2">
      <c r="A12" s="30">
        <v>2012</v>
      </c>
      <c r="B12" s="80">
        <f>'[15]Data Input'!$N$157</f>
        <v>387769</v>
      </c>
      <c r="C12" s="80">
        <f>'[15]Data Input'!$AG$157</f>
        <v>152573</v>
      </c>
      <c r="D12" s="80">
        <f>'[15]Data Input'!$S$157</f>
        <v>12420</v>
      </c>
      <c r="E12" s="80">
        <f>'[15]Data Input'!$X$157</f>
        <v>2331</v>
      </c>
      <c r="F12" s="6">
        <f t="shared" si="0"/>
        <v>555093</v>
      </c>
      <c r="H12"/>
      <c r="I12"/>
      <c r="J12"/>
      <c r="K12"/>
    </row>
    <row r="13" spans="1:11" x14ac:dyDescent="0.2">
      <c r="A13" s="30">
        <v>2013</v>
      </c>
      <c r="B13" s="80">
        <f>'[15]Data Input'!$N$171</f>
        <v>389545</v>
      </c>
      <c r="C13" s="80">
        <f>'[15]Data Input'!$AG$171</f>
        <v>153121</v>
      </c>
      <c r="D13" s="80">
        <f>'[15]Data Input'!$S$171</f>
        <v>7923</v>
      </c>
      <c r="E13" s="80">
        <f>'[15]Data Input'!$X$171</f>
        <v>2186</v>
      </c>
      <c r="F13" s="6">
        <f t="shared" si="0"/>
        <v>552775</v>
      </c>
      <c r="H13"/>
      <c r="I13"/>
      <c r="J13"/>
      <c r="K13"/>
    </row>
    <row r="14" spans="1:11" x14ac:dyDescent="0.2">
      <c r="A14" s="30">
        <v>2014</v>
      </c>
      <c r="B14" s="80">
        <f>'[15]Data Input'!$N$185</f>
        <v>402375</v>
      </c>
      <c r="C14" s="80">
        <f>'[15]Data Input'!$AG$185</f>
        <v>59144</v>
      </c>
      <c r="D14" s="80">
        <f>'[15]Data Input'!$S$185</f>
        <v>6992</v>
      </c>
      <c r="E14" s="80">
        <f>'[15]Data Input'!$X$185</f>
        <v>2120</v>
      </c>
      <c r="F14" s="6">
        <f t="shared" si="0"/>
        <v>470631</v>
      </c>
      <c r="H14"/>
      <c r="I14"/>
      <c r="J14"/>
      <c r="K14"/>
    </row>
    <row r="15" spans="1:11" x14ac:dyDescent="0.2">
      <c r="A15" s="30">
        <v>2015</v>
      </c>
      <c r="B15" s="80">
        <f>'[15]Data Input'!$N$199</f>
        <v>402768</v>
      </c>
      <c r="C15" s="80">
        <f>'[15]Data Input'!$AG$199</f>
        <v>479</v>
      </c>
      <c r="D15" s="80">
        <f>'[15]Data Input'!$S$199</f>
        <v>6476</v>
      </c>
      <c r="E15" s="80">
        <f>'[15]Data Input'!$X$199</f>
        <v>2077</v>
      </c>
      <c r="F15" s="6">
        <f t="shared" si="0"/>
        <v>411800</v>
      </c>
      <c r="H15"/>
      <c r="I15"/>
      <c r="J15"/>
      <c r="K15"/>
    </row>
    <row r="16" spans="1:11" x14ac:dyDescent="0.2">
      <c r="A16" s="30">
        <v>2016</v>
      </c>
      <c r="B16" s="31">
        <f ca="1">'Rate Class Energy Model'!J69*'Rate Class Load Model'!B35</f>
        <v>391552.37561379391</v>
      </c>
      <c r="C16" s="31">
        <f ca="1">'Rate Class Energy Model'!K69*'Rate Class Load Model'!C35</f>
        <v>0</v>
      </c>
      <c r="D16" s="31">
        <f ca="1">'Rate Class Energy Model'!L69*'Rate Class Load Model'!D35</f>
        <v>4070.6096700016819</v>
      </c>
      <c r="E16" s="31">
        <f>E15</f>
        <v>2077</v>
      </c>
      <c r="F16" s="6">
        <f t="shared" ca="1" si="0"/>
        <v>397699.98528379557</v>
      </c>
      <c r="H16"/>
      <c r="I16"/>
      <c r="J16"/>
      <c r="K16"/>
    </row>
    <row r="17" spans="1:11" x14ac:dyDescent="0.2">
      <c r="A17" s="30">
        <v>2017</v>
      </c>
      <c r="B17" s="31">
        <f ca="1">'Rate Class Energy Model'!J70*'Rate Class Load Model'!B35</f>
        <v>381496.00238415803</v>
      </c>
      <c r="C17" s="31">
        <f ca="1">'Rate Class Energy Model'!K70*'Rate Class Load Model'!C35</f>
        <v>0</v>
      </c>
      <c r="D17" s="31">
        <f ca="1">'Rate Class Energy Model'!L70*'Rate Class Load Model'!D35</f>
        <v>3560.0861220000338</v>
      </c>
      <c r="E17" s="31">
        <f>E16</f>
        <v>2077</v>
      </c>
      <c r="F17" s="6">
        <f t="shared" ca="1" si="0"/>
        <v>387133.08850615803</v>
      </c>
      <c r="H17"/>
      <c r="I17"/>
      <c r="J17"/>
      <c r="K17"/>
    </row>
    <row r="18" spans="1:11" x14ac:dyDescent="0.2">
      <c r="A18" s="20"/>
      <c r="H18"/>
      <c r="I18"/>
      <c r="J18"/>
      <c r="K18"/>
    </row>
    <row r="19" spans="1:11" x14ac:dyDescent="0.2">
      <c r="A19" s="19" t="s">
        <v>63</v>
      </c>
      <c r="B19" s="5"/>
      <c r="C19" s="5"/>
      <c r="D19" s="5"/>
      <c r="E19" s="5"/>
    </row>
    <row r="20" spans="1:11" x14ac:dyDescent="0.2">
      <c r="A20" s="4">
        <v>2002</v>
      </c>
      <c r="B20" s="28">
        <f>B2/'Rate Class Energy Model'!J6</f>
        <v>2.5021307645115487E-3</v>
      </c>
      <c r="C20" s="28">
        <f>C2/'Rate Class Energy Model'!K6</f>
        <v>3.0188581619657799E-3</v>
      </c>
      <c r="D20" s="28">
        <f>D2/'Rate Class Energy Model'!L6</f>
        <v>2.5894038578043424E-3</v>
      </c>
      <c r="E20" s="28">
        <f>E2/'Rate Class Energy Model'!M6</f>
        <v>4.1667727802610641E-3</v>
      </c>
    </row>
    <row r="21" spans="1:11" x14ac:dyDescent="0.2">
      <c r="A21" s="4">
        <v>2003</v>
      </c>
      <c r="B21" s="28">
        <f>B3/'Rate Class Energy Model'!J7</f>
        <v>3.0214490640024395E-3</v>
      </c>
      <c r="C21" s="28">
        <f>C3/'Rate Class Energy Model'!K7</f>
        <v>2.48303884312185E-3</v>
      </c>
      <c r="D21" s="28">
        <f>D3/'Rate Class Energy Model'!L7</f>
        <v>2.7910235382058906E-3</v>
      </c>
      <c r="E21" s="28">
        <f>E3/'Rate Class Energy Model'!M7</f>
        <v>2.8559319076470863E-3</v>
      </c>
    </row>
    <row r="22" spans="1:11" x14ac:dyDescent="0.2">
      <c r="A22" s="4">
        <v>2004</v>
      </c>
      <c r="B22" s="28">
        <f>B4/'Rate Class Energy Model'!J8</f>
        <v>2.8694458221107731E-3</v>
      </c>
      <c r="C22" s="28">
        <f>C4/'Rate Class Energy Model'!K8</f>
        <v>2.3350500813341824E-3</v>
      </c>
      <c r="D22" s="28">
        <f>D4/'Rate Class Energy Model'!L8</f>
        <v>2.7881443434703058E-3</v>
      </c>
      <c r="E22" s="28">
        <f>E4/'Rate Class Energy Model'!M8</f>
        <v>3.1009344146445701E-3</v>
      </c>
    </row>
    <row r="23" spans="1:11" x14ac:dyDescent="0.2">
      <c r="A23" s="4">
        <v>2005</v>
      </c>
      <c r="B23" s="28">
        <f>B5/'Rate Class Energy Model'!J9</f>
        <v>2.8215166334069719E-3</v>
      </c>
      <c r="C23" s="28">
        <f>C5/'Rate Class Energy Model'!K9</f>
        <v>2.3819895865401391E-3</v>
      </c>
      <c r="D23" s="28">
        <f>D5/'Rate Class Energy Model'!L9</f>
        <v>2.7898179007914601E-3</v>
      </c>
      <c r="E23" s="28">
        <f>E5/'Rate Class Energy Model'!M9</f>
        <v>2.843500796180223E-3</v>
      </c>
    </row>
    <row r="24" spans="1:11" x14ac:dyDescent="0.2">
      <c r="A24" s="4">
        <v>2006</v>
      </c>
      <c r="B24" s="28">
        <f>B6/'Rate Class Energy Model'!J10</f>
        <v>2.8189766835699623E-3</v>
      </c>
      <c r="C24" s="28">
        <f>C6/'Rate Class Energy Model'!K10</f>
        <v>2.8012098812630741E-3</v>
      </c>
      <c r="D24" s="28">
        <f>D6/'Rate Class Energy Model'!L10</f>
        <v>2.7905589922220717E-3</v>
      </c>
      <c r="E24" s="28">
        <f>E6/'Rate Class Energy Model'!M10</f>
        <v>2.7815664656754111E-3</v>
      </c>
    </row>
    <row r="25" spans="1:11" x14ac:dyDescent="0.2">
      <c r="A25" s="4">
        <v>2007</v>
      </c>
      <c r="B25" s="28">
        <f>B7/'Rate Class Energy Model'!J11</f>
        <v>2.702928491605239E-3</v>
      </c>
      <c r="C25" s="28">
        <f>C7/'Rate Class Energy Model'!K11</f>
        <v>3.0126958208355212E-3</v>
      </c>
      <c r="D25" s="28">
        <f>D7/'Rate Class Energy Model'!L11</f>
        <v>2.7894294023391255E-3</v>
      </c>
      <c r="E25" s="28">
        <f>E7/'Rate Class Energy Model'!M11</f>
        <v>3.1016556266504746E-3</v>
      </c>
    </row>
    <row r="26" spans="1:11" x14ac:dyDescent="0.2">
      <c r="A26" s="4">
        <v>2008</v>
      </c>
      <c r="B26" s="28">
        <f>B8/'Rate Class Energy Model'!J12</f>
        <v>2.8765384169792724E-3</v>
      </c>
      <c r="C26" s="28">
        <f>C8/'Rate Class Energy Model'!K12</f>
        <v>2.6487379746532431E-3</v>
      </c>
      <c r="D26" s="28">
        <f>D8/'Rate Class Energy Model'!L12</f>
        <v>2.79090490012602E-3</v>
      </c>
      <c r="E26" s="28">
        <f>E8/'Rate Class Energy Model'!M12</f>
        <v>2.8328275112671918E-3</v>
      </c>
    </row>
    <row r="27" spans="1:11" x14ac:dyDescent="0.2">
      <c r="A27" s="4">
        <v>2009</v>
      </c>
      <c r="B27" s="28">
        <f>B9/'Rate Class Energy Model'!J13</f>
        <v>2.8843985179313083E-3</v>
      </c>
      <c r="C27" s="28">
        <f>C9/'Rate Class Energy Model'!K13</f>
        <v>4.0586154978651343E-3</v>
      </c>
      <c r="D27" s="28">
        <f>D9/'Rate Class Energy Model'!L13</f>
        <v>2.790106558947578E-3</v>
      </c>
      <c r="E27" s="28">
        <f>E9/'Rate Class Energy Model'!M13</f>
        <v>3.4490291122876472E-3</v>
      </c>
    </row>
    <row r="28" spans="1:11" x14ac:dyDescent="0.2">
      <c r="A28" s="4">
        <v>2010</v>
      </c>
      <c r="B28" s="28">
        <f>B10/'Rate Class Energy Model'!J14</f>
        <v>2.9823419879910096E-3</v>
      </c>
      <c r="C28" s="28">
        <f>C10/'Rate Class Energy Model'!K14</f>
        <v>2.7875417691204762E-3</v>
      </c>
      <c r="D28" s="28">
        <f>D10/'Rate Class Energy Model'!L14</f>
        <v>2.7909111564199786E-3</v>
      </c>
      <c r="E28" s="28">
        <f>E10/'Rate Class Energy Model'!M14</f>
        <v>3.0983480273868501E-3</v>
      </c>
    </row>
    <row r="29" spans="1:11" x14ac:dyDescent="0.2">
      <c r="A29" s="4">
        <v>2011</v>
      </c>
      <c r="B29" s="28">
        <f>B11/'Rate Class Energy Model'!J15</f>
        <v>2.7781743913623275E-3</v>
      </c>
      <c r="C29" s="28">
        <f>C11/'Rate Class Energy Model'!K15</f>
        <v>2.8375744489085582E-3</v>
      </c>
      <c r="D29" s="28">
        <f>D11/'Rate Class Energy Model'!L15</f>
        <v>2.779500108554404E-3</v>
      </c>
      <c r="E29" s="28">
        <f>E11/'Rate Class Energy Model'!M15</f>
        <v>2.753175881195205E-3</v>
      </c>
    </row>
    <row r="30" spans="1:11" x14ac:dyDescent="0.2">
      <c r="A30" s="4">
        <v>2012</v>
      </c>
      <c r="B30" s="28">
        <f>B12/'Rate Class Energy Model'!J16</f>
        <v>2.7415626762043793E-3</v>
      </c>
      <c r="C30" s="28">
        <f>C12/'Rate Class Energy Model'!K16</f>
        <v>3.1507515232015648E-3</v>
      </c>
      <c r="D30" s="28">
        <f>D12/'Rate Class Energy Model'!L16</f>
        <v>2.7727429102504197E-3</v>
      </c>
      <c r="E30" s="28">
        <f>E12/'Rate Class Energy Model'!M16</f>
        <v>2.7446843083183598E-3</v>
      </c>
    </row>
    <row r="31" spans="1:11" x14ac:dyDescent="0.2">
      <c r="A31" s="4">
        <v>2013</v>
      </c>
      <c r="B31" s="28">
        <f>B13/'Rate Class Energy Model'!J17</f>
        <v>2.8197258143192907E-3</v>
      </c>
      <c r="C31" s="28">
        <f>C13/'Rate Class Energy Model'!K17</f>
        <v>3.4190478170319405E-3</v>
      </c>
      <c r="D31" s="28">
        <f>D13/'Rate Class Energy Model'!L17</f>
        <v>2.7855701629328259E-3</v>
      </c>
      <c r="E31" s="28">
        <f>E13/'Rate Class Energy Model'!M17</f>
        <v>2.7918619650314819E-3</v>
      </c>
    </row>
    <row r="32" spans="1:11" x14ac:dyDescent="0.2">
      <c r="A32" s="4">
        <v>2014</v>
      </c>
      <c r="B32" s="28">
        <f>B14/'Rate Class Energy Model'!J18</f>
        <v>2.7905397653945107E-3</v>
      </c>
      <c r="C32" s="28">
        <f>C14/'Rate Class Energy Model'!K18</f>
        <v>2.9038403367009353E-3</v>
      </c>
      <c r="D32" s="28">
        <f>D14/'Rate Class Energy Model'!L18</f>
        <v>2.7930260631834265E-3</v>
      </c>
      <c r="E32" s="28">
        <f>E14/'Rate Class Energy Model'!M18</f>
        <v>2.7632987008585777E-3</v>
      </c>
    </row>
    <row r="33" spans="1:5" x14ac:dyDescent="0.2">
      <c r="A33" s="4">
        <v>2015</v>
      </c>
      <c r="B33" s="28">
        <f>B15/'Rate Class Energy Model'!J19</f>
        <v>2.881092652070651E-3</v>
      </c>
      <c r="C33" s="28">
        <f>C15/'Rate Class Energy Model'!K19</f>
        <v>1.7287488405833716E-3</v>
      </c>
      <c r="D33" s="28">
        <f>D15/'Rate Class Energy Model'!L19</f>
        <v>2.8345239413538922E-3</v>
      </c>
      <c r="E33" s="28">
        <f>E15/'Rate Class Energy Model'!M19</f>
        <v>2.7547734374585523E-3</v>
      </c>
    </row>
    <row r="35" spans="1:5" x14ac:dyDescent="0.2">
      <c r="A35" t="s">
        <v>13</v>
      </c>
      <c r="B35" s="28">
        <f>AVERAGE(B20:B33)</f>
        <v>2.8207729772471201E-3</v>
      </c>
      <c r="C35" s="28">
        <f>AVERAGE(C20:C33)</f>
        <v>2.8262643273661262E-3</v>
      </c>
      <c r="D35" s="28">
        <f>AVERAGE(D20:D33)</f>
        <v>2.7768331311858385E-3</v>
      </c>
      <c r="E35" s="28">
        <f>AVERAGE(E29:E33)</f>
        <v>2.7615588585724353E-3</v>
      </c>
    </row>
    <row r="42" spans="1:5" x14ac:dyDescent="0.2">
      <c r="B42" s="26"/>
      <c r="C42" s="26"/>
      <c r="D42" s="26"/>
      <c r="E42" s="26"/>
    </row>
    <row r="43" spans="1:5" x14ac:dyDescent="0.2">
      <c r="B43" s="26"/>
      <c r="C43" s="26"/>
      <c r="D43" s="26"/>
      <c r="E43" s="26"/>
    </row>
    <row r="62" spans="2:5" x14ac:dyDescent="0.2">
      <c r="B62" s="16"/>
      <c r="C62" s="16"/>
      <c r="D62" s="16"/>
      <c r="E62" s="16"/>
    </row>
    <row r="63" spans="2:5" x14ac:dyDescent="0.2">
      <c r="B63" s="16"/>
      <c r="C63" s="16"/>
      <c r="D63" s="16"/>
      <c r="E63" s="16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3"/>
  <sheetViews>
    <sheetView topLeftCell="T2" workbookViewId="0">
      <selection activeCell="AB21" sqref="AB21"/>
    </sheetView>
  </sheetViews>
  <sheetFormatPr defaultRowHeight="12.75" x14ac:dyDescent="0.2"/>
  <cols>
    <col min="2" max="2" width="12.85546875" bestFit="1" customWidth="1"/>
    <col min="3" max="3" width="13" bestFit="1" customWidth="1"/>
    <col min="4" max="4" width="12.85546875" bestFit="1" customWidth="1"/>
    <col min="6" max="6" width="11.85546875" customWidth="1"/>
    <col min="12" max="12" width="12.85546875" bestFit="1" customWidth="1"/>
    <col min="13" max="13" width="10.140625" bestFit="1" customWidth="1"/>
    <col min="14" max="14" width="11.42578125" customWidth="1"/>
    <col min="16" max="16" width="11" customWidth="1"/>
    <col min="20" max="20" width="38.7109375" bestFit="1" customWidth="1"/>
    <col min="21" max="21" width="11.28515625" bestFit="1" customWidth="1"/>
    <col min="22" max="25" width="10.28515625" bestFit="1" customWidth="1"/>
    <col min="26" max="26" width="11.7109375" bestFit="1" customWidth="1"/>
    <col min="27" max="27" width="10.28515625" bestFit="1" customWidth="1"/>
    <col min="28" max="32" width="11.28515625" bestFit="1" customWidth="1"/>
  </cols>
  <sheetData>
    <row r="1" spans="1:32" ht="76.5" x14ac:dyDescent="0.2">
      <c r="B1" s="61" t="s">
        <v>180</v>
      </c>
      <c r="C1" s="61" t="s">
        <v>78</v>
      </c>
    </row>
    <row r="2" spans="1:32" x14ac:dyDescent="0.2">
      <c r="B2" s="63"/>
      <c r="C2" s="64"/>
      <c r="D2" s="64"/>
      <c r="F2" s="333" t="s">
        <v>80</v>
      </c>
      <c r="G2" s="333"/>
      <c r="I2" s="62" t="s">
        <v>81</v>
      </c>
      <c r="J2" s="62">
        <v>1</v>
      </c>
      <c r="L2" s="334" t="s">
        <v>79</v>
      </c>
      <c r="M2" s="334"/>
      <c r="N2" s="334"/>
    </row>
    <row r="3" spans="1:32" x14ac:dyDescent="0.2">
      <c r="A3">
        <v>2006</v>
      </c>
      <c r="B3" s="64">
        <f>U19</f>
        <v>796324.48960192525</v>
      </c>
      <c r="C3" s="64">
        <f>B3</f>
        <v>796324.48960192525</v>
      </c>
      <c r="D3" s="64">
        <f t="shared" ref="D3:D14" si="0">C3/$J$14</f>
        <v>10209.288328229812</v>
      </c>
      <c r="F3" s="65">
        <f>C31</f>
        <v>796324.48960192525</v>
      </c>
      <c r="G3" s="65">
        <f t="shared" ref="G3:G14" si="1">B3-F3</f>
        <v>0</v>
      </c>
      <c r="I3" s="62" t="s">
        <v>82</v>
      </c>
      <c r="J3" s="62">
        <v>2</v>
      </c>
      <c r="L3" s="335">
        <v>20600000</v>
      </c>
      <c r="M3" s="335"/>
      <c r="N3" s="335"/>
    </row>
    <row r="4" spans="1:32" ht="13.5" thickBot="1" x14ac:dyDescent="0.25">
      <c r="A4">
        <v>2007</v>
      </c>
      <c r="B4" s="64">
        <f>V19</f>
        <v>1970109.0273664244</v>
      </c>
      <c r="C4" s="64">
        <f>B4-D31</f>
        <v>499971.50810133154</v>
      </c>
      <c r="D4" s="64">
        <f t="shared" si="0"/>
        <v>6409.8911295042508</v>
      </c>
      <c r="F4" s="65">
        <f>C43</f>
        <v>1970109.0273664244</v>
      </c>
      <c r="G4" s="65">
        <f t="shared" si="1"/>
        <v>0</v>
      </c>
      <c r="I4" s="62" t="s">
        <v>83</v>
      </c>
      <c r="J4" s="62">
        <v>3</v>
      </c>
    </row>
    <row r="5" spans="1:32" x14ac:dyDescent="0.2">
      <c r="A5">
        <v>2008</v>
      </c>
      <c r="B5" s="64">
        <f>W19</f>
        <v>3190724.0839070124</v>
      </c>
      <c r="C5" s="64">
        <f>B5-D43</f>
        <v>797562.2419933076</v>
      </c>
      <c r="D5" s="64">
        <f t="shared" si="0"/>
        <v>10225.15694863215</v>
      </c>
      <c r="F5" s="65">
        <f>C55</f>
        <v>3190724.0839070128</v>
      </c>
      <c r="G5" s="65">
        <f t="shared" si="1"/>
        <v>0</v>
      </c>
      <c r="I5" s="62" t="s">
        <v>84</v>
      </c>
      <c r="J5" s="62">
        <v>4</v>
      </c>
      <c r="L5" s="336" t="s">
        <v>102</v>
      </c>
      <c r="M5" s="337"/>
      <c r="N5" s="337"/>
      <c r="O5" s="337"/>
      <c r="P5" s="338"/>
      <c r="U5">
        <v>2006</v>
      </c>
      <c r="V5">
        <v>2007</v>
      </c>
      <c r="W5">
        <v>2008</v>
      </c>
      <c r="X5">
        <v>2009</v>
      </c>
      <c r="Y5">
        <v>2010</v>
      </c>
      <c r="Z5">
        <v>2011</v>
      </c>
      <c r="AA5">
        <v>2012</v>
      </c>
      <c r="AB5">
        <v>2013</v>
      </c>
      <c r="AC5">
        <v>2014</v>
      </c>
      <c r="AD5">
        <v>2015</v>
      </c>
      <c r="AE5">
        <v>2016</v>
      </c>
      <c r="AF5">
        <v>2017</v>
      </c>
    </row>
    <row r="6" spans="1:32" x14ac:dyDescent="0.2">
      <c r="A6">
        <v>2009</v>
      </c>
      <c r="B6" s="64">
        <f>X19</f>
        <v>4647670.4578085048</v>
      </c>
      <c r="C6" s="64">
        <f>B6-D55</f>
        <v>782086.01529176999</v>
      </c>
      <c r="D6" s="64">
        <f t="shared" si="0"/>
        <v>10026.743785791923</v>
      </c>
      <c r="F6" s="65">
        <f>C67</f>
        <v>4647670.4578085048</v>
      </c>
      <c r="G6" s="65">
        <f t="shared" si="1"/>
        <v>0</v>
      </c>
      <c r="I6" s="62" t="s">
        <v>85</v>
      </c>
      <c r="J6" s="62">
        <v>5</v>
      </c>
      <c r="L6" s="82">
        <v>2011</v>
      </c>
      <c r="M6" s="62">
        <v>2012</v>
      </c>
      <c r="N6" s="62">
        <v>2013</v>
      </c>
      <c r="O6" s="62">
        <v>2014</v>
      </c>
      <c r="P6" s="83" t="s">
        <v>10</v>
      </c>
      <c r="T6" t="s">
        <v>172</v>
      </c>
      <c r="U6" s="64">
        <f>'[16]Summary - LDC'!E19*1000</f>
        <v>1592648.9792038505</v>
      </c>
      <c r="V6" s="64">
        <f>'[16]Summary - LDC'!F19*1000</f>
        <v>1592648.9792038505</v>
      </c>
      <c r="W6" s="64">
        <f>'[16]Summary - LDC'!G19*1000</f>
        <v>1592648.9792038505</v>
      </c>
      <c r="X6" s="64">
        <f>'[16]Summary - LDC'!H19*1000</f>
        <v>1592648.9792038505</v>
      </c>
      <c r="Y6" s="64">
        <f>'[16]Summary - LDC'!I19*1000</f>
        <v>276607.86237725121</v>
      </c>
      <c r="Z6" s="64">
        <f>'[16]Summary - LDC'!J19*1000</f>
        <v>276607.86237725121</v>
      </c>
      <c r="AA6" s="64">
        <f>'[16]Summary - LDC'!K19*1000</f>
        <v>253020.88596673746</v>
      </c>
      <c r="AB6" s="64">
        <f>'[16]Summary - LDC'!L19*1000</f>
        <v>253020.88596673746</v>
      </c>
      <c r="AC6" s="64">
        <f>'[16]Summary - LDC'!M19*1000</f>
        <v>237752.10632149078</v>
      </c>
      <c r="AD6" s="64">
        <f>'[16]Summary - LDC'!N19*1000</f>
        <v>237752.10632149078</v>
      </c>
      <c r="AE6" s="64">
        <f>'[16]Summary - LDC'!O19*1000</f>
        <v>224623.29757342924</v>
      </c>
      <c r="AF6" s="64">
        <f>'[16]Summary - LDC'!P19*1000</f>
        <v>224623.29757342924</v>
      </c>
    </row>
    <row r="7" spans="1:32" x14ac:dyDescent="0.2">
      <c r="A7">
        <v>2010</v>
      </c>
      <c r="B7" s="64">
        <f>Y19</f>
        <v>5110562.8892754046</v>
      </c>
      <c r="C7" s="64">
        <f>B7-D67</f>
        <v>-198872.65839536581</v>
      </c>
      <c r="D7" s="64">
        <f t="shared" si="0"/>
        <v>-2549.649466607254</v>
      </c>
      <c r="F7" s="65">
        <f>C79</f>
        <v>5110562.8892754046</v>
      </c>
      <c r="G7" s="65">
        <f t="shared" si="1"/>
        <v>0</v>
      </c>
      <c r="I7" s="62" t="s">
        <v>86</v>
      </c>
      <c r="J7" s="62">
        <v>6</v>
      </c>
      <c r="L7" s="84">
        <v>0.1</v>
      </c>
      <c r="M7" s="85">
        <v>0.1</v>
      </c>
      <c r="N7" s="85">
        <v>0.1</v>
      </c>
      <c r="O7" s="85">
        <v>0.1</v>
      </c>
      <c r="P7" s="86">
        <f>SUM(L7:O7)</f>
        <v>0.4</v>
      </c>
      <c r="T7" t="s">
        <v>173</v>
      </c>
      <c r="U7" s="64">
        <f>'[16]Summary - LDC'!E20*1000</f>
        <v>0</v>
      </c>
      <c r="V7" s="64">
        <f>'[16]Summary - LDC'!F20*1000</f>
        <v>754920.0963251472</v>
      </c>
      <c r="W7" s="64">
        <f>'[16]Summary - LDC'!G20*1000</f>
        <v>748579.53182069829</v>
      </c>
      <c r="X7" s="64">
        <f>'[16]Summary - LDC'!H20*1000</f>
        <v>748579.53182069829</v>
      </c>
      <c r="Y7" s="64">
        <f>'[16]Summary - LDC'!I20*1000</f>
        <v>748579.53182069829</v>
      </c>
      <c r="Z7" s="64">
        <f>'[16]Summary - LDC'!J20*1000</f>
        <v>748476.01761557302</v>
      </c>
      <c r="AA7" s="64">
        <f>'[16]Summary - LDC'!K20*1000</f>
        <v>726783.93993460527</v>
      </c>
      <c r="AB7" s="64">
        <f>'[16]Summary - LDC'!L20*1000</f>
        <v>726783.93993460527</v>
      </c>
      <c r="AC7" s="64">
        <f>'[16]Summary - LDC'!M20*1000</f>
        <v>726783.93993460527</v>
      </c>
      <c r="AD7" s="64">
        <f>'[16]Summary - LDC'!N20*1000</f>
        <v>255425.24420212724</v>
      </c>
      <c r="AE7" s="64">
        <f>'[16]Summary - LDC'!O20*1000</f>
        <v>194021.21847494505</v>
      </c>
      <c r="AF7" s="64">
        <f>'[16]Summary - LDC'!P20*1000</f>
        <v>114299.47685377282</v>
      </c>
    </row>
    <row r="8" spans="1:32" x14ac:dyDescent="0.2">
      <c r="A8">
        <v>2011</v>
      </c>
      <c r="B8" s="64">
        <f>Z19</f>
        <v>6930347.2375963833</v>
      </c>
      <c r="C8" s="64">
        <f>B8-D79</f>
        <v>1988061.2131170575</v>
      </c>
      <c r="D8" s="64">
        <f t="shared" si="0"/>
        <v>25487.964270731507</v>
      </c>
      <c r="F8" s="65">
        <f>C91</f>
        <v>6930347.2375963842</v>
      </c>
      <c r="G8" s="65">
        <f t="shared" si="1"/>
        <v>0</v>
      </c>
      <c r="I8" s="62" t="s">
        <v>87</v>
      </c>
      <c r="J8" s="62">
        <v>7</v>
      </c>
      <c r="L8" s="87"/>
      <c r="M8" s="85">
        <v>0.1</v>
      </c>
      <c r="N8" s="85">
        <v>0.1</v>
      </c>
      <c r="O8" s="85">
        <v>0.1</v>
      </c>
      <c r="P8" s="86">
        <f>SUM(L8:O8)</f>
        <v>0.30000000000000004</v>
      </c>
      <c r="T8" t="s">
        <v>174</v>
      </c>
      <c r="U8" s="64">
        <f>'[16]Summary - LDC'!E21*1000</f>
        <v>0</v>
      </c>
      <c r="V8" s="64">
        <f>'[16]Summary - LDC'!F21*1000</f>
        <v>0</v>
      </c>
      <c r="W8" s="64">
        <f>'[16]Summary - LDC'!G21*1000</f>
        <v>1698991.1457649271</v>
      </c>
      <c r="X8" s="64">
        <f>'[16]Summary - LDC'!H21*1000</f>
        <v>1421245.4083835334</v>
      </c>
      <c r="Y8" s="64">
        <f>'[16]Summary - LDC'!I21*1000</f>
        <v>1421245.4083835334</v>
      </c>
      <c r="Z8" s="64">
        <f>'[16]Summary - LDC'!J21*1000</f>
        <v>1421245.4083835334</v>
      </c>
      <c r="AA8" s="64">
        <f>'[16]Summary - LDC'!K21*1000</f>
        <v>1351510.4887136356</v>
      </c>
      <c r="AB8" s="64">
        <f>'[16]Summary - LDC'!L21*1000</f>
        <v>1351262.2687136356</v>
      </c>
      <c r="AC8" s="64">
        <f>'[16]Summary - LDC'!M21*1000</f>
        <v>1278903.9665952376</v>
      </c>
      <c r="AD8" s="64">
        <f>'[16]Summary - LDC'!N21*1000</f>
        <v>1224846.1876169133</v>
      </c>
      <c r="AE8" s="64">
        <f>'[16]Summary - LDC'!O21*1000</f>
        <v>983665.91170271067</v>
      </c>
      <c r="AF8" s="64">
        <f>'[16]Summary - LDC'!P21*1000</f>
        <v>853243.62457395205</v>
      </c>
    </row>
    <row r="9" spans="1:32" x14ac:dyDescent="0.2">
      <c r="A9">
        <v>2012</v>
      </c>
      <c r="B9" s="64">
        <f>AA19</f>
        <v>8589903.7318255566</v>
      </c>
      <c r="C9" s="64">
        <f>B9-D91</f>
        <v>-22649.147639108822</v>
      </c>
      <c r="D9" s="64">
        <f t="shared" si="0"/>
        <v>-290.37368768088231</v>
      </c>
      <c r="F9" s="65">
        <f>C103</f>
        <v>8589903.7318255547</v>
      </c>
      <c r="G9" s="65">
        <f t="shared" si="1"/>
        <v>0</v>
      </c>
      <c r="I9" s="62" t="s">
        <v>88</v>
      </c>
      <c r="J9" s="62">
        <v>8</v>
      </c>
      <c r="L9" s="87"/>
      <c r="M9" s="88"/>
      <c r="N9" s="85">
        <v>0.1</v>
      </c>
      <c r="O9" s="85">
        <v>0.1</v>
      </c>
      <c r="P9" s="86">
        <f>SUM(L9:O9)</f>
        <v>0.2</v>
      </c>
      <c r="T9" t="s">
        <v>175</v>
      </c>
      <c r="U9" s="64">
        <f>'[16]Summary - LDC'!E22*1000</f>
        <v>0</v>
      </c>
      <c r="V9" s="64">
        <f>'[16]Summary - LDC'!F22*1000</f>
        <v>0</v>
      </c>
      <c r="W9" s="64">
        <f>'[16]Summary - LDC'!G22*1000</f>
        <v>0</v>
      </c>
      <c r="X9" s="64">
        <f>'[16]Summary - LDC'!H22*1000</f>
        <v>1770393.0768008442</v>
      </c>
      <c r="Y9" s="64">
        <f>'[16]Summary - LDC'!I22*1000</f>
        <v>1504136.274529642</v>
      </c>
      <c r="Z9" s="64">
        <f>'[16]Summary - LDC'!J22*1000</f>
        <v>1504136.274529642</v>
      </c>
      <c r="AA9" s="64">
        <f>'[16]Summary - LDC'!K22*1000</f>
        <v>1503323.5261772785</v>
      </c>
      <c r="AB9" s="64">
        <f>'[16]Summary - LDC'!L22*1000</f>
        <v>1455735.1482302616</v>
      </c>
      <c r="AC9" s="64">
        <f>'[16]Summary - LDC'!M22*1000</f>
        <v>1319253.4374830392</v>
      </c>
      <c r="AD9" s="64">
        <f>'[16]Summary - LDC'!N22*1000</f>
        <v>1283176.7253687282</v>
      </c>
      <c r="AE9" s="64">
        <f>'[16]Summary - LDC'!O22*1000</f>
        <v>1282389.5574009449</v>
      </c>
      <c r="AF9" s="64">
        <f>'[16]Summary - LDC'!P22*1000</f>
        <v>911404.88386924262</v>
      </c>
    </row>
    <row r="10" spans="1:32" x14ac:dyDescent="0.2">
      <c r="A10">
        <v>2013</v>
      </c>
      <c r="B10" s="64">
        <f>AB19</f>
        <v>11326962.736754788</v>
      </c>
      <c r="C10" s="64">
        <f>B10-D103</f>
        <v>2756223.6683161762</v>
      </c>
      <c r="D10" s="64">
        <f t="shared" si="0"/>
        <v>35336.200875848415</v>
      </c>
      <c r="F10" s="65">
        <f>C115</f>
        <v>11326962.736754788</v>
      </c>
      <c r="G10" s="65">
        <f t="shared" si="1"/>
        <v>0</v>
      </c>
      <c r="I10" s="62" t="s">
        <v>89</v>
      </c>
      <c r="J10" s="62">
        <v>9</v>
      </c>
      <c r="L10" s="89"/>
      <c r="M10" s="88"/>
      <c r="N10" s="88"/>
      <c r="O10" s="85">
        <v>0.1</v>
      </c>
      <c r="P10" s="86">
        <f>SUM(L10:O10)</f>
        <v>0.1</v>
      </c>
      <c r="T10" t="s">
        <v>176</v>
      </c>
      <c r="U10" s="64">
        <f>'[16]Summary - LDC'!E23*1000</f>
        <v>0</v>
      </c>
      <c r="V10" s="64">
        <f>'[16]Summary - LDC'!F23*1000</f>
        <v>0</v>
      </c>
      <c r="W10" s="64">
        <f>'[16]Summary - LDC'!G23*1000</f>
        <v>0</v>
      </c>
      <c r="X10" s="64">
        <f>'[16]Summary - LDC'!H23*1000</f>
        <v>0</v>
      </c>
      <c r="Y10" s="64">
        <f>'[16]Summary - LDC'!I23*1000</f>
        <v>2319987.6243285593</v>
      </c>
      <c r="Z10" s="64">
        <f>'[16]Summary - LDC'!J23*1000</f>
        <v>1830049.9655791742</v>
      </c>
      <c r="AA10" s="64">
        <f>'[16]Summary - LDC'!K23*1000</f>
        <v>1827950.8740589647</v>
      </c>
      <c r="AB10" s="64">
        <f>'[16]Summary - LDC'!L23*1000</f>
        <v>1826876.7060636785</v>
      </c>
      <c r="AC10" s="64">
        <f>'[16]Summary - LDC'!M23*1000</f>
        <v>1747382.4583799858</v>
      </c>
      <c r="AD10" s="64">
        <f>'[16]Summary - LDC'!N23*1000</f>
        <v>1483648.1075452315</v>
      </c>
      <c r="AE10" s="64">
        <f>'[16]Summary - LDC'!O23*1000</f>
        <v>1475875.9329819521</v>
      </c>
      <c r="AF10" s="64">
        <f>'[16]Summary - LDC'!P23*1000</f>
        <v>1354041.0209617515</v>
      </c>
    </row>
    <row r="11" spans="1:32" x14ac:dyDescent="0.2">
      <c r="A11">
        <v>2014</v>
      </c>
      <c r="B11" s="64">
        <f>AC19</f>
        <v>14126756.824848302</v>
      </c>
      <c r="C11" s="64">
        <f>B11-D115</f>
        <v>467604.83028751612</v>
      </c>
      <c r="D11" s="64">
        <f t="shared" si="0"/>
        <v>5994.9337216348222</v>
      </c>
      <c r="F11" s="65">
        <f>C127</f>
        <v>14126756.824848298</v>
      </c>
      <c r="G11" s="65">
        <f t="shared" si="1"/>
        <v>0</v>
      </c>
      <c r="I11" s="62" t="s">
        <v>90</v>
      </c>
      <c r="J11" s="62">
        <v>10</v>
      </c>
      <c r="L11" s="89"/>
      <c r="M11" s="88"/>
      <c r="N11" s="88"/>
      <c r="O11" s="85"/>
      <c r="P11" s="86"/>
      <c r="T11" t="s">
        <v>145</v>
      </c>
      <c r="Z11" s="64">
        <f>'[17]2011'!AR37*1000</f>
        <v>2299663.4182224195</v>
      </c>
      <c r="AA11" s="64">
        <f>'[17]2011'!AS37*1000</f>
        <v>2298064.3202224188</v>
      </c>
      <c r="AB11" s="64">
        <f>'[17]2011'!AT37*1000</f>
        <v>2281051.7176151304</v>
      </c>
      <c r="AC11" s="64">
        <f>'[17]2011'!AU37*1000</f>
        <v>2115613.2585554998</v>
      </c>
      <c r="AD11" s="64">
        <f>'[17]2011'!AV37*1000</f>
        <v>2068396.5962145566</v>
      </c>
      <c r="AE11" s="64">
        <f>'[17]2011'!AW37*1000</f>
        <v>1981533.5186569621</v>
      </c>
      <c r="AF11" s="64">
        <f>'[17]2011'!AX37*1000</f>
        <v>1842620.1901463883</v>
      </c>
    </row>
    <row r="12" spans="1:32" x14ac:dyDescent="0.2">
      <c r="A12">
        <v>2015</v>
      </c>
      <c r="B12" s="64">
        <f>AD19</f>
        <v>15170271.627863813</v>
      </c>
      <c r="C12" s="64">
        <f>B12-D127</f>
        <v>647849.17738761753</v>
      </c>
      <c r="D12" s="64">
        <f t="shared" si="0"/>
        <v>8305.7586844566358</v>
      </c>
      <c r="F12" s="65">
        <f>C139</f>
        <v>15170271.627863809</v>
      </c>
      <c r="G12" s="65">
        <f t="shared" si="1"/>
        <v>0</v>
      </c>
      <c r="I12" s="62" t="s">
        <v>91</v>
      </c>
      <c r="J12" s="62">
        <v>11</v>
      </c>
      <c r="L12" s="89"/>
      <c r="M12" s="88"/>
      <c r="N12" s="88"/>
      <c r="O12" s="85"/>
      <c r="P12" s="86"/>
      <c r="T12" t="s">
        <v>146</v>
      </c>
      <c r="AA12" s="64">
        <f>'[17]2012'!AR38*1000</f>
        <v>1258499.3935038303</v>
      </c>
      <c r="AB12" s="64">
        <f>'[17]2012'!AS38*1000</f>
        <v>1121147.6103869355</v>
      </c>
      <c r="AC12" s="64">
        <f>'[17]2012'!AT38*1000</f>
        <v>1118611.3663241598</v>
      </c>
      <c r="AD12" s="64">
        <f>'[17]2012'!AU38*1000</f>
        <v>1079006.5886896602</v>
      </c>
      <c r="AE12" s="64">
        <f>'[17]2012'!AV38*1000</f>
        <v>801200.02494319598</v>
      </c>
      <c r="AF12" s="64">
        <f>'[17]2012'!AW38*1000</f>
        <v>687699.14681012498</v>
      </c>
    </row>
    <row r="13" spans="1:32" x14ac:dyDescent="0.2">
      <c r="A13">
        <v>2016</v>
      </c>
      <c r="B13" s="64">
        <f ca="1">AE19</f>
        <v>15070196.778336102</v>
      </c>
      <c r="C13" s="64">
        <f ca="1">B13-D139</f>
        <v>-648254.92270184122</v>
      </c>
      <c r="D13" s="64">
        <f t="shared" ca="1" si="0"/>
        <v>-8310.9605474595028</v>
      </c>
      <c r="F13" s="65">
        <f ca="1">C151</f>
        <v>15070196.7783361</v>
      </c>
      <c r="G13" s="65">
        <f t="shared" ca="1" si="1"/>
        <v>0</v>
      </c>
      <c r="I13" s="62" t="s">
        <v>93</v>
      </c>
      <c r="J13" s="62">
        <v>12</v>
      </c>
      <c r="L13" s="89"/>
      <c r="M13" s="88"/>
      <c r="N13" s="88"/>
      <c r="O13" s="85"/>
      <c r="P13" s="86"/>
      <c r="T13" t="s">
        <v>147</v>
      </c>
      <c r="AB13" s="64">
        <f>'[17]2013'!AT37*1000</f>
        <v>4622168.9196876064</v>
      </c>
      <c r="AC13" s="64">
        <f>'[17]2013'!AU37*1000</f>
        <v>4431669.7522180574</v>
      </c>
      <c r="AD13" s="64">
        <f>'[17]2013'!AV37*1000</f>
        <v>4418652.0246126549</v>
      </c>
      <c r="AE13" s="64">
        <f>'[17]2013'!AW37*1000</f>
        <v>4327526.3237240342</v>
      </c>
      <c r="AF13" s="64">
        <f>'[17]2013'!AX37*1000</f>
        <v>3448660.9037812427</v>
      </c>
    </row>
    <row r="14" spans="1:32" x14ac:dyDescent="0.2">
      <c r="A14">
        <v>2017</v>
      </c>
      <c r="B14" s="64">
        <f>AF19</f>
        <v>13874202.922672847</v>
      </c>
      <c r="C14" s="64">
        <f ca="1">B14-D151</f>
        <v>-647470.45953092165</v>
      </c>
      <c r="D14" s="64">
        <f t="shared" ca="1" si="0"/>
        <v>-8300.9033273195091</v>
      </c>
      <c r="F14" s="65">
        <f ca="1">C163</f>
        <v>13874202.922672847</v>
      </c>
      <c r="G14" s="65">
        <f t="shared" ca="1" si="1"/>
        <v>0</v>
      </c>
      <c r="I14" s="62" t="s">
        <v>10</v>
      </c>
      <c r="J14" s="62">
        <f>SUM(J2:J13)</f>
        <v>78</v>
      </c>
      <c r="L14" s="89"/>
      <c r="M14" s="88"/>
      <c r="N14" s="88"/>
      <c r="O14" s="85"/>
      <c r="P14" s="86"/>
      <c r="T14" t="s">
        <v>148</v>
      </c>
      <c r="AC14" s="64">
        <f>'[17]2014'!AU48*1000</f>
        <v>2301573.0780724487</v>
      </c>
      <c r="AD14" s="64">
        <f>'[17]2014'!AV48*1000</f>
        <v>2254715.5472924486</v>
      </c>
      <c r="AE14" s="64">
        <f>'[17]2014'!AW48*1000</f>
        <v>2205491.1289437492</v>
      </c>
      <c r="AF14" s="64">
        <f>'[17]2014'!AX48*1000</f>
        <v>2850373.6680121492</v>
      </c>
    </row>
    <row r="15" spans="1:32" x14ac:dyDescent="0.2">
      <c r="A15" t="s">
        <v>10</v>
      </c>
      <c r="B15" s="64">
        <f ca="1">SUM(B3:B14)</f>
        <v>100804032.80785708</v>
      </c>
      <c r="C15" s="64"/>
      <c r="D15" s="64"/>
      <c r="L15" s="84">
        <f>SUM(L7:L10)</f>
        <v>0.1</v>
      </c>
      <c r="M15" s="85">
        <f>SUM(M7:M10)</f>
        <v>0.2</v>
      </c>
      <c r="N15" s="85">
        <f>SUM(N7:N10)</f>
        <v>0.30000000000000004</v>
      </c>
      <c r="O15" s="85">
        <f>SUM(O7:O10)</f>
        <v>0.4</v>
      </c>
      <c r="P15" s="86">
        <f>SUM(L15:O15)</f>
        <v>1</v>
      </c>
      <c r="T15" t="s">
        <v>177</v>
      </c>
      <c r="AD15" s="64">
        <f>'[18]LDC Progress'!$AP$100</f>
        <v>1729305</v>
      </c>
      <c r="AE15" s="65">
        <f ca="1">AD15*V32</f>
        <v>1593869.8639341802</v>
      </c>
      <c r="AF15" s="65">
        <f>AD15*W32</f>
        <v>1587236.7100907941</v>
      </c>
    </row>
    <row r="16" spans="1:32" x14ac:dyDescent="0.2">
      <c r="B16" s="64"/>
      <c r="C16" s="64"/>
      <c r="D16" s="64"/>
      <c r="L16" s="289"/>
      <c r="M16" s="290"/>
      <c r="N16" s="290"/>
      <c r="O16" s="290"/>
      <c r="P16" s="291"/>
      <c r="AD16" s="64"/>
      <c r="AE16" s="65"/>
      <c r="AF16" s="65"/>
    </row>
    <row r="17" spans="1:32" x14ac:dyDescent="0.2">
      <c r="B17" s="64"/>
      <c r="L17" s="342"/>
      <c r="M17" s="343"/>
      <c r="N17" s="343"/>
      <c r="O17" s="343"/>
      <c r="P17" s="344"/>
      <c r="T17" s="120" t="s">
        <v>10</v>
      </c>
      <c r="U17" s="65">
        <f t="shared" ref="U17:AF17" si="2">SUM(U6:U15)</f>
        <v>1592648.9792038505</v>
      </c>
      <c r="V17" s="65">
        <f t="shared" si="2"/>
        <v>2347569.0755289979</v>
      </c>
      <c r="W17" s="65">
        <f t="shared" si="2"/>
        <v>4040219.6567894761</v>
      </c>
      <c r="X17" s="65">
        <f t="shared" si="2"/>
        <v>5532866.9962089267</v>
      </c>
      <c r="Y17" s="65">
        <f t="shared" si="2"/>
        <v>6270556.7014396843</v>
      </c>
      <c r="Z17" s="65">
        <f t="shared" si="2"/>
        <v>8080178.9467075933</v>
      </c>
      <c r="AA17" s="65">
        <f t="shared" si="2"/>
        <v>9219153.4285774715</v>
      </c>
      <c r="AB17" s="65">
        <f t="shared" si="2"/>
        <v>13638047.196598591</v>
      </c>
      <c r="AC17" s="65">
        <f t="shared" si="2"/>
        <v>15277543.363884525</v>
      </c>
      <c r="AD17" s="65">
        <f t="shared" si="2"/>
        <v>16034924.127863813</v>
      </c>
      <c r="AE17" s="65">
        <f t="shared" ca="1" si="2"/>
        <v>15070196.778336102</v>
      </c>
      <c r="AF17" s="65">
        <f t="shared" si="2"/>
        <v>13874202.922672847</v>
      </c>
    </row>
    <row r="18" spans="1:32" x14ac:dyDescent="0.2">
      <c r="B18" s="64" t="s">
        <v>92</v>
      </c>
      <c r="L18" s="90">
        <f>L3*L7</f>
        <v>2060000</v>
      </c>
      <c r="M18" s="136">
        <f>L18</f>
        <v>2060000</v>
      </c>
      <c r="N18" s="136">
        <f>M18</f>
        <v>2060000</v>
      </c>
      <c r="O18" s="136">
        <f>N18</f>
        <v>2060000</v>
      </c>
      <c r="P18" s="91">
        <f>SUM(L18:O18)</f>
        <v>8240000</v>
      </c>
      <c r="T18" s="120" t="s">
        <v>178</v>
      </c>
      <c r="U18" s="139">
        <f>-U6*0.5</f>
        <v>-796324.48960192525</v>
      </c>
      <c r="V18" s="139">
        <f>-V7*0.5</f>
        <v>-377460.0481625736</v>
      </c>
      <c r="W18" s="139">
        <f>-W8*0.5</f>
        <v>-849495.57288246357</v>
      </c>
      <c r="X18" s="139">
        <f>-X9*0.5</f>
        <v>-885196.53840042208</v>
      </c>
      <c r="Y18" s="139">
        <f>-Y10*0.5</f>
        <v>-1159993.8121642796</v>
      </c>
      <c r="Z18" s="139">
        <f>-Z11*0.5</f>
        <v>-1149831.7091112097</v>
      </c>
      <c r="AA18" s="139">
        <f>-AA12*0.5</f>
        <v>-629249.69675191515</v>
      </c>
      <c r="AB18" s="139">
        <f>-AB13*0.5</f>
        <v>-2311084.4598438032</v>
      </c>
      <c r="AC18" s="139">
        <f>-AC14*0.5</f>
        <v>-1150786.5390362244</v>
      </c>
      <c r="AD18" s="139">
        <f>-AD15*0.5</f>
        <v>-864652.5</v>
      </c>
    </row>
    <row r="19" spans="1:32" x14ac:dyDescent="0.2">
      <c r="B19" s="64"/>
      <c r="L19" s="90">
        <f>L8*L4</f>
        <v>0</v>
      </c>
      <c r="M19" s="81">
        <f>M18</f>
        <v>2060000</v>
      </c>
      <c r="N19" s="81">
        <f>M19</f>
        <v>2060000</v>
      </c>
      <c r="O19" s="81">
        <f>N19</f>
        <v>2060000</v>
      </c>
      <c r="P19" s="91">
        <f>SUM(L19:O19)</f>
        <v>6180000</v>
      </c>
      <c r="T19" s="120" t="s">
        <v>179</v>
      </c>
      <c r="U19" s="65">
        <f>U17+U18</f>
        <v>796324.48960192525</v>
      </c>
      <c r="V19" s="65">
        <f t="shared" ref="V19:AF19" si="3">V17+V18</f>
        <v>1970109.0273664244</v>
      </c>
      <c r="W19" s="65">
        <f t="shared" si="3"/>
        <v>3190724.0839070124</v>
      </c>
      <c r="X19" s="65">
        <f t="shared" si="3"/>
        <v>4647670.4578085048</v>
      </c>
      <c r="Y19" s="65">
        <f t="shared" si="3"/>
        <v>5110562.8892754046</v>
      </c>
      <c r="Z19" s="65">
        <f t="shared" si="3"/>
        <v>6930347.2375963833</v>
      </c>
      <c r="AA19" s="65">
        <f t="shared" si="3"/>
        <v>8589903.7318255566</v>
      </c>
      <c r="AB19" s="65">
        <f t="shared" si="3"/>
        <v>11326962.736754788</v>
      </c>
      <c r="AC19" s="65">
        <f t="shared" si="3"/>
        <v>14126756.824848302</v>
      </c>
      <c r="AD19" s="65">
        <f t="shared" si="3"/>
        <v>15170271.627863813</v>
      </c>
      <c r="AE19" s="65">
        <f t="shared" ca="1" si="3"/>
        <v>15070196.778336102</v>
      </c>
      <c r="AF19" s="65">
        <f t="shared" si="3"/>
        <v>13874202.922672847</v>
      </c>
    </row>
    <row r="20" spans="1:32" x14ac:dyDescent="0.2">
      <c r="A20" s="3">
        <v>38718</v>
      </c>
      <c r="B20" s="64">
        <f>$D$3</f>
        <v>10209.288328229812</v>
      </c>
      <c r="L20" s="90"/>
      <c r="M20" s="81"/>
      <c r="N20" s="81">
        <f>N19</f>
        <v>2060000</v>
      </c>
      <c r="O20" s="81">
        <f>N20</f>
        <v>2060000</v>
      </c>
      <c r="P20" s="91">
        <f>SUM(L20:O20)</f>
        <v>4120000</v>
      </c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</row>
    <row r="21" spans="1:32" ht="38.25" x14ac:dyDescent="0.2">
      <c r="A21" s="3">
        <v>38749</v>
      </c>
      <c r="B21" s="64">
        <f t="shared" ref="B21:B31" si="4">B20+$D$3</f>
        <v>20418.576656459623</v>
      </c>
      <c r="L21" s="90"/>
      <c r="M21" s="81"/>
      <c r="N21" s="81">
        <f>M21</f>
        <v>0</v>
      </c>
      <c r="O21" s="81">
        <f>O20</f>
        <v>2060000</v>
      </c>
      <c r="P21" s="91">
        <f>SUM(L21:O21)</f>
        <v>2060000</v>
      </c>
      <c r="U21" s="286"/>
      <c r="V21" s="61" t="s">
        <v>301</v>
      </c>
      <c r="W21" s="61" t="s">
        <v>302</v>
      </c>
    </row>
    <row r="22" spans="1:32" ht="13.5" thickBot="1" x14ac:dyDescent="0.25">
      <c r="A22" s="3">
        <v>38777</v>
      </c>
      <c r="B22" s="64">
        <f t="shared" si="4"/>
        <v>30627.864984689433</v>
      </c>
      <c r="L22" s="92">
        <f>SUM(L18:L21)</f>
        <v>2060000</v>
      </c>
      <c r="M22" s="93">
        <f>SUM(M18:M21)</f>
        <v>4120000</v>
      </c>
      <c r="N22" s="93">
        <f>SUM(N18:N21)</f>
        <v>6180000</v>
      </c>
      <c r="O22" s="93">
        <f>SUM(O18:O21)</f>
        <v>8240000</v>
      </c>
      <c r="P22" s="94">
        <f>SUM(L22:O22)</f>
        <v>20600000</v>
      </c>
      <c r="U22" s="286">
        <v>2006</v>
      </c>
      <c r="V22" s="287">
        <f>V6/U6</f>
        <v>1</v>
      </c>
      <c r="W22" s="287">
        <f>W6/U6</f>
        <v>1</v>
      </c>
    </row>
    <row r="23" spans="1:32" ht="13.5" thickBot="1" x14ac:dyDescent="0.25">
      <c r="A23" s="3">
        <v>38808</v>
      </c>
      <c r="B23" s="64">
        <f t="shared" si="4"/>
        <v>40837.153312919247</v>
      </c>
      <c r="U23" s="286">
        <v>2007</v>
      </c>
      <c r="V23" s="287">
        <f>W7/V7</f>
        <v>0.99160101243123089</v>
      </c>
      <c r="W23" s="287">
        <f>X7/V7</f>
        <v>0.99160101243123089</v>
      </c>
    </row>
    <row r="24" spans="1:32" x14ac:dyDescent="0.2">
      <c r="A24" s="3">
        <v>38838</v>
      </c>
      <c r="B24" s="64">
        <f t="shared" si="4"/>
        <v>51046.44164114906</v>
      </c>
      <c r="L24" s="336" t="s">
        <v>103</v>
      </c>
      <c r="M24" s="337"/>
      <c r="N24" s="337"/>
      <c r="O24" s="337"/>
      <c r="P24" s="338"/>
      <c r="U24" s="286">
        <v>2008</v>
      </c>
      <c r="V24" s="287">
        <f>X8/W8</f>
        <v>0.83652314017425566</v>
      </c>
      <c r="W24" s="287">
        <f>Y8/W8</f>
        <v>0.83652314017425566</v>
      </c>
    </row>
    <row r="25" spans="1:32" x14ac:dyDescent="0.2">
      <c r="A25" s="3">
        <v>38869</v>
      </c>
      <c r="B25" s="64">
        <f t="shared" si="4"/>
        <v>61255.729969378874</v>
      </c>
      <c r="L25" s="82">
        <v>2011</v>
      </c>
      <c r="M25" s="62">
        <v>2012</v>
      </c>
      <c r="N25" s="62">
        <v>2013</v>
      </c>
      <c r="O25" s="62">
        <v>2014</v>
      </c>
      <c r="P25" s="83" t="s">
        <v>10</v>
      </c>
      <c r="U25" s="286">
        <v>2009</v>
      </c>
      <c r="V25" s="287">
        <f>Y9/X9</f>
        <v>0.84960582722547884</v>
      </c>
      <c r="W25" s="287">
        <f>Z9/X9</f>
        <v>0.84960582722547884</v>
      </c>
    </row>
    <row r="26" spans="1:32" x14ac:dyDescent="0.2">
      <c r="A26" s="3">
        <v>38899</v>
      </c>
      <c r="B26" s="64">
        <f t="shared" si="4"/>
        <v>71465.01829760868</v>
      </c>
      <c r="L26" s="95">
        <f>L32/L3</f>
        <v>9.7998853990094656E-2</v>
      </c>
      <c r="M26" s="135">
        <f>M32/$L$3</f>
        <v>9.7921227873589783E-2</v>
      </c>
      <c r="N26" s="135">
        <f>N32/$L$3</f>
        <v>9.7270494623817635E-2</v>
      </c>
      <c r="O26" s="135">
        <f>O32/$L$3</f>
        <v>9.2091951280513229E-2</v>
      </c>
      <c r="P26" s="97">
        <f>SUM(L26:O26)</f>
        <v>0.3852825277680153</v>
      </c>
      <c r="U26" s="286">
        <v>2010</v>
      </c>
      <c r="V26" s="287">
        <f>Z10/Y10</f>
        <v>0.78881884816468339</v>
      </c>
      <c r="W26" s="287">
        <f>AA10/Y10</f>
        <v>0.7879140625105715</v>
      </c>
    </row>
    <row r="27" spans="1:32" x14ac:dyDescent="0.2">
      <c r="A27" s="3">
        <v>38930</v>
      </c>
      <c r="B27" s="64">
        <f t="shared" si="4"/>
        <v>81674.306625838493</v>
      </c>
      <c r="L27" s="98"/>
      <c r="M27" s="96">
        <f>(100%-P26)/6</f>
        <v>0.10245291203866412</v>
      </c>
      <c r="N27" s="96">
        <f>M27</f>
        <v>0.10245291203866412</v>
      </c>
      <c r="O27" s="96">
        <f>N27</f>
        <v>0.10245291203866412</v>
      </c>
      <c r="P27" s="97">
        <f>SUM(L27:O27)</f>
        <v>0.30735873611599235</v>
      </c>
      <c r="U27" s="286">
        <v>2011</v>
      </c>
      <c r="V27" s="287">
        <f>AA11/Z11</f>
        <v>0.99930463824082716</v>
      </c>
      <c r="W27" s="287">
        <f>AB11/Z11</f>
        <v>0.99190677189548226</v>
      </c>
    </row>
    <row r="28" spans="1:32" x14ac:dyDescent="0.2">
      <c r="A28" s="3">
        <v>38961</v>
      </c>
      <c r="B28" s="64">
        <f t="shared" si="4"/>
        <v>91883.594954068307</v>
      </c>
      <c r="L28" s="99"/>
      <c r="M28" s="96"/>
      <c r="N28" s="96">
        <f>N27</f>
        <v>0.10245291203866412</v>
      </c>
      <c r="O28" s="96">
        <f>O27</f>
        <v>0.10245291203866412</v>
      </c>
      <c r="P28" s="97">
        <f>SUM(L28:O28)</f>
        <v>0.20490582407732824</v>
      </c>
      <c r="U28" s="286">
        <v>2012</v>
      </c>
      <c r="V28" s="287">
        <f>AB12/AA12</f>
        <v>0.89086066800994712</v>
      </c>
      <c r="W28" s="287">
        <f>AC12/AA12</f>
        <v>0.88884537576915024</v>
      </c>
    </row>
    <row r="29" spans="1:32" x14ac:dyDescent="0.2">
      <c r="A29" s="3">
        <v>38991</v>
      </c>
      <c r="B29" s="64">
        <f t="shared" si="4"/>
        <v>102092.88328229812</v>
      </c>
      <c r="L29" s="99"/>
      <c r="M29" s="100"/>
      <c r="N29" s="96"/>
      <c r="O29" s="96">
        <f>O28</f>
        <v>0.10245291203866412</v>
      </c>
      <c r="P29" s="97">
        <f>SUM(L29:O29)</f>
        <v>0.10245291203866412</v>
      </c>
      <c r="U29" s="286">
        <v>2013</v>
      </c>
      <c r="V29" s="287">
        <f>AC13/AB13</f>
        <v>0.95878576253279291</v>
      </c>
      <c r="W29" s="287">
        <f>AD13/AB13</f>
        <v>0.95596939475576193</v>
      </c>
    </row>
    <row r="30" spans="1:32" x14ac:dyDescent="0.2">
      <c r="A30" s="3">
        <v>39022</v>
      </c>
      <c r="B30" s="64">
        <f t="shared" si="4"/>
        <v>112302.17161052793</v>
      </c>
      <c r="C30" s="4" t="s">
        <v>80</v>
      </c>
      <c r="L30" s="98">
        <f>SUM(L26:L29)</f>
        <v>9.7998853990094656E-2</v>
      </c>
      <c r="M30" s="96">
        <f>SUM(M26:M29)</f>
        <v>0.20037413991225389</v>
      </c>
      <c r="N30" s="96">
        <f>SUM(N26:N29)</f>
        <v>0.30217631870114586</v>
      </c>
      <c r="O30" s="96">
        <f>SUM(O26:O29)</f>
        <v>0.39945068739650563</v>
      </c>
      <c r="P30" s="97">
        <f>SUM(L30:O30)</f>
        <v>1</v>
      </c>
      <c r="U30" s="286">
        <v>2014</v>
      </c>
      <c r="V30" s="287">
        <f>AD14/AC14</f>
        <v>0.97964108494906321</v>
      </c>
      <c r="W30" s="287">
        <f>AE14/AC14</f>
        <v>0.95825379170268732</v>
      </c>
    </row>
    <row r="31" spans="1:32" x14ac:dyDescent="0.2">
      <c r="A31" s="3">
        <v>39052</v>
      </c>
      <c r="B31" s="64">
        <f t="shared" si="4"/>
        <v>122511.45993875775</v>
      </c>
      <c r="C31" s="64">
        <f>SUM(B20:B31)</f>
        <v>796324.48960192525</v>
      </c>
      <c r="D31" s="64">
        <f>B31*12</f>
        <v>1470137.5192650929</v>
      </c>
      <c r="L31" s="345"/>
      <c r="M31" s="334"/>
      <c r="N31" s="334"/>
      <c r="O31" s="334"/>
      <c r="P31" s="346"/>
      <c r="U31" s="286">
        <v>2015</v>
      </c>
      <c r="V31" s="287">
        <f ca="1">AE15/AD15</f>
        <v>0.92168233130314214</v>
      </c>
      <c r="W31" s="287"/>
    </row>
    <row r="32" spans="1:32" x14ac:dyDescent="0.2">
      <c r="A32" s="3">
        <v>39083</v>
      </c>
      <c r="B32" s="64">
        <f t="shared" ref="B32:B43" si="5">B31+$D$4</f>
        <v>128921.351068262</v>
      </c>
      <c r="L32" s="90">
        <f>'[19]3.1.1 Summary - LDC'!B21*1000000</f>
        <v>2018776.3921959498</v>
      </c>
      <c r="M32" s="81">
        <f>'[19]3.1.1 Summary - LDC'!C21*1000000</f>
        <v>2017177.2941959496</v>
      </c>
      <c r="N32" s="81">
        <f>'[19]3.1.1 Summary - LDC'!D21*1000000</f>
        <v>2003772.1892506434</v>
      </c>
      <c r="O32" s="81">
        <f>'[19]3.1.1 Summary - LDC'!E21*1000000</f>
        <v>1897094.1963785726</v>
      </c>
      <c r="P32" s="91">
        <f>SUM(L32:O32)</f>
        <v>7936820.0720211156</v>
      </c>
      <c r="U32" s="286" t="s">
        <v>13</v>
      </c>
      <c r="V32" s="288">
        <f ca="1">AVERAGE(V22:V31)</f>
        <v>0.92168233130314214</v>
      </c>
      <c r="W32" s="288">
        <f>AVERAGE(W22:W31)</f>
        <v>0.91784659738495755</v>
      </c>
    </row>
    <row r="33" spans="1:23" x14ac:dyDescent="0.2">
      <c r="A33" s="3">
        <v>39114</v>
      </c>
      <c r="B33" s="64">
        <f t="shared" si="5"/>
        <v>135331.24219776626</v>
      </c>
      <c r="L33" s="90"/>
      <c r="M33" s="81">
        <f>L3*M27</f>
        <v>2110529.9879964809</v>
      </c>
      <c r="N33" s="81">
        <f>M33</f>
        <v>2110529.9879964809</v>
      </c>
      <c r="O33" s="81">
        <f>N33</f>
        <v>2110529.9879964809</v>
      </c>
      <c r="P33" s="91">
        <f>SUM(L33:O33)</f>
        <v>6331589.9639894422</v>
      </c>
      <c r="U33" s="286"/>
      <c r="V33" s="288"/>
      <c r="W33" s="288"/>
    </row>
    <row r="34" spans="1:23" x14ac:dyDescent="0.2">
      <c r="A34" s="3">
        <v>39142</v>
      </c>
      <c r="B34" s="64">
        <f t="shared" si="5"/>
        <v>141741.13332727051</v>
      </c>
      <c r="L34" s="90"/>
      <c r="M34" s="81"/>
      <c r="N34" s="81">
        <f>N33</f>
        <v>2110529.9879964809</v>
      </c>
      <c r="O34" s="81">
        <f>N34</f>
        <v>2110529.9879964809</v>
      </c>
      <c r="P34" s="91">
        <f>SUM(L34:O34)</f>
        <v>4221059.9759929618</v>
      </c>
    </row>
    <row r="35" spans="1:23" x14ac:dyDescent="0.2">
      <c r="A35" s="3">
        <v>39173</v>
      </c>
      <c r="B35" s="64">
        <f t="shared" si="5"/>
        <v>148151.02445677476</v>
      </c>
      <c r="L35" s="90"/>
      <c r="M35" s="81"/>
      <c r="N35" s="81"/>
      <c r="O35" s="81">
        <f>O34</f>
        <v>2110529.9879964809</v>
      </c>
      <c r="P35" s="91">
        <f>SUM(L35:O35)</f>
        <v>2110529.9879964809</v>
      </c>
    </row>
    <row r="36" spans="1:23" ht="13.5" thickBot="1" x14ac:dyDescent="0.25">
      <c r="A36" s="3">
        <v>39203</v>
      </c>
      <c r="B36" s="64">
        <f t="shared" si="5"/>
        <v>154560.91558627901</v>
      </c>
      <c r="L36" s="92">
        <f>SUM(L32:L35)</f>
        <v>2018776.3921959498</v>
      </c>
      <c r="M36" s="93">
        <f>SUM(M32:M35)</f>
        <v>4127707.2821924305</v>
      </c>
      <c r="N36" s="93">
        <f>SUM(N32:N35)</f>
        <v>6224832.1652436052</v>
      </c>
      <c r="O36" s="93">
        <f>SUM(O32:O35)</f>
        <v>8228684.160368016</v>
      </c>
      <c r="P36" s="94">
        <f>SUM(L36:O36)</f>
        <v>20600000</v>
      </c>
    </row>
    <row r="37" spans="1:23" x14ac:dyDescent="0.2">
      <c r="A37" s="3">
        <v>39234</v>
      </c>
      <c r="B37" s="64">
        <f t="shared" si="5"/>
        <v>160970.80671578326</v>
      </c>
    </row>
    <row r="38" spans="1:23" ht="13.5" thickBot="1" x14ac:dyDescent="0.25">
      <c r="A38" s="3">
        <v>39264</v>
      </c>
      <c r="B38" s="64">
        <f t="shared" si="5"/>
        <v>167380.6978452875</v>
      </c>
      <c r="L38" s="92">
        <f>L36</f>
        <v>2018776.3921959498</v>
      </c>
      <c r="M38" s="93">
        <f>L38+M33*0.5</f>
        <v>3074041.38619419</v>
      </c>
      <c r="N38" s="94">
        <f>M36+N34*0.5</f>
        <v>5182972.2761906711</v>
      </c>
    </row>
    <row r="39" spans="1:23" ht="13.5" thickBot="1" x14ac:dyDescent="0.25">
      <c r="A39" s="3">
        <v>39295</v>
      </c>
      <c r="B39" s="64">
        <f t="shared" si="5"/>
        <v>173790.58897479175</v>
      </c>
    </row>
    <row r="40" spans="1:23" x14ac:dyDescent="0.2">
      <c r="A40" s="3">
        <v>39326</v>
      </c>
      <c r="B40" s="64">
        <f t="shared" si="5"/>
        <v>180200.480104296</v>
      </c>
      <c r="L40" s="339" t="s">
        <v>104</v>
      </c>
      <c r="M40" s="102"/>
      <c r="N40" s="103">
        <f>N36</f>
        <v>6224832.1652436052</v>
      </c>
      <c r="O40" s="102" t="s">
        <v>105</v>
      </c>
      <c r="P40" s="102"/>
      <c r="Q40" s="102"/>
      <c r="R40" s="102"/>
      <c r="S40" s="104"/>
    </row>
    <row r="41" spans="1:23" x14ac:dyDescent="0.2">
      <c r="A41" s="3">
        <v>39356</v>
      </c>
      <c r="B41" s="64">
        <f t="shared" si="5"/>
        <v>186610.37123380025</v>
      </c>
      <c r="L41" s="340"/>
      <c r="M41" s="88" t="s">
        <v>106</v>
      </c>
      <c r="N41" s="110">
        <v>0</v>
      </c>
      <c r="O41" s="88" t="s">
        <v>109</v>
      </c>
      <c r="P41" s="88"/>
      <c r="Q41" s="88"/>
      <c r="R41" s="88"/>
      <c r="S41" s="105"/>
    </row>
    <row r="42" spans="1:23" x14ac:dyDescent="0.2">
      <c r="A42" s="3">
        <v>39387</v>
      </c>
      <c r="B42" s="64">
        <f t="shared" si="5"/>
        <v>193020.2623633045</v>
      </c>
      <c r="C42" s="4" t="s">
        <v>80</v>
      </c>
      <c r="L42" s="340"/>
      <c r="M42" s="88" t="s">
        <v>110</v>
      </c>
      <c r="N42" s="109">
        <f>N40*N41</f>
        <v>0</v>
      </c>
      <c r="O42" s="88" t="s">
        <v>111</v>
      </c>
      <c r="P42" s="88"/>
      <c r="Q42" s="88"/>
      <c r="R42" s="88"/>
      <c r="S42" s="105"/>
    </row>
    <row r="43" spans="1:23" ht="13.5" thickBot="1" x14ac:dyDescent="0.25">
      <c r="A43" s="3">
        <v>39417</v>
      </c>
      <c r="B43" s="64">
        <f t="shared" si="5"/>
        <v>199430.15349280875</v>
      </c>
      <c r="C43" s="64">
        <f>SUM(B32:B43)</f>
        <v>1970109.0273664244</v>
      </c>
      <c r="D43" s="64">
        <f>B43*12</f>
        <v>2393161.8419137048</v>
      </c>
      <c r="L43" s="341"/>
      <c r="M43" s="106"/>
      <c r="N43" s="107">
        <f>N40+N42</f>
        <v>6224832.1652436052</v>
      </c>
      <c r="O43" s="106" t="s">
        <v>107</v>
      </c>
      <c r="P43" s="106"/>
      <c r="Q43" s="106"/>
      <c r="R43" s="106"/>
      <c r="S43" s="108"/>
    </row>
    <row r="44" spans="1:23" x14ac:dyDescent="0.2">
      <c r="A44" s="3">
        <v>39448</v>
      </c>
      <c r="B44" s="64">
        <f t="shared" ref="B44:B55" si="6">B43+$D$5</f>
        <v>209655.3104414409</v>
      </c>
    </row>
    <row r="45" spans="1:23" x14ac:dyDescent="0.2">
      <c r="A45" s="3">
        <v>39479</v>
      </c>
      <c r="B45" s="64">
        <f t="shared" si="6"/>
        <v>219880.46739007306</v>
      </c>
    </row>
    <row r="46" spans="1:23" x14ac:dyDescent="0.2">
      <c r="A46" s="3">
        <v>39508</v>
      </c>
      <c r="B46" s="64">
        <f t="shared" si="6"/>
        <v>230105.62433870521</v>
      </c>
      <c r="M46" s="333">
        <v>2011</v>
      </c>
      <c r="N46" s="333"/>
      <c r="O46" s="333"/>
    </row>
    <row r="47" spans="1:23" x14ac:dyDescent="0.2">
      <c r="A47" s="3">
        <v>39539</v>
      </c>
      <c r="B47" s="64">
        <f t="shared" si="6"/>
        <v>240330.78128733736</v>
      </c>
      <c r="M47" s="1" t="s">
        <v>112</v>
      </c>
      <c r="N47" s="1" t="s">
        <v>113</v>
      </c>
      <c r="O47" t="s">
        <v>114</v>
      </c>
      <c r="P47" s="1" t="s">
        <v>115</v>
      </c>
    </row>
    <row r="48" spans="1:23" x14ac:dyDescent="0.2">
      <c r="A48" s="3">
        <v>39569</v>
      </c>
      <c r="B48" s="64">
        <f t="shared" si="6"/>
        <v>250555.93823596952</v>
      </c>
      <c r="I48" t="s">
        <v>116</v>
      </c>
      <c r="P48" s="101">
        <v>1343391</v>
      </c>
    </row>
    <row r="49" spans="1:16" x14ac:dyDescent="0.2">
      <c r="A49" s="3">
        <v>39600</v>
      </c>
      <c r="B49" s="64">
        <f t="shared" si="6"/>
        <v>260781.09518460167</v>
      </c>
      <c r="I49" t="s">
        <v>117</v>
      </c>
      <c r="P49" s="111">
        <v>-351333</v>
      </c>
    </row>
    <row r="50" spans="1:16" x14ac:dyDescent="0.2">
      <c r="A50" s="3">
        <v>39630</v>
      </c>
      <c r="B50" s="64">
        <f t="shared" si="6"/>
        <v>271006.25213323382</v>
      </c>
      <c r="I50" t="s">
        <v>118</v>
      </c>
      <c r="P50" s="111">
        <v>-110345</v>
      </c>
    </row>
    <row r="51" spans="1:16" x14ac:dyDescent="0.2">
      <c r="A51" s="3">
        <v>39661</v>
      </c>
      <c r="B51" s="64">
        <f t="shared" si="6"/>
        <v>281231.40908186598</v>
      </c>
      <c r="I51" t="s">
        <v>119</v>
      </c>
      <c r="J51" t="str">
        <f>[20]ERIP!$B$7</f>
        <v>Niagara Health System</v>
      </c>
      <c r="M51" s="101">
        <f>[20]ERIP!$E$7</f>
        <v>164978</v>
      </c>
      <c r="N51" s="112">
        <v>0.51</v>
      </c>
      <c r="O51" s="101">
        <f>M51*N51</f>
        <v>84138.78</v>
      </c>
      <c r="P51" s="101">
        <f>M51-O51</f>
        <v>80839.22</v>
      </c>
    </row>
    <row r="52" spans="1:16" x14ac:dyDescent="0.2">
      <c r="A52" s="3">
        <v>39692</v>
      </c>
      <c r="B52" s="64">
        <f t="shared" si="6"/>
        <v>291456.56603049813</v>
      </c>
      <c r="I52" t="s">
        <v>120</v>
      </c>
      <c r="J52" t="str">
        <f>[20]ERIP!$B$8</f>
        <v>Niagara College</v>
      </c>
      <c r="M52" s="101">
        <f>[20]ERIP!$E$8</f>
        <v>935585</v>
      </c>
      <c r="N52" s="112">
        <v>0.51</v>
      </c>
      <c r="O52" s="101">
        <f t="shared" ref="O52:O58" si="7">M52*N52</f>
        <v>477148.35000000003</v>
      </c>
      <c r="P52" s="101">
        <f t="shared" ref="P52:P58" si="8">M52-O52</f>
        <v>458436.64999999997</v>
      </c>
    </row>
    <row r="53" spans="1:16" x14ac:dyDescent="0.2">
      <c r="A53" s="3">
        <v>39722</v>
      </c>
      <c r="B53" s="64">
        <f t="shared" si="6"/>
        <v>301681.72297913028</v>
      </c>
      <c r="I53" t="s">
        <v>121</v>
      </c>
      <c r="J53" t="str">
        <f>[20]ERIP!$B$9</f>
        <v>42 Rice Road</v>
      </c>
      <c r="M53" s="101">
        <f>[20]ERIP!$E$9</f>
        <v>378169</v>
      </c>
      <c r="N53" s="112">
        <v>0.51</v>
      </c>
      <c r="O53" s="101">
        <f t="shared" si="7"/>
        <v>192866.19</v>
      </c>
      <c r="P53" s="101">
        <f t="shared" si="8"/>
        <v>185302.81</v>
      </c>
    </row>
    <row r="54" spans="1:16" x14ac:dyDescent="0.2">
      <c r="A54" s="3">
        <v>39753</v>
      </c>
      <c r="B54" s="64">
        <f t="shared" si="6"/>
        <v>311906.87992776243</v>
      </c>
      <c r="I54" t="s">
        <v>122</v>
      </c>
      <c r="J54" t="str">
        <f>[20]ERIP!$B$10</f>
        <v>Welded Tube of Canada</v>
      </c>
      <c r="M54" s="101">
        <f>[20]ERIP!$E$10</f>
        <v>195407</v>
      </c>
      <c r="N54" s="112">
        <v>0.51</v>
      </c>
      <c r="O54" s="101">
        <f t="shared" si="7"/>
        <v>99657.57</v>
      </c>
      <c r="P54" s="101">
        <f t="shared" si="8"/>
        <v>95749.43</v>
      </c>
    </row>
    <row r="55" spans="1:16" x14ac:dyDescent="0.2">
      <c r="A55" s="3">
        <v>39783</v>
      </c>
      <c r="B55" s="64">
        <f t="shared" si="6"/>
        <v>322132.03687639459</v>
      </c>
      <c r="C55" s="64">
        <f>SUM(B44:B55)</f>
        <v>3190724.0839070128</v>
      </c>
      <c r="D55" s="64">
        <f>B55*12</f>
        <v>3865584.4425167348</v>
      </c>
      <c r="I55" t="s">
        <v>123</v>
      </c>
      <c r="J55" t="str">
        <f>[20]ERIP!$B$11</f>
        <v>Sobeys</v>
      </c>
      <c r="M55" s="101">
        <f>[20]ERIP!$E$11</f>
        <v>127242</v>
      </c>
      <c r="N55" s="112">
        <v>0.51</v>
      </c>
      <c r="O55" s="101">
        <f t="shared" si="7"/>
        <v>64893.42</v>
      </c>
      <c r="P55" s="101">
        <f t="shared" si="8"/>
        <v>62348.58</v>
      </c>
    </row>
    <row r="56" spans="1:16" x14ac:dyDescent="0.2">
      <c r="A56" s="3">
        <v>39814</v>
      </c>
      <c r="B56" s="64">
        <f t="shared" ref="B56:B67" si="9">B55+$D$6</f>
        <v>332158.7806621865</v>
      </c>
      <c r="I56" t="s">
        <v>124</v>
      </c>
      <c r="J56" t="str">
        <f>[20]ERIP!$B$12</f>
        <v>Zehrs</v>
      </c>
      <c r="M56" s="101">
        <f>[20]ERIP!$E$12</f>
        <v>394558</v>
      </c>
      <c r="N56" s="112">
        <v>0.51</v>
      </c>
      <c r="O56" s="101">
        <f t="shared" si="7"/>
        <v>201224.58000000002</v>
      </c>
      <c r="P56" s="101">
        <f t="shared" si="8"/>
        <v>193333.41999999998</v>
      </c>
    </row>
    <row r="57" spans="1:16" x14ac:dyDescent="0.2">
      <c r="A57" s="3">
        <v>39845</v>
      </c>
      <c r="B57" s="64">
        <f t="shared" si="9"/>
        <v>342185.52444797842</v>
      </c>
      <c r="I57" t="s">
        <v>125</v>
      </c>
      <c r="J57" t="str">
        <f>'[20]HPNC Gen 1'!$B$7</f>
        <v>Niagara College</v>
      </c>
      <c r="M57" s="101">
        <f>'[20]HPNC Gen 1'!$E$7</f>
        <v>248638</v>
      </c>
      <c r="N57" s="112">
        <v>0.49</v>
      </c>
      <c r="O57" s="101">
        <f t="shared" si="7"/>
        <v>121832.62</v>
      </c>
      <c r="P57" s="101">
        <f t="shared" si="8"/>
        <v>126805.38</v>
      </c>
    </row>
    <row r="58" spans="1:16" x14ac:dyDescent="0.2">
      <c r="A58" s="3">
        <v>39873</v>
      </c>
      <c r="B58" s="64">
        <f t="shared" si="9"/>
        <v>352212.26823377033</v>
      </c>
      <c r="I58" t="s">
        <v>126</v>
      </c>
      <c r="J58" t="str">
        <f>'[20]HPNC Gen 1'!$B$8</f>
        <v>Jean Vanier</v>
      </c>
      <c r="M58" s="101">
        <f>'[20]HPNC Gen 1'!$E$8</f>
        <v>330823</v>
      </c>
      <c r="N58" s="112">
        <v>0.49</v>
      </c>
      <c r="O58" s="101">
        <f t="shared" si="7"/>
        <v>162103.26999999999</v>
      </c>
      <c r="P58" s="101">
        <f t="shared" si="8"/>
        <v>168719.73</v>
      </c>
    </row>
    <row r="59" spans="1:16" x14ac:dyDescent="0.2">
      <c r="A59" s="3">
        <v>39904</v>
      </c>
      <c r="B59" s="64">
        <f t="shared" si="9"/>
        <v>362239.01201956224</v>
      </c>
      <c r="M59" s="101">
        <f>SUM(M51:M58)</f>
        <v>2775400</v>
      </c>
      <c r="O59" s="101">
        <f>SUM(O48:O58)</f>
        <v>1403864.7800000003</v>
      </c>
      <c r="P59" s="101">
        <f>SUM(P48:P58)</f>
        <v>2253248.2199999997</v>
      </c>
    </row>
    <row r="60" spans="1:16" x14ac:dyDescent="0.2">
      <c r="A60" s="3">
        <v>39934</v>
      </c>
      <c r="B60" s="64">
        <f t="shared" si="9"/>
        <v>372265.75580535416</v>
      </c>
    </row>
    <row r="61" spans="1:16" x14ac:dyDescent="0.2">
      <c r="A61" s="3">
        <v>39965</v>
      </c>
      <c r="B61" s="64">
        <f t="shared" si="9"/>
        <v>382292.49959114607</v>
      </c>
    </row>
    <row r="62" spans="1:16" x14ac:dyDescent="0.2">
      <c r="A62" s="3">
        <v>39995</v>
      </c>
      <c r="B62" s="64">
        <f t="shared" si="9"/>
        <v>392319.24337693799</v>
      </c>
    </row>
    <row r="63" spans="1:16" x14ac:dyDescent="0.2">
      <c r="A63" s="3">
        <v>40026</v>
      </c>
      <c r="B63" s="64">
        <f t="shared" si="9"/>
        <v>402345.9871627299</v>
      </c>
    </row>
    <row r="64" spans="1:16" x14ac:dyDescent="0.2">
      <c r="A64" s="3">
        <v>40057</v>
      </c>
      <c r="B64" s="64">
        <f t="shared" si="9"/>
        <v>412372.73094852181</v>
      </c>
    </row>
    <row r="65" spans="1:4" x14ac:dyDescent="0.2">
      <c r="A65" s="3">
        <v>40087</v>
      </c>
      <c r="B65" s="64">
        <f t="shared" si="9"/>
        <v>422399.47473431373</v>
      </c>
    </row>
    <row r="66" spans="1:4" x14ac:dyDescent="0.2">
      <c r="A66" s="3">
        <v>40118</v>
      </c>
      <c r="B66" s="64">
        <f t="shared" si="9"/>
        <v>432426.21852010564</v>
      </c>
    </row>
    <row r="67" spans="1:4" x14ac:dyDescent="0.2">
      <c r="A67" s="3">
        <v>40148</v>
      </c>
      <c r="B67" s="64">
        <f t="shared" si="9"/>
        <v>442452.96230589756</v>
      </c>
      <c r="C67" s="64">
        <f>SUM(B56:B67)</f>
        <v>4647670.4578085048</v>
      </c>
      <c r="D67" s="64">
        <f>B67*12</f>
        <v>5309435.5476707704</v>
      </c>
    </row>
    <row r="68" spans="1:4" x14ac:dyDescent="0.2">
      <c r="A68" s="3">
        <v>40179</v>
      </c>
      <c r="B68" s="64">
        <f t="shared" ref="B68:B79" si="10">B67+$D$7</f>
        <v>439903.3128392903</v>
      </c>
    </row>
    <row r="69" spans="1:4" x14ac:dyDescent="0.2">
      <c r="A69" s="3">
        <v>40210</v>
      </c>
      <c r="B69" s="64">
        <f t="shared" si="10"/>
        <v>437353.66337268305</v>
      </c>
    </row>
    <row r="70" spans="1:4" x14ac:dyDescent="0.2">
      <c r="A70" s="3">
        <v>40238</v>
      </c>
      <c r="B70" s="64">
        <f t="shared" si="10"/>
        <v>434804.01390607579</v>
      </c>
    </row>
    <row r="71" spans="1:4" x14ac:dyDescent="0.2">
      <c r="A71" s="3">
        <v>40269</v>
      </c>
      <c r="B71" s="64">
        <f t="shared" si="10"/>
        <v>432254.36443946854</v>
      </c>
    </row>
    <row r="72" spans="1:4" x14ac:dyDescent="0.2">
      <c r="A72" s="3">
        <v>40299</v>
      </c>
      <c r="B72" s="64">
        <f t="shared" si="10"/>
        <v>429704.71497286129</v>
      </c>
    </row>
    <row r="73" spans="1:4" x14ac:dyDescent="0.2">
      <c r="A73" s="3">
        <v>40330</v>
      </c>
      <c r="B73" s="64">
        <f t="shared" si="10"/>
        <v>427155.06550625403</v>
      </c>
    </row>
    <row r="74" spans="1:4" x14ac:dyDescent="0.2">
      <c r="A74" s="3">
        <v>40360</v>
      </c>
      <c r="B74" s="64">
        <f t="shared" si="10"/>
        <v>424605.41603964678</v>
      </c>
    </row>
    <row r="75" spans="1:4" x14ac:dyDescent="0.2">
      <c r="A75" s="3">
        <v>40391</v>
      </c>
      <c r="B75" s="64">
        <f t="shared" si="10"/>
        <v>422055.76657303952</v>
      </c>
    </row>
    <row r="76" spans="1:4" x14ac:dyDescent="0.2">
      <c r="A76" s="3">
        <v>40422</v>
      </c>
      <c r="B76" s="64">
        <f t="shared" si="10"/>
        <v>419506.11710643227</v>
      </c>
    </row>
    <row r="77" spans="1:4" x14ac:dyDescent="0.2">
      <c r="A77" s="3">
        <v>40452</v>
      </c>
      <c r="B77" s="64">
        <f t="shared" si="10"/>
        <v>416956.46763982502</v>
      </c>
    </row>
    <row r="78" spans="1:4" x14ac:dyDescent="0.2">
      <c r="A78" s="3">
        <v>40483</v>
      </c>
      <c r="B78" s="64">
        <f t="shared" si="10"/>
        <v>414406.81817321776</v>
      </c>
    </row>
    <row r="79" spans="1:4" x14ac:dyDescent="0.2">
      <c r="A79" s="3">
        <v>40513</v>
      </c>
      <c r="B79" s="64">
        <f t="shared" si="10"/>
        <v>411857.16870661051</v>
      </c>
      <c r="C79" s="64">
        <f>SUM(B68:B79)</f>
        <v>5110562.8892754046</v>
      </c>
      <c r="D79" s="64">
        <f>B79*12</f>
        <v>4942286.0244793259</v>
      </c>
    </row>
    <row r="80" spans="1:4" x14ac:dyDescent="0.2">
      <c r="A80" s="3">
        <v>40544</v>
      </c>
      <c r="B80" s="64">
        <f t="shared" ref="B80:B91" si="11">B79+$D$8</f>
        <v>437345.132977342</v>
      </c>
    </row>
    <row r="81" spans="1:4" x14ac:dyDescent="0.2">
      <c r="A81" s="3">
        <v>40575</v>
      </c>
      <c r="B81" s="64">
        <f t="shared" si="11"/>
        <v>462833.09724807349</v>
      </c>
    </row>
    <row r="82" spans="1:4" x14ac:dyDescent="0.2">
      <c r="A82" s="3">
        <v>40603</v>
      </c>
      <c r="B82" s="64">
        <f t="shared" si="11"/>
        <v>488321.06151880499</v>
      </c>
    </row>
    <row r="83" spans="1:4" x14ac:dyDescent="0.2">
      <c r="A83" s="3">
        <v>40634</v>
      </c>
      <c r="B83" s="64">
        <f t="shared" si="11"/>
        <v>513809.02578953648</v>
      </c>
    </row>
    <row r="84" spans="1:4" x14ac:dyDescent="0.2">
      <c r="A84" s="3">
        <v>40664</v>
      </c>
      <c r="B84" s="64">
        <f t="shared" si="11"/>
        <v>539296.99006026797</v>
      </c>
    </row>
    <row r="85" spans="1:4" x14ac:dyDescent="0.2">
      <c r="A85" s="3">
        <v>40695</v>
      </c>
      <c r="B85" s="64">
        <f t="shared" si="11"/>
        <v>564784.95433099952</v>
      </c>
    </row>
    <row r="86" spans="1:4" x14ac:dyDescent="0.2">
      <c r="A86" s="3">
        <v>40725</v>
      </c>
      <c r="B86" s="64">
        <f t="shared" si="11"/>
        <v>590272.91860173107</v>
      </c>
    </row>
    <row r="87" spans="1:4" x14ac:dyDescent="0.2">
      <c r="A87" s="3">
        <v>40756</v>
      </c>
      <c r="B87" s="64">
        <f t="shared" si="11"/>
        <v>615760.88287246262</v>
      </c>
    </row>
    <row r="88" spans="1:4" x14ac:dyDescent="0.2">
      <c r="A88" s="3">
        <v>40787</v>
      </c>
      <c r="B88" s="64">
        <f t="shared" si="11"/>
        <v>641248.84714319417</v>
      </c>
    </row>
    <row r="89" spans="1:4" x14ac:dyDescent="0.2">
      <c r="A89" s="3">
        <v>40817</v>
      </c>
      <c r="B89" s="64">
        <f t="shared" si="11"/>
        <v>666736.81141392572</v>
      </c>
    </row>
    <row r="90" spans="1:4" x14ac:dyDescent="0.2">
      <c r="A90" s="3">
        <v>40848</v>
      </c>
      <c r="B90" s="64">
        <f t="shared" si="11"/>
        <v>692224.77568465727</v>
      </c>
    </row>
    <row r="91" spans="1:4" x14ac:dyDescent="0.2">
      <c r="A91" s="3">
        <v>40878</v>
      </c>
      <c r="B91" s="64">
        <f t="shared" si="11"/>
        <v>717712.73995538882</v>
      </c>
      <c r="C91" s="64">
        <f>SUM(B80:B91)</f>
        <v>6930347.2375963842</v>
      </c>
      <c r="D91" s="64">
        <f>B91*12</f>
        <v>8612552.8794646654</v>
      </c>
    </row>
    <row r="92" spans="1:4" x14ac:dyDescent="0.2">
      <c r="A92" s="3">
        <v>40909</v>
      </c>
      <c r="B92" s="64">
        <f t="shared" ref="B92:B103" si="12">B91+$D$9</f>
        <v>717422.3662677079</v>
      </c>
    </row>
    <row r="93" spans="1:4" x14ac:dyDescent="0.2">
      <c r="A93" s="3">
        <v>40940</v>
      </c>
      <c r="B93" s="64">
        <f t="shared" si="12"/>
        <v>717131.99258002697</v>
      </c>
    </row>
    <row r="94" spans="1:4" x14ac:dyDescent="0.2">
      <c r="A94" s="3">
        <v>40969</v>
      </c>
      <c r="B94" s="64">
        <f t="shared" si="12"/>
        <v>716841.61889234604</v>
      </c>
    </row>
    <row r="95" spans="1:4" x14ac:dyDescent="0.2">
      <c r="A95" s="3">
        <v>41000</v>
      </c>
      <c r="B95" s="64">
        <f t="shared" si="12"/>
        <v>716551.24520466512</v>
      </c>
    </row>
    <row r="96" spans="1:4" x14ac:dyDescent="0.2">
      <c r="A96" s="3">
        <v>41030</v>
      </c>
      <c r="B96" s="64">
        <f t="shared" si="12"/>
        <v>716260.87151698419</v>
      </c>
    </row>
    <row r="97" spans="1:4" x14ac:dyDescent="0.2">
      <c r="A97" s="3">
        <v>41061</v>
      </c>
      <c r="B97" s="64">
        <f t="shared" si="12"/>
        <v>715970.49782930326</v>
      </c>
    </row>
    <row r="98" spans="1:4" x14ac:dyDescent="0.2">
      <c r="A98" s="3">
        <v>41091</v>
      </c>
      <c r="B98" s="64">
        <f t="shared" si="12"/>
        <v>715680.12414162233</v>
      </c>
    </row>
    <row r="99" spans="1:4" x14ac:dyDescent="0.2">
      <c r="A99" s="3">
        <v>41122</v>
      </c>
      <c r="B99" s="64">
        <f t="shared" si="12"/>
        <v>715389.75045394141</v>
      </c>
    </row>
    <row r="100" spans="1:4" x14ac:dyDescent="0.2">
      <c r="A100" s="3">
        <v>41153</v>
      </c>
      <c r="B100" s="64">
        <f t="shared" si="12"/>
        <v>715099.37676626048</v>
      </c>
    </row>
    <row r="101" spans="1:4" x14ac:dyDescent="0.2">
      <c r="A101" s="3">
        <v>41183</v>
      </c>
      <c r="B101" s="64">
        <f t="shared" si="12"/>
        <v>714809.00307857955</v>
      </c>
    </row>
    <row r="102" spans="1:4" x14ac:dyDescent="0.2">
      <c r="A102" s="3">
        <v>41214</v>
      </c>
      <c r="B102" s="64">
        <f t="shared" si="12"/>
        <v>714518.62939089863</v>
      </c>
    </row>
    <row r="103" spans="1:4" x14ac:dyDescent="0.2">
      <c r="A103" s="3">
        <v>41244</v>
      </c>
      <c r="B103" s="64">
        <f t="shared" si="12"/>
        <v>714228.2557032177</v>
      </c>
      <c r="C103" s="64">
        <f>SUM(B92:B103)</f>
        <v>8589903.7318255547</v>
      </c>
      <c r="D103" s="64">
        <f>B103*12</f>
        <v>8570739.0684386119</v>
      </c>
    </row>
    <row r="104" spans="1:4" x14ac:dyDescent="0.2">
      <c r="A104" s="3">
        <v>41275</v>
      </c>
      <c r="B104" s="64">
        <f t="shared" ref="B104:B115" si="13">B103+$D$10</f>
        <v>749564.45657906611</v>
      </c>
    </row>
    <row r="105" spans="1:4" x14ac:dyDescent="0.2">
      <c r="A105" s="3">
        <v>41306</v>
      </c>
      <c r="B105" s="64">
        <f t="shared" si="13"/>
        <v>784900.65745491453</v>
      </c>
    </row>
    <row r="106" spans="1:4" x14ac:dyDescent="0.2">
      <c r="A106" s="3">
        <v>41334</v>
      </c>
      <c r="B106" s="64">
        <f t="shared" si="13"/>
        <v>820236.85833076295</v>
      </c>
    </row>
    <row r="107" spans="1:4" x14ac:dyDescent="0.2">
      <c r="A107" s="3">
        <v>41365</v>
      </c>
      <c r="B107" s="64">
        <f t="shared" si="13"/>
        <v>855573.05920661136</v>
      </c>
    </row>
    <row r="108" spans="1:4" x14ac:dyDescent="0.2">
      <c r="A108" s="3">
        <v>41395</v>
      </c>
      <c r="B108" s="64">
        <f t="shared" si="13"/>
        <v>890909.26008245978</v>
      </c>
    </row>
    <row r="109" spans="1:4" x14ac:dyDescent="0.2">
      <c r="A109" s="3">
        <v>41426</v>
      </c>
      <c r="B109" s="64">
        <f t="shared" si="13"/>
        <v>926245.46095830819</v>
      </c>
    </row>
    <row r="110" spans="1:4" x14ac:dyDescent="0.2">
      <c r="A110" s="3">
        <v>41456</v>
      </c>
      <c r="B110" s="64">
        <f t="shared" si="13"/>
        <v>961581.66183415661</v>
      </c>
    </row>
    <row r="111" spans="1:4" x14ac:dyDescent="0.2">
      <c r="A111" s="3">
        <v>41487</v>
      </c>
      <c r="B111" s="64">
        <f t="shared" si="13"/>
        <v>996917.86271000502</v>
      </c>
    </row>
    <row r="112" spans="1:4" x14ac:dyDescent="0.2">
      <c r="A112" s="3">
        <v>41518</v>
      </c>
      <c r="B112" s="64">
        <f t="shared" si="13"/>
        <v>1032254.0635858534</v>
      </c>
    </row>
    <row r="113" spans="1:4" x14ac:dyDescent="0.2">
      <c r="A113" s="3">
        <v>41548</v>
      </c>
      <c r="B113" s="64">
        <f t="shared" si="13"/>
        <v>1067590.2644617017</v>
      </c>
    </row>
    <row r="114" spans="1:4" x14ac:dyDescent="0.2">
      <c r="A114" s="3">
        <v>41579</v>
      </c>
      <c r="B114" s="64">
        <f t="shared" si="13"/>
        <v>1102926.4653375503</v>
      </c>
    </row>
    <row r="115" spans="1:4" x14ac:dyDescent="0.2">
      <c r="A115" s="3">
        <v>41609</v>
      </c>
      <c r="B115" s="64">
        <f t="shared" si="13"/>
        <v>1138262.6662133988</v>
      </c>
      <c r="C115" s="64">
        <f>SUM(B104:B115)</f>
        <v>11326962.736754788</v>
      </c>
      <c r="D115" s="64">
        <f>B115*12</f>
        <v>13659151.994560786</v>
      </c>
    </row>
    <row r="116" spans="1:4" x14ac:dyDescent="0.2">
      <c r="A116" s="3">
        <v>41640</v>
      </c>
      <c r="B116" s="64">
        <f>B115+$D$11</f>
        <v>1144257.5999350336</v>
      </c>
    </row>
    <row r="117" spans="1:4" x14ac:dyDescent="0.2">
      <c r="A117" s="3">
        <v>41671</v>
      </c>
      <c r="B117" s="64">
        <f t="shared" ref="B117:B127" si="14">B116+$D$11</f>
        <v>1150252.5336566684</v>
      </c>
    </row>
    <row r="118" spans="1:4" x14ac:dyDescent="0.2">
      <c r="A118" s="3">
        <v>41699</v>
      </c>
      <c r="B118" s="64">
        <f t="shared" si="14"/>
        <v>1156247.4673783032</v>
      </c>
    </row>
    <row r="119" spans="1:4" x14ac:dyDescent="0.2">
      <c r="A119" s="3">
        <v>41730</v>
      </c>
      <c r="B119" s="64">
        <f t="shared" si="14"/>
        <v>1162242.401099938</v>
      </c>
    </row>
    <row r="120" spans="1:4" x14ac:dyDescent="0.2">
      <c r="A120" s="3">
        <v>41760</v>
      </c>
      <c r="B120" s="64">
        <f t="shared" si="14"/>
        <v>1168237.3348215728</v>
      </c>
    </row>
    <row r="121" spans="1:4" x14ac:dyDescent="0.2">
      <c r="A121" s="3">
        <v>41791</v>
      </c>
      <c r="B121" s="64">
        <f t="shared" si="14"/>
        <v>1174232.2685432076</v>
      </c>
    </row>
    <row r="122" spans="1:4" x14ac:dyDescent="0.2">
      <c r="A122" s="3">
        <v>41821</v>
      </c>
      <c r="B122" s="64">
        <f t="shared" si="14"/>
        <v>1180227.2022648423</v>
      </c>
    </row>
    <row r="123" spans="1:4" x14ac:dyDescent="0.2">
      <c r="A123" s="3">
        <v>41852</v>
      </c>
      <c r="B123" s="64">
        <f t="shared" si="14"/>
        <v>1186222.1359864771</v>
      </c>
    </row>
    <row r="124" spans="1:4" x14ac:dyDescent="0.2">
      <c r="A124" s="3">
        <v>41883</v>
      </c>
      <c r="B124" s="64">
        <f t="shared" si="14"/>
        <v>1192217.0697081119</v>
      </c>
    </row>
    <row r="125" spans="1:4" x14ac:dyDescent="0.2">
      <c r="A125" s="3">
        <v>41913</v>
      </c>
      <c r="B125" s="64">
        <f t="shared" si="14"/>
        <v>1198212.0034297467</v>
      </c>
    </row>
    <row r="126" spans="1:4" x14ac:dyDescent="0.2">
      <c r="A126" s="3">
        <v>41944</v>
      </c>
      <c r="B126" s="64">
        <f t="shared" si="14"/>
        <v>1204206.9371513815</v>
      </c>
    </row>
    <row r="127" spans="1:4" x14ac:dyDescent="0.2">
      <c r="A127" s="3">
        <v>41974</v>
      </c>
      <c r="B127" s="64">
        <f t="shared" si="14"/>
        <v>1210201.8708730163</v>
      </c>
      <c r="C127" s="64">
        <f>SUM(B116:B127)</f>
        <v>14126756.824848298</v>
      </c>
      <c r="D127" s="64">
        <f>B127*12</f>
        <v>14522422.450476196</v>
      </c>
    </row>
    <row r="128" spans="1:4" x14ac:dyDescent="0.2">
      <c r="A128" s="3">
        <v>42005</v>
      </c>
      <c r="B128" s="64">
        <f>B127+$D$12</f>
        <v>1218507.6295574729</v>
      </c>
    </row>
    <row r="129" spans="1:4" x14ac:dyDescent="0.2">
      <c r="A129" s="3">
        <v>42036</v>
      </c>
      <c r="B129" s="64">
        <f t="shared" ref="B129:B139" si="15">B128+$D$12</f>
        <v>1226813.3882419295</v>
      </c>
    </row>
    <row r="130" spans="1:4" x14ac:dyDescent="0.2">
      <c r="A130" s="3">
        <v>42064</v>
      </c>
      <c r="B130" s="64">
        <f t="shared" si="15"/>
        <v>1235119.146926386</v>
      </c>
    </row>
    <row r="131" spans="1:4" x14ac:dyDescent="0.2">
      <c r="A131" s="3">
        <v>42095</v>
      </c>
      <c r="B131" s="64">
        <f t="shared" si="15"/>
        <v>1243424.9056108426</v>
      </c>
    </row>
    <row r="132" spans="1:4" x14ac:dyDescent="0.2">
      <c r="A132" s="3">
        <v>42125</v>
      </c>
      <c r="B132" s="64">
        <f t="shared" si="15"/>
        <v>1251730.6642952992</v>
      </c>
    </row>
    <row r="133" spans="1:4" x14ac:dyDescent="0.2">
      <c r="A133" s="3">
        <v>42156</v>
      </c>
      <c r="B133" s="64">
        <f t="shared" si="15"/>
        <v>1260036.4229797558</v>
      </c>
    </row>
    <row r="134" spans="1:4" x14ac:dyDescent="0.2">
      <c r="A134" s="3">
        <v>42186</v>
      </c>
      <c r="B134" s="64">
        <f t="shared" si="15"/>
        <v>1268342.1816642124</v>
      </c>
    </row>
    <row r="135" spans="1:4" x14ac:dyDescent="0.2">
      <c r="A135" s="3">
        <v>42217</v>
      </c>
      <c r="B135" s="64">
        <f t="shared" si="15"/>
        <v>1276647.940348669</v>
      </c>
    </row>
    <row r="136" spans="1:4" x14ac:dyDescent="0.2">
      <c r="A136" s="3">
        <v>42248</v>
      </c>
      <c r="B136" s="64">
        <f t="shared" si="15"/>
        <v>1284953.6990331255</v>
      </c>
    </row>
    <row r="137" spans="1:4" x14ac:dyDescent="0.2">
      <c r="A137" s="3">
        <v>42278</v>
      </c>
      <c r="B137" s="64">
        <f t="shared" si="15"/>
        <v>1293259.4577175821</v>
      </c>
    </row>
    <row r="138" spans="1:4" x14ac:dyDescent="0.2">
      <c r="A138" s="3">
        <v>42309</v>
      </c>
      <c r="B138" s="64">
        <f t="shared" si="15"/>
        <v>1301565.2164020387</v>
      </c>
    </row>
    <row r="139" spans="1:4" x14ac:dyDescent="0.2">
      <c r="A139" s="3">
        <v>42339</v>
      </c>
      <c r="B139" s="64">
        <f t="shared" si="15"/>
        <v>1309870.9750864953</v>
      </c>
      <c r="C139" s="64">
        <f>SUM(B128:B139)</f>
        <v>15170271.627863809</v>
      </c>
      <c r="D139" s="64">
        <f>B139*12</f>
        <v>15718451.701037943</v>
      </c>
    </row>
    <row r="140" spans="1:4" x14ac:dyDescent="0.2">
      <c r="A140" s="3">
        <v>42370</v>
      </c>
      <c r="B140" s="64">
        <f ca="1">B139+$D$13</f>
        <v>1301560.0145390357</v>
      </c>
    </row>
    <row r="141" spans="1:4" x14ac:dyDescent="0.2">
      <c r="A141" s="3">
        <v>42401</v>
      </c>
      <c r="B141" s="64">
        <f t="shared" ref="B141:B151" ca="1" si="16">B140+$D$13</f>
        <v>1293249.0539915762</v>
      </c>
    </row>
    <row r="142" spans="1:4" x14ac:dyDescent="0.2">
      <c r="A142" s="3">
        <v>42430</v>
      </c>
      <c r="B142" s="64">
        <f t="shared" ca="1" si="16"/>
        <v>1284938.0934441166</v>
      </c>
    </row>
    <row r="143" spans="1:4" x14ac:dyDescent="0.2">
      <c r="A143" s="3">
        <v>42461</v>
      </c>
      <c r="B143" s="64">
        <f t="shared" ca="1" si="16"/>
        <v>1276627.1328966571</v>
      </c>
    </row>
    <row r="144" spans="1:4" x14ac:dyDescent="0.2">
      <c r="A144" s="3">
        <v>42491</v>
      </c>
      <c r="B144" s="64">
        <f t="shared" ca="1" si="16"/>
        <v>1268316.1723491976</v>
      </c>
    </row>
    <row r="145" spans="1:4" x14ac:dyDescent="0.2">
      <c r="A145" s="3">
        <v>42522</v>
      </c>
      <c r="B145" s="64">
        <f t="shared" ca="1" si="16"/>
        <v>1260005.211801738</v>
      </c>
    </row>
    <row r="146" spans="1:4" x14ac:dyDescent="0.2">
      <c r="A146" s="3">
        <v>42552</v>
      </c>
      <c r="B146" s="64">
        <f t="shared" ca="1" si="16"/>
        <v>1251694.2512542785</v>
      </c>
    </row>
    <row r="147" spans="1:4" x14ac:dyDescent="0.2">
      <c r="A147" s="3">
        <v>42583</v>
      </c>
      <c r="B147" s="64">
        <f t="shared" ca="1" si="16"/>
        <v>1243383.2907068189</v>
      </c>
    </row>
    <row r="148" spans="1:4" x14ac:dyDescent="0.2">
      <c r="A148" s="3">
        <v>42614</v>
      </c>
      <c r="B148" s="64">
        <f t="shared" ca="1" si="16"/>
        <v>1235072.3301593594</v>
      </c>
    </row>
    <row r="149" spans="1:4" x14ac:dyDescent="0.2">
      <c r="A149" s="3">
        <v>42644</v>
      </c>
      <c r="B149" s="64">
        <f t="shared" ca="1" si="16"/>
        <v>1226761.3696118998</v>
      </c>
    </row>
    <row r="150" spans="1:4" x14ac:dyDescent="0.2">
      <c r="A150" s="3">
        <v>42675</v>
      </c>
      <c r="B150" s="64">
        <f t="shared" ca="1" si="16"/>
        <v>1218450.4090644403</v>
      </c>
    </row>
    <row r="151" spans="1:4" x14ac:dyDescent="0.2">
      <c r="A151" s="3">
        <v>42705</v>
      </c>
      <c r="B151" s="64">
        <f t="shared" ca="1" si="16"/>
        <v>1210139.4485169807</v>
      </c>
      <c r="C151" s="64">
        <f ca="1">SUM(B140:B151)</f>
        <v>15070196.7783361</v>
      </c>
      <c r="D151" s="64">
        <f ca="1">B151*12</f>
        <v>14521673.382203769</v>
      </c>
    </row>
    <row r="152" spans="1:4" x14ac:dyDescent="0.2">
      <c r="A152" s="3">
        <v>42736</v>
      </c>
      <c r="B152" s="64">
        <f ca="1">B151+$D$14</f>
        <v>1201838.5451896612</v>
      </c>
    </row>
    <row r="153" spans="1:4" x14ac:dyDescent="0.2">
      <c r="A153" s="3">
        <v>42767</v>
      </c>
      <c r="B153" s="64">
        <f t="shared" ref="B153:B163" ca="1" si="17">B152+$D$14</f>
        <v>1193537.6418623417</v>
      </c>
    </row>
    <row r="154" spans="1:4" x14ac:dyDescent="0.2">
      <c r="A154" s="3">
        <v>42795</v>
      </c>
      <c r="B154" s="64">
        <f t="shared" ca="1" si="17"/>
        <v>1185236.7385350221</v>
      </c>
    </row>
    <row r="155" spans="1:4" x14ac:dyDescent="0.2">
      <c r="A155" s="3">
        <v>42826</v>
      </c>
      <c r="B155" s="64">
        <f t="shared" ca="1" si="17"/>
        <v>1176935.8352077026</v>
      </c>
    </row>
    <row r="156" spans="1:4" x14ac:dyDescent="0.2">
      <c r="A156" s="3">
        <v>42856</v>
      </c>
      <c r="B156" s="64">
        <f t="shared" ca="1" si="17"/>
        <v>1168634.9318803831</v>
      </c>
    </row>
    <row r="157" spans="1:4" x14ac:dyDescent="0.2">
      <c r="A157" s="3">
        <v>42887</v>
      </c>
      <c r="B157" s="64">
        <f t="shared" ca="1" si="17"/>
        <v>1160334.0285530635</v>
      </c>
    </row>
    <row r="158" spans="1:4" x14ac:dyDescent="0.2">
      <c r="A158" s="3">
        <v>42917</v>
      </c>
      <c r="B158" s="64">
        <f t="shared" ca="1" si="17"/>
        <v>1152033.125225744</v>
      </c>
    </row>
    <row r="159" spans="1:4" x14ac:dyDescent="0.2">
      <c r="A159" s="3">
        <v>42948</v>
      </c>
      <c r="B159" s="64">
        <f t="shared" ca="1" si="17"/>
        <v>1143732.2218984244</v>
      </c>
    </row>
    <row r="160" spans="1:4" x14ac:dyDescent="0.2">
      <c r="A160" s="3">
        <v>42979</v>
      </c>
      <c r="B160" s="64">
        <f t="shared" ca="1" si="17"/>
        <v>1135431.3185711049</v>
      </c>
    </row>
    <row r="161" spans="1:4" x14ac:dyDescent="0.2">
      <c r="A161" s="3">
        <v>43009</v>
      </c>
      <c r="B161" s="64">
        <f t="shared" ca="1" si="17"/>
        <v>1127130.4152437854</v>
      </c>
    </row>
    <row r="162" spans="1:4" x14ac:dyDescent="0.2">
      <c r="A162" s="3">
        <v>43040</v>
      </c>
      <c r="B162" s="64">
        <f t="shared" ca="1" si="17"/>
        <v>1118829.5119164658</v>
      </c>
    </row>
    <row r="163" spans="1:4" x14ac:dyDescent="0.2">
      <c r="A163" s="3">
        <v>43070</v>
      </c>
      <c r="B163" s="64">
        <f t="shared" ca="1" si="17"/>
        <v>1110528.6085891463</v>
      </c>
      <c r="C163" s="64">
        <f ca="1">SUM(B152:B163)</f>
        <v>13874202.922672847</v>
      </c>
      <c r="D163" s="64">
        <f ca="1">B163*12</f>
        <v>13326343.303069755</v>
      </c>
    </row>
  </sheetData>
  <mergeCells count="9">
    <mergeCell ref="F2:G2"/>
    <mergeCell ref="L2:N2"/>
    <mergeCell ref="L3:N3"/>
    <mergeCell ref="L5:P5"/>
    <mergeCell ref="M46:O46"/>
    <mergeCell ref="L40:L43"/>
    <mergeCell ref="L17:P17"/>
    <mergeCell ref="L24:P24"/>
    <mergeCell ref="L31:P31"/>
  </mergeCells>
  <phoneticPr fontId="8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317"/>
  <sheetViews>
    <sheetView topLeftCell="X19" workbookViewId="0">
      <selection activeCell="AK30" sqref="AK30"/>
    </sheetView>
  </sheetViews>
  <sheetFormatPr defaultColWidth="11.42578125" defaultRowHeight="15" x14ac:dyDescent="0.2"/>
  <cols>
    <col min="1" max="1" width="11.42578125" style="68" customWidth="1"/>
    <col min="2" max="2" width="10.140625" style="68" customWidth="1"/>
    <col min="3" max="3" width="17.7109375" style="75" customWidth="1"/>
    <col min="4" max="4" width="16.5703125" style="75" customWidth="1"/>
    <col min="5" max="35" width="11.42578125" style="68"/>
    <col min="36" max="36" width="11" bestFit="1" customWidth="1"/>
    <col min="37" max="37" width="13.140625" style="68" customWidth="1"/>
    <col min="38" max="16384" width="11.42578125" style="68"/>
  </cols>
  <sheetData>
    <row r="3" spans="1:39" x14ac:dyDescent="0.2">
      <c r="C3" s="347" t="s">
        <v>100</v>
      </c>
      <c r="D3" s="347"/>
    </row>
    <row r="4" spans="1:39" x14ac:dyDescent="0.2">
      <c r="A4" s="69" t="s">
        <v>96</v>
      </c>
      <c r="B4" s="69" t="s">
        <v>97</v>
      </c>
      <c r="C4" s="70" t="s">
        <v>98</v>
      </c>
      <c r="D4" s="70" t="s">
        <v>99</v>
      </c>
    </row>
    <row r="5" spans="1:39" x14ac:dyDescent="0.2">
      <c r="B5" s="71"/>
      <c r="C5" s="67"/>
      <c r="D5" s="67"/>
    </row>
    <row r="6" spans="1:39" x14ac:dyDescent="0.2">
      <c r="A6" s="68">
        <v>1990</v>
      </c>
      <c r="B6" s="68" t="s">
        <v>81</v>
      </c>
      <c r="C6" s="76">
        <v>578.6</v>
      </c>
      <c r="D6" s="76">
        <v>0</v>
      </c>
    </row>
    <row r="7" spans="1:39" x14ac:dyDescent="0.2">
      <c r="B7" s="68" t="s">
        <v>82</v>
      </c>
      <c r="C7" s="76">
        <v>582.6</v>
      </c>
      <c r="D7" s="76">
        <v>0</v>
      </c>
    </row>
    <row r="8" spans="1:39" x14ac:dyDescent="0.2">
      <c r="B8" s="68" t="s">
        <v>83</v>
      </c>
      <c r="C8" s="76">
        <v>517.9</v>
      </c>
      <c r="D8" s="76">
        <v>0</v>
      </c>
    </row>
    <row r="9" spans="1:39" x14ac:dyDescent="0.2">
      <c r="B9" s="68" t="s">
        <v>84</v>
      </c>
      <c r="C9" s="76">
        <v>305.89999999999998</v>
      </c>
      <c r="D9" s="76">
        <v>12.6</v>
      </c>
    </row>
    <row r="10" spans="1:39" x14ac:dyDescent="0.2">
      <c r="B10" s="68" t="s">
        <v>85</v>
      </c>
      <c r="C10" s="76">
        <v>192.5</v>
      </c>
      <c r="D10" s="76">
        <v>0.3</v>
      </c>
    </row>
    <row r="11" spans="1:39" x14ac:dyDescent="0.2">
      <c r="B11" s="68" t="s">
        <v>86</v>
      </c>
      <c r="C11" s="76">
        <v>38.6</v>
      </c>
      <c r="D11" s="76">
        <v>40.5</v>
      </c>
    </row>
    <row r="12" spans="1:39" x14ac:dyDescent="0.2">
      <c r="B12" s="68" t="s">
        <v>87</v>
      </c>
      <c r="C12" s="76">
        <v>3</v>
      </c>
      <c r="D12" s="76">
        <v>87.4</v>
      </c>
    </row>
    <row r="13" spans="1:39" x14ac:dyDescent="0.2">
      <c r="B13" s="68" t="s">
        <v>88</v>
      </c>
      <c r="C13" s="76">
        <v>6.9</v>
      </c>
      <c r="D13" s="76">
        <v>73.5</v>
      </c>
      <c r="AK13"/>
      <c r="AL13"/>
      <c r="AM13"/>
    </row>
    <row r="14" spans="1:39" x14ac:dyDescent="0.2">
      <c r="B14" s="68" t="s">
        <v>89</v>
      </c>
      <c r="C14" s="76">
        <v>100</v>
      </c>
      <c r="D14" s="76">
        <v>22.9</v>
      </c>
      <c r="AK14"/>
      <c r="AL14"/>
      <c r="AM14"/>
    </row>
    <row r="15" spans="1:39" x14ac:dyDescent="0.2">
      <c r="B15" s="68" t="s">
        <v>90</v>
      </c>
      <c r="C15" s="76">
        <v>269.8</v>
      </c>
      <c r="D15" s="76">
        <v>2.5</v>
      </c>
      <c r="AK15"/>
      <c r="AL15"/>
      <c r="AM15"/>
    </row>
    <row r="16" spans="1:39" x14ac:dyDescent="0.2">
      <c r="B16" s="68" t="s">
        <v>91</v>
      </c>
      <c r="C16" s="76">
        <v>395.1</v>
      </c>
      <c r="D16" s="76">
        <v>0</v>
      </c>
      <c r="AK16"/>
      <c r="AL16"/>
      <c r="AM16"/>
    </row>
    <row r="17" spans="1:39" x14ac:dyDescent="0.2">
      <c r="B17" s="68" t="s">
        <v>93</v>
      </c>
      <c r="C17" s="76">
        <v>559.29999999999995</v>
      </c>
      <c r="D17" s="76">
        <v>0</v>
      </c>
      <c r="AK17"/>
      <c r="AL17"/>
      <c r="AM17"/>
    </row>
    <row r="18" spans="1:39" x14ac:dyDescent="0.2">
      <c r="A18" s="68">
        <v>1991</v>
      </c>
      <c r="B18" s="68" t="s">
        <v>81</v>
      </c>
      <c r="C18" s="76">
        <v>668.2</v>
      </c>
      <c r="D18" s="76">
        <v>0</v>
      </c>
      <c r="AK18"/>
      <c r="AL18"/>
      <c r="AM18"/>
    </row>
    <row r="19" spans="1:39" x14ac:dyDescent="0.2">
      <c r="B19" s="68" t="s">
        <v>82</v>
      </c>
      <c r="C19" s="76">
        <v>529.5</v>
      </c>
      <c r="D19" s="76">
        <v>0</v>
      </c>
      <c r="AK19"/>
      <c r="AL19"/>
      <c r="AM19"/>
    </row>
    <row r="20" spans="1:39" x14ac:dyDescent="0.2">
      <c r="B20" s="68" t="s">
        <v>83</v>
      </c>
      <c r="C20" s="76">
        <v>474.4</v>
      </c>
      <c r="D20" s="76">
        <v>0</v>
      </c>
      <c r="AK20"/>
      <c r="AL20"/>
      <c r="AM20"/>
    </row>
    <row r="21" spans="1:39" x14ac:dyDescent="0.2">
      <c r="B21" s="68" t="s">
        <v>84</v>
      </c>
      <c r="C21" s="76">
        <v>259.5</v>
      </c>
      <c r="D21" s="76">
        <v>0.5</v>
      </c>
      <c r="AK21"/>
      <c r="AL21"/>
      <c r="AM21"/>
    </row>
    <row r="22" spans="1:39" x14ac:dyDescent="0.2">
      <c r="B22" s="68" t="s">
        <v>85</v>
      </c>
      <c r="C22" s="76">
        <v>83</v>
      </c>
      <c r="D22" s="76">
        <v>57</v>
      </c>
      <c r="AK22"/>
      <c r="AL22"/>
      <c r="AM22"/>
    </row>
    <row r="23" spans="1:39" x14ac:dyDescent="0.2">
      <c r="B23" s="68" t="s">
        <v>86</v>
      </c>
      <c r="C23" s="76">
        <v>10.199999999999999</v>
      </c>
      <c r="D23" s="76">
        <v>88.5</v>
      </c>
      <c r="AK23"/>
      <c r="AL23"/>
      <c r="AM23"/>
    </row>
    <row r="24" spans="1:39" x14ac:dyDescent="0.2">
      <c r="B24" s="68" t="s">
        <v>87</v>
      </c>
      <c r="C24" s="76">
        <v>1.2</v>
      </c>
      <c r="D24" s="76">
        <v>130.5</v>
      </c>
      <c r="AK24"/>
      <c r="AL24"/>
      <c r="AM24"/>
    </row>
    <row r="25" spans="1:39" x14ac:dyDescent="0.2">
      <c r="B25" s="68" t="s">
        <v>88</v>
      </c>
      <c r="C25" s="76">
        <v>0.7</v>
      </c>
      <c r="D25" s="76">
        <v>113.1</v>
      </c>
      <c r="AK25"/>
      <c r="AL25"/>
      <c r="AM25"/>
    </row>
    <row r="26" spans="1:39" x14ac:dyDescent="0.2">
      <c r="B26" s="68" t="s">
        <v>89</v>
      </c>
      <c r="C26" s="76">
        <v>90</v>
      </c>
      <c r="D26" s="76">
        <v>52.6</v>
      </c>
      <c r="AK26"/>
      <c r="AL26"/>
      <c r="AM26"/>
    </row>
    <row r="27" spans="1:39" x14ac:dyDescent="0.2">
      <c r="B27" s="68" t="s">
        <v>90</v>
      </c>
      <c r="C27" s="76">
        <v>191.6</v>
      </c>
      <c r="D27" s="76">
        <v>6.8</v>
      </c>
      <c r="AJ27" s="123" t="s">
        <v>160</v>
      </c>
      <c r="AK27" s="120" t="s">
        <v>191</v>
      </c>
      <c r="AL27"/>
      <c r="AM27"/>
    </row>
    <row r="28" spans="1:39" x14ac:dyDescent="0.2">
      <c r="B28" s="68" t="s">
        <v>91</v>
      </c>
      <c r="C28" s="76">
        <v>416.3</v>
      </c>
      <c r="D28" s="76">
        <v>0</v>
      </c>
      <c r="Q28" s="68">
        <f t="shared" ref="Q28:AG28" si="0">R28-1</f>
        <v>2</v>
      </c>
      <c r="R28" s="68">
        <f t="shared" si="0"/>
        <v>3</v>
      </c>
      <c r="S28" s="68">
        <f t="shared" si="0"/>
        <v>4</v>
      </c>
      <c r="T28" s="68">
        <f t="shared" si="0"/>
        <v>5</v>
      </c>
      <c r="U28" s="68">
        <f t="shared" si="0"/>
        <v>6</v>
      </c>
      <c r="V28" s="68">
        <f t="shared" si="0"/>
        <v>7</v>
      </c>
      <c r="W28" s="68">
        <f t="shared" si="0"/>
        <v>8</v>
      </c>
      <c r="X28" s="68">
        <f t="shared" si="0"/>
        <v>9</v>
      </c>
      <c r="Y28" s="68">
        <f t="shared" si="0"/>
        <v>10</v>
      </c>
      <c r="Z28" s="68">
        <f t="shared" si="0"/>
        <v>11</v>
      </c>
      <c r="AA28" s="68">
        <f t="shared" si="0"/>
        <v>12</v>
      </c>
      <c r="AB28" s="68">
        <f t="shared" si="0"/>
        <v>13</v>
      </c>
      <c r="AC28" s="68">
        <f t="shared" si="0"/>
        <v>14</v>
      </c>
      <c r="AD28" s="68">
        <f t="shared" si="0"/>
        <v>15</v>
      </c>
      <c r="AE28" s="68">
        <f t="shared" si="0"/>
        <v>16</v>
      </c>
      <c r="AF28" s="68">
        <f t="shared" si="0"/>
        <v>17</v>
      </c>
      <c r="AG28" s="68">
        <f t="shared" si="0"/>
        <v>18</v>
      </c>
      <c r="AH28" s="68">
        <f>AI28-1</f>
        <v>19</v>
      </c>
      <c r="AI28" s="68">
        <v>20</v>
      </c>
      <c r="AK28"/>
      <c r="AL28"/>
      <c r="AM28"/>
    </row>
    <row r="29" spans="1:39" x14ac:dyDescent="0.2">
      <c r="B29" s="68" t="s">
        <v>93</v>
      </c>
      <c r="C29" s="76">
        <v>564.4</v>
      </c>
      <c r="D29" s="76">
        <v>0</v>
      </c>
      <c r="L29" s="68">
        <v>1992</v>
      </c>
      <c r="M29" s="68">
        <v>1993</v>
      </c>
      <c r="N29" s="68">
        <v>1994</v>
      </c>
      <c r="O29" s="68">
        <v>1995</v>
      </c>
      <c r="P29" s="68">
        <v>1996</v>
      </c>
      <c r="Q29" s="68">
        <v>1997</v>
      </c>
      <c r="R29" s="68">
        <v>1998</v>
      </c>
      <c r="S29" s="68">
        <v>1999</v>
      </c>
      <c r="T29" s="68">
        <v>2000</v>
      </c>
      <c r="U29" s="68">
        <v>2001</v>
      </c>
      <c r="V29" s="68">
        <v>2002</v>
      </c>
      <c r="W29" s="68">
        <v>2003</v>
      </c>
      <c r="X29" s="68">
        <v>2004</v>
      </c>
      <c r="Y29" s="68">
        <v>2005</v>
      </c>
      <c r="Z29" s="68">
        <v>2006</v>
      </c>
      <c r="AA29" s="68">
        <v>2007</v>
      </c>
      <c r="AB29" s="68">
        <v>2008</v>
      </c>
      <c r="AC29" s="68">
        <v>2009</v>
      </c>
      <c r="AD29" s="68">
        <v>2010</v>
      </c>
      <c r="AE29" s="68">
        <v>2011</v>
      </c>
      <c r="AF29" s="68">
        <v>2012</v>
      </c>
      <c r="AG29" s="68">
        <v>2013</v>
      </c>
      <c r="AH29" s="68">
        <v>2014</v>
      </c>
      <c r="AI29" s="68">
        <v>2015</v>
      </c>
      <c r="AK29"/>
      <c r="AL29"/>
      <c r="AM29"/>
    </row>
    <row r="30" spans="1:39" x14ac:dyDescent="0.2">
      <c r="A30" s="68">
        <v>1992</v>
      </c>
      <c r="B30" s="68" t="s">
        <v>81</v>
      </c>
      <c r="C30" s="76">
        <v>627.6</v>
      </c>
      <c r="D30" s="76">
        <v>0</v>
      </c>
      <c r="K30" s="68" t="s">
        <v>81</v>
      </c>
      <c r="L30" s="122">
        <f>C30</f>
        <v>627.6</v>
      </c>
      <c r="M30" s="121">
        <f>C42</f>
        <v>621.4</v>
      </c>
      <c r="N30" s="121">
        <f>C54</f>
        <v>859.1</v>
      </c>
      <c r="O30" s="121">
        <f>C66</f>
        <v>606.20000000000005</v>
      </c>
      <c r="P30" s="121">
        <f>C78</f>
        <v>727.3</v>
      </c>
      <c r="Q30" s="121">
        <f>C90</f>
        <v>741.1</v>
      </c>
      <c r="R30" s="121">
        <f>C102</f>
        <v>576.6</v>
      </c>
      <c r="S30" s="121">
        <f>C114</f>
        <v>627.6</v>
      </c>
      <c r="T30" s="121">
        <f>C126</f>
        <v>701.1</v>
      </c>
      <c r="U30" s="121">
        <f>C138</f>
        <v>645.19999999999993</v>
      </c>
      <c r="V30" s="121">
        <f>C150</f>
        <v>558.79999999999984</v>
      </c>
      <c r="W30" s="121">
        <f>C162</f>
        <v>781.49999999999977</v>
      </c>
      <c r="X30" s="121">
        <f>C174</f>
        <v>805.39999999999986</v>
      </c>
      <c r="Y30" s="121">
        <f>C186</f>
        <v>716.69999999999982</v>
      </c>
      <c r="Z30" s="121">
        <f>C198</f>
        <v>524.29999999999995</v>
      </c>
      <c r="AA30" s="121">
        <f>C210</f>
        <v>625.70000000000005</v>
      </c>
      <c r="AB30" s="121">
        <f>C222</f>
        <v>604.19999999999993</v>
      </c>
      <c r="AC30" s="121">
        <f>C234</f>
        <v>829.40000000000009</v>
      </c>
      <c r="AD30" s="121">
        <f>C246</f>
        <v>711.09999999999991</v>
      </c>
      <c r="AE30" s="121">
        <f>C258</f>
        <v>794.6</v>
      </c>
      <c r="AF30" s="121">
        <f>C270</f>
        <v>600.80000000000007</v>
      </c>
      <c r="AG30" s="121">
        <f>C282</f>
        <v>617.29999999999995</v>
      </c>
      <c r="AH30" s="121">
        <f>C294</f>
        <v>783.19999999999993</v>
      </c>
      <c r="AI30" s="121">
        <f>C306</f>
        <v>753.1</v>
      </c>
      <c r="AJ30" s="124">
        <f>TREND(P30:AI30,$P$29:$AI$29,2017)</f>
        <v>715.35278195488718</v>
      </c>
      <c r="AK30" s="145">
        <f>AVERAGE(Z30:AI30)</f>
        <v>684.37</v>
      </c>
      <c r="AL30"/>
      <c r="AM30"/>
    </row>
    <row r="31" spans="1:39" x14ac:dyDescent="0.2">
      <c r="B31" s="68" t="s">
        <v>82</v>
      </c>
      <c r="C31" s="76">
        <v>620.1</v>
      </c>
      <c r="D31" s="76">
        <v>0</v>
      </c>
      <c r="K31" s="68" t="s">
        <v>82</v>
      </c>
      <c r="L31" s="122">
        <f t="shared" ref="L31:L41" si="1">C31</f>
        <v>620.1</v>
      </c>
      <c r="M31" s="121">
        <f t="shared" ref="M31:M41" si="2">C43</f>
        <v>694.2</v>
      </c>
      <c r="N31" s="121">
        <f t="shared" ref="N31:N41" si="3">C55</f>
        <v>702.7</v>
      </c>
      <c r="O31" s="121">
        <f t="shared" ref="O31:O41" si="4">C67</f>
        <v>689.3</v>
      </c>
      <c r="P31" s="121">
        <f t="shared" ref="P31:P41" si="5">C79</f>
        <v>662.7</v>
      </c>
      <c r="Q31" s="121">
        <f t="shared" ref="Q31:Q41" si="6">C91</f>
        <v>571.70000000000005</v>
      </c>
      <c r="R31" s="121">
        <f t="shared" ref="R31:R41" si="7">C103</f>
        <v>469.6</v>
      </c>
      <c r="S31" s="121">
        <f t="shared" ref="S31:S41" si="8">C115</f>
        <v>512.9</v>
      </c>
      <c r="T31" s="121">
        <f t="shared" ref="T31:T41" si="9">C127</f>
        <v>609.79999999999995</v>
      </c>
      <c r="U31" s="121">
        <f t="shared" ref="U31:U41" si="10">C139</f>
        <v>558.29999999999995</v>
      </c>
      <c r="V31" s="121">
        <f t="shared" ref="V31:V41" si="11">C151</f>
        <v>518.9</v>
      </c>
      <c r="W31" s="121">
        <f t="shared" ref="W31:W41" si="12">C163</f>
        <v>681.19999999999993</v>
      </c>
      <c r="X31" s="121">
        <f t="shared" ref="X31:X41" si="13">C175</f>
        <v>616.79999999999995</v>
      </c>
      <c r="Y31" s="121">
        <f t="shared" ref="Y31:Y41" si="14">C187</f>
        <v>594.69999999999993</v>
      </c>
      <c r="Z31" s="121">
        <f t="shared" ref="Z31:Z41" si="15">C199</f>
        <v>570.29999999999995</v>
      </c>
      <c r="AA31" s="121">
        <f t="shared" ref="AA31:AA41" si="16">C211</f>
        <v>739.30000000000018</v>
      </c>
      <c r="AB31" s="121">
        <f t="shared" ref="AB31:AB41" si="17">C223</f>
        <v>653.5</v>
      </c>
      <c r="AC31" s="121">
        <f t="shared" ref="AC31:AC41" si="18">C235</f>
        <v>605.50000000000011</v>
      </c>
      <c r="AD31" s="121">
        <f t="shared" ref="AD31:AD41" si="19">C247</f>
        <v>632.5</v>
      </c>
      <c r="AE31" s="121">
        <f t="shared" ref="AE31:AE41" si="20">C259</f>
        <v>645.30000000000007</v>
      </c>
      <c r="AF31" s="121">
        <f t="shared" ref="AF31:AF40" si="21">C271</f>
        <v>533.20000000000005</v>
      </c>
      <c r="AG31" s="121">
        <f t="shared" ref="AG31:AG40" si="22">C283</f>
        <v>640.1</v>
      </c>
      <c r="AH31" s="121">
        <f t="shared" ref="AH31:AH40" si="23">C295</f>
        <v>743.69999999999993</v>
      </c>
      <c r="AI31" s="121">
        <f t="shared" ref="AI31:AI41" si="24">C307</f>
        <v>871.9</v>
      </c>
      <c r="AJ31" s="124">
        <f>TREND(P31:AI31,$P$29:$AI$29,2017)</f>
        <v>721.80323308270818</v>
      </c>
      <c r="AK31" s="145">
        <f t="shared" ref="AK31:AK41" si="25">AVERAGE(Z31:AI31)</f>
        <v>663.53</v>
      </c>
      <c r="AL31"/>
      <c r="AM31"/>
    </row>
    <row r="32" spans="1:39" x14ac:dyDescent="0.2">
      <c r="B32" s="68" t="s">
        <v>83</v>
      </c>
      <c r="C32" s="76">
        <v>551.9</v>
      </c>
      <c r="D32" s="76">
        <v>0</v>
      </c>
      <c r="K32" s="68" t="s">
        <v>83</v>
      </c>
      <c r="L32" s="122">
        <f t="shared" si="1"/>
        <v>551.9</v>
      </c>
      <c r="M32" s="121">
        <f t="shared" si="2"/>
        <v>597.70000000000005</v>
      </c>
      <c r="N32" s="121">
        <f t="shared" si="3"/>
        <v>585</v>
      </c>
      <c r="O32" s="121">
        <f t="shared" si="4"/>
        <v>489.8</v>
      </c>
      <c r="P32" s="121">
        <f t="shared" si="5"/>
        <v>623</v>
      </c>
      <c r="Q32" s="121">
        <f t="shared" si="6"/>
        <v>574.1</v>
      </c>
      <c r="R32" s="121">
        <f t="shared" si="7"/>
        <v>462.6</v>
      </c>
      <c r="S32" s="121">
        <f t="shared" si="8"/>
        <v>516.4</v>
      </c>
      <c r="T32" s="121">
        <f t="shared" si="9"/>
        <v>439.4</v>
      </c>
      <c r="U32" s="121">
        <f t="shared" si="10"/>
        <v>561.60000000000014</v>
      </c>
      <c r="V32" s="121">
        <f t="shared" si="11"/>
        <v>512.29999999999995</v>
      </c>
      <c r="W32" s="121">
        <f t="shared" si="12"/>
        <v>529.79999999999995</v>
      </c>
      <c r="X32" s="121">
        <f t="shared" si="13"/>
        <v>478.59999999999997</v>
      </c>
      <c r="Y32" s="121">
        <f t="shared" si="14"/>
        <v>591.40000000000009</v>
      </c>
      <c r="Z32" s="121">
        <f t="shared" si="15"/>
        <v>514.6</v>
      </c>
      <c r="AA32" s="121">
        <f t="shared" si="16"/>
        <v>538.79999999999984</v>
      </c>
      <c r="AB32" s="121">
        <f t="shared" si="17"/>
        <v>602</v>
      </c>
      <c r="AC32" s="121">
        <f t="shared" si="18"/>
        <v>528.69999999999993</v>
      </c>
      <c r="AD32" s="121">
        <f t="shared" si="19"/>
        <v>468</v>
      </c>
      <c r="AE32" s="121">
        <f t="shared" si="20"/>
        <v>550.6</v>
      </c>
      <c r="AF32" s="121">
        <f t="shared" si="21"/>
        <v>333.80000000000007</v>
      </c>
      <c r="AG32" s="121">
        <f t="shared" si="22"/>
        <v>555.40000000000009</v>
      </c>
      <c r="AH32" s="121">
        <f t="shared" si="23"/>
        <v>692.30000000000007</v>
      </c>
      <c r="AI32" s="121">
        <f t="shared" si="24"/>
        <v>637</v>
      </c>
      <c r="AJ32" s="124">
        <f>TREND(P32:AI32,$P$29:$AI$29,2017)</f>
        <v>555.00947368421066</v>
      </c>
      <c r="AK32" s="145">
        <f t="shared" si="25"/>
        <v>542.12</v>
      </c>
      <c r="AL32"/>
      <c r="AM32"/>
    </row>
    <row r="33" spans="1:39" x14ac:dyDescent="0.2">
      <c r="B33" s="68" t="s">
        <v>84</v>
      </c>
      <c r="C33" s="76">
        <v>353.7</v>
      </c>
      <c r="D33" s="76">
        <v>0.8</v>
      </c>
      <c r="K33" s="68" t="s">
        <v>84</v>
      </c>
      <c r="L33" s="122">
        <f t="shared" si="1"/>
        <v>353.7</v>
      </c>
      <c r="M33" s="121">
        <f t="shared" si="2"/>
        <v>304.60000000000002</v>
      </c>
      <c r="N33" s="121">
        <f t="shared" si="3"/>
        <v>317.60000000000002</v>
      </c>
      <c r="O33" s="121">
        <f t="shared" si="4"/>
        <v>406.1</v>
      </c>
      <c r="P33" s="121">
        <f t="shared" si="5"/>
        <v>380.8</v>
      </c>
      <c r="Q33" s="121">
        <f t="shared" si="6"/>
        <v>411.3</v>
      </c>
      <c r="R33" s="121">
        <f t="shared" si="7"/>
        <v>272.60000000000002</v>
      </c>
      <c r="S33" s="121">
        <f t="shared" si="8"/>
        <v>284</v>
      </c>
      <c r="T33" s="121">
        <f t="shared" si="9"/>
        <v>334.7</v>
      </c>
      <c r="U33" s="121">
        <f t="shared" si="10"/>
        <v>278.09999999999991</v>
      </c>
      <c r="V33" s="121">
        <f t="shared" si="11"/>
        <v>306.79999999999995</v>
      </c>
      <c r="W33" s="121">
        <f t="shared" si="12"/>
        <v>360.39999999999992</v>
      </c>
      <c r="X33" s="121">
        <f t="shared" si="13"/>
        <v>302.89999999999992</v>
      </c>
      <c r="Y33" s="121">
        <f t="shared" si="14"/>
        <v>303.49999999999989</v>
      </c>
      <c r="Z33" s="121">
        <f t="shared" si="15"/>
        <v>269.99999999999994</v>
      </c>
      <c r="AA33" s="121">
        <f t="shared" si="16"/>
        <v>376.09999999999997</v>
      </c>
      <c r="AB33" s="121">
        <f t="shared" si="17"/>
        <v>272.8</v>
      </c>
      <c r="AC33" s="121">
        <f t="shared" si="18"/>
        <v>316.50000000000006</v>
      </c>
      <c r="AD33" s="121">
        <f t="shared" si="19"/>
        <v>243</v>
      </c>
      <c r="AE33" s="121">
        <f t="shared" si="20"/>
        <v>324.89999999999998</v>
      </c>
      <c r="AF33" s="121">
        <f t="shared" si="21"/>
        <v>330.9</v>
      </c>
      <c r="AG33" s="121">
        <f t="shared" si="22"/>
        <v>339.90000000000003</v>
      </c>
      <c r="AH33" s="121">
        <f t="shared" si="23"/>
        <v>338.40000000000009</v>
      </c>
      <c r="AI33" s="121">
        <f t="shared" si="24"/>
        <v>319.59999999999997</v>
      </c>
      <c r="AJ33" s="124">
        <f t="shared" ref="AJ33:AJ41" si="26">TREND(P33:AI33,$P$29:$AI$29,2017)</f>
        <v>306.33601503759382</v>
      </c>
      <c r="AK33" s="145">
        <f t="shared" si="25"/>
        <v>313.20999999999998</v>
      </c>
      <c r="AL33"/>
      <c r="AM33"/>
    </row>
    <row r="34" spans="1:39" x14ac:dyDescent="0.2">
      <c r="B34" s="68" t="s">
        <v>85</v>
      </c>
      <c r="C34" s="76">
        <v>137.4</v>
      </c>
      <c r="D34" s="76">
        <v>4.0999999999999996</v>
      </c>
      <c r="K34" s="68" t="s">
        <v>85</v>
      </c>
      <c r="L34" s="122">
        <f t="shared" si="1"/>
        <v>137.4</v>
      </c>
      <c r="M34" s="121">
        <f t="shared" si="2"/>
        <v>144.80000000000001</v>
      </c>
      <c r="N34" s="121">
        <f t="shared" si="3"/>
        <v>217.1</v>
      </c>
      <c r="O34" s="121">
        <f t="shared" si="4"/>
        <v>155.1</v>
      </c>
      <c r="P34" s="121">
        <f t="shared" si="5"/>
        <v>188</v>
      </c>
      <c r="Q34" s="121">
        <f t="shared" si="6"/>
        <v>279.89999999999998</v>
      </c>
      <c r="R34" s="121">
        <f t="shared" si="7"/>
        <v>51.3</v>
      </c>
      <c r="S34" s="121">
        <f t="shared" si="8"/>
        <v>87.4</v>
      </c>
      <c r="T34" s="121">
        <f t="shared" si="9"/>
        <v>129.80000000000001</v>
      </c>
      <c r="U34" s="121">
        <f t="shared" si="10"/>
        <v>119.50000000000001</v>
      </c>
      <c r="V34" s="121">
        <f t="shared" si="11"/>
        <v>220.39999999999998</v>
      </c>
      <c r="W34" s="121">
        <f t="shared" si="12"/>
        <v>149.20000000000002</v>
      </c>
      <c r="X34" s="121">
        <f t="shared" si="13"/>
        <v>117.30000000000003</v>
      </c>
      <c r="Y34" s="121">
        <f t="shared" si="14"/>
        <v>178.59999999999991</v>
      </c>
      <c r="Z34" s="121">
        <f t="shared" si="15"/>
        <v>127.30000000000003</v>
      </c>
      <c r="AA34" s="121">
        <f t="shared" si="16"/>
        <v>144.19999999999999</v>
      </c>
      <c r="AB34" s="121">
        <f t="shared" si="17"/>
        <v>216.7</v>
      </c>
      <c r="AC34" s="121">
        <f t="shared" si="18"/>
        <v>157.19999999999996</v>
      </c>
      <c r="AD34" s="121">
        <f t="shared" si="19"/>
        <v>125.40000000000003</v>
      </c>
      <c r="AE34" s="121">
        <f t="shared" si="20"/>
        <v>136.00000000000003</v>
      </c>
      <c r="AF34" s="121">
        <f t="shared" si="21"/>
        <v>82.300000000000011</v>
      </c>
      <c r="AG34" s="121">
        <f t="shared" si="22"/>
        <v>116.5</v>
      </c>
      <c r="AH34" s="121">
        <f t="shared" si="23"/>
        <v>143.89999999999995</v>
      </c>
      <c r="AI34" s="121">
        <f t="shared" si="24"/>
        <v>96.5</v>
      </c>
      <c r="AJ34" s="124">
        <f t="shared" si="26"/>
        <v>116.62601503759379</v>
      </c>
      <c r="AK34" s="145">
        <f t="shared" si="25"/>
        <v>134.59999999999997</v>
      </c>
      <c r="AL34"/>
      <c r="AM34"/>
    </row>
    <row r="35" spans="1:39" x14ac:dyDescent="0.2">
      <c r="B35" s="68" t="s">
        <v>86</v>
      </c>
      <c r="C35" s="76">
        <v>55.3</v>
      </c>
      <c r="D35" s="76">
        <v>23.7</v>
      </c>
      <c r="K35" s="68" t="s">
        <v>86</v>
      </c>
      <c r="L35" s="122">
        <f t="shared" si="1"/>
        <v>55.3</v>
      </c>
      <c r="M35" s="121">
        <f t="shared" si="2"/>
        <v>39.5</v>
      </c>
      <c r="N35" s="121">
        <f t="shared" si="3"/>
        <v>39</v>
      </c>
      <c r="O35" s="121">
        <f t="shared" si="4"/>
        <v>18.5</v>
      </c>
      <c r="P35" s="121">
        <f t="shared" si="5"/>
        <v>14.7</v>
      </c>
      <c r="Q35" s="121">
        <f t="shared" si="6"/>
        <v>35.299999999999997</v>
      </c>
      <c r="R35" s="121">
        <f t="shared" si="7"/>
        <v>57.7</v>
      </c>
      <c r="S35" s="121">
        <f t="shared" si="8"/>
        <v>25.6</v>
      </c>
      <c r="T35" s="121">
        <f t="shared" si="9"/>
        <v>35.799999999999997</v>
      </c>
      <c r="U35" s="121">
        <f t="shared" si="10"/>
        <v>35.6</v>
      </c>
      <c r="V35" s="121">
        <f t="shared" si="11"/>
        <v>26.999999999999996</v>
      </c>
      <c r="W35" s="121">
        <f t="shared" si="12"/>
        <v>33.199999999999996</v>
      </c>
      <c r="X35" s="121">
        <f t="shared" si="13"/>
        <v>47</v>
      </c>
      <c r="Y35" s="121">
        <f t="shared" si="14"/>
        <v>5.7</v>
      </c>
      <c r="Z35" s="121">
        <f t="shared" si="15"/>
        <v>18.899999999999999</v>
      </c>
      <c r="AA35" s="121">
        <f t="shared" si="16"/>
        <v>19.599999999999998</v>
      </c>
      <c r="AB35" s="121">
        <f t="shared" si="17"/>
        <v>27.2</v>
      </c>
      <c r="AC35" s="121">
        <f t="shared" si="18"/>
        <v>44.4</v>
      </c>
      <c r="AD35" s="121">
        <f t="shared" si="19"/>
        <v>23.599999999999994</v>
      </c>
      <c r="AE35" s="121">
        <f t="shared" si="20"/>
        <v>22.700000000000003</v>
      </c>
      <c r="AF35" s="121">
        <f t="shared" si="21"/>
        <v>31.599999999999998</v>
      </c>
      <c r="AG35" s="121">
        <f t="shared" si="22"/>
        <v>42.8</v>
      </c>
      <c r="AH35" s="121">
        <f t="shared" si="23"/>
        <v>21.3</v>
      </c>
      <c r="AI35" s="121">
        <f t="shared" si="24"/>
        <v>35.9</v>
      </c>
      <c r="AJ35" s="124">
        <f t="shared" si="26"/>
        <v>28.464210526315753</v>
      </c>
      <c r="AK35" s="145">
        <f t="shared" si="25"/>
        <v>28.799999999999994</v>
      </c>
      <c r="AL35"/>
      <c r="AM35"/>
    </row>
    <row r="36" spans="1:39" x14ac:dyDescent="0.2">
      <c r="B36" s="68" t="s">
        <v>87</v>
      </c>
      <c r="C36" s="76">
        <v>16.2</v>
      </c>
      <c r="D36" s="76">
        <v>51.2</v>
      </c>
      <c r="K36" s="68" t="s">
        <v>87</v>
      </c>
      <c r="L36" s="122">
        <f t="shared" si="1"/>
        <v>16.2</v>
      </c>
      <c r="M36" s="121">
        <f t="shared" si="2"/>
        <v>0</v>
      </c>
      <c r="N36" s="121">
        <f t="shared" si="3"/>
        <v>0.5</v>
      </c>
      <c r="O36" s="121">
        <f t="shared" si="4"/>
        <v>9.4</v>
      </c>
      <c r="P36" s="121">
        <f t="shared" si="5"/>
        <v>10.4</v>
      </c>
      <c r="Q36" s="121">
        <f t="shared" si="6"/>
        <v>16.3</v>
      </c>
      <c r="R36" s="121">
        <f t="shared" si="7"/>
        <v>0.2</v>
      </c>
      <c r="S36" s="121">
        <f t="shared" si="8"/>
        <v>1.2</v>
      </c>
      <c r="T36" s="121">
        <f t="shared" si="9"/>
        <v>8.9</v>
      </c>
      <c r="U36" s="121">
        <f t="shared" si="10"/>
        <v>11.399999999999999</v>
      </c>
      <c r="V36" s="121">
        <f t="shared" si="11"/>
        <v>0.7</v>
      </c>
      <c r="W36" s="121">
        <f t="shared" si="12"/>
        <v>0.7</v>
      </c>
      <c r="X36" s="121">
        <f t="shared" si="13"/>
        <v>0.89999999999999991</v>
      </c>
      <c r="Y36" s="121">
        <f t="shared" si="14"/>
        <v>0</v>
      </c>
      <c r="Z36" s="121">
        <f t="shared" si="15"/>
        <v>1</v>
      </c>
      <c r="AA36" s="121">
        <f t="shared" si="16"/>
        <v>7.3999999999999995</v>
      </c>
      <c r="AB36" s="121">
        <f t="shared" si="17"/>
        <v>5.2</v>
      </c>
      <c r="AC36" s="121">
        <f t="shared" si="18"/>
        <v>19.600000000000001</v>
      </c>
      <c r="AD36" s="121">
        <f t="shared" si="19"/>
        <v>4.5999999999999996</v>
      </c>
      <c r="AE36" s="121">
        <f t="shared" si="20"/>
        <v>0.2</v>
      </c>
      <c r="AF36" s="121">
        <f t="shared" si="21"/>
        <v>0</v>
      </c>
      <c r="AG36" s="121">
        <f t="shared" si="22"/>
        <v>5.5</v>
      </c>
      <c r="AH36" s="121">
        <f t="shared" si="23"/>
        <v>13.700000000000001</v>
      </c>
      <c r="AI36" s="121">
        <f t="shared" si="24"/>
        <v>7.6</v>
      </c>
      <c r="AJ36" s="124">
        <f t="shared" si="26"/>
        <v>5.6444360902255646</v>
      </c>
      <c r="AK36" s="145">
        <f t="shared" si="25"/>
        <v>6.4800000000000013</v>
      </c>
      <c r="AL36"/>
      <c r="AM36"/>
    </row>
    <row r="37" spans="1:39" x14ac:dyDescent="0.2">
      <c r="B37" s="68" t="s">
        <v>88</v>
      </c>
      <c r="C37" s="76">
        <v>22.5</v>
      </c>
      <c r="D37" s="76">
        <v>44.7</v>
      </c>
      <c r="K37" s="68" t="s">
        <v>88</v>
      </c>
      <c r="L37" s="122">
        <f t="shared" si="1"/>
        <v>22.5</v>
      </c>
      <c r="M37" s="121">
        <f t="shared" si="2"/>
        <v>5.0999999999999996</v>
      </c>
      <c r="N37" s="121">
        <f t="shared" si="3"/>
        <v>20.8</v>
      </c>
      <c r="O37" s="121">
        <f t="shared" si="4"/>
        <v>1</v>
      </c>
      <c r="P37" s="121">
        <f t="shared" si="5"/>
        <v>1.2</v>
      </c>
      <c r="Q37" s="121">
        <f t="shared" si="6"/>
        <v>21.2</v>
      </c>
      <c r="R37" s="121">
        <f t="shared" si="7"/>
        <v>4</v>
      </c>
      <c r="S37" s="121">
        <f t="shared" si="8"/>
        <v>11.5</v>
      </c>
      <c r="T37" s="121">
        <f t="shared" si="9"/>
        <v>9.8000000000000007</v>
      </c>
      <c r="U37" s="121">
        <f t="shared" si="10"/>
        <v>0</v>
      </c>
      <c r="V37" s="121">
        <f t="shared" si="11"/>
        <v>0.5</v>
      </c>
      <c r="W37" s="121">
        <f t="shared" si="12"/>
        <v>4.2</v>
      </c>
      <c r="X37" s="121">
        <f t="shared" si="13"/>
        <v>11.7</v>
      </c>
      <c r="Y37" s="121">
        <f t="shared" si="14"/>
        <v>0.7</v>
      </c>
      <c r="Z37" s="121">
        <f t="shared" si="15"/>
        <v>1.4</v>
      </c>
      <c r="AA37" s="121">
        <f t="shared" si="16"/>
        <v>6</v>
      </c>
      <c r="AB37" s="121">
        <f t="shared" si="17"/>
        <v>19</v>
      </c>
      <c r="AC37" s="121">
        <f t="shared" si="18"/>
        <v>14.200000000000001</v>
      </c>
      <c r="AD37" s="121">
        <f t="shared" si="19"/>
        <v>7.6999999999999993</v>
      </c>
      <c r="AE37" s="121">
        <f t="shared" si="20"/>
        <v>4.0999999999999996</v>
      </c>
      <c r="AF37" s="121">
        <f t="shared" si="21"/>
        <v>6</v>
      </c>
      <c r="AG37" s="121">
        <f t="shared" si="22"/>
        <v>15</v>
      </c>
      <c r="AH37" s="121">
        <f t="shared" si="23"/>
        <v>11.999999999999998</v>
      </c>
      <c r="AI37" s="121">
        <f t="shared" si="24"/>
        <v>12</v>
      </c>
      <c r="AJ37" s="124">
        <f t="shared" si="26"/>
        <v>10.724736842105301</v>
      </c>
      <c r="AK37" s="145">
        <f t="shared" si="25"/>
        <v>9.74</v>
      </c>
      <c r="AL37"/>
      <c r="AM37"/>
    </row>
    <row r="38" spans="1:39" x14ac:dyDescent="0.2">
      <c r="B38" s="68" t="s">
        <v>89</v>
      </c>
      <c r="C38" s="76">
        <v>83</v>
      </c>
      <c r="D38" s="76">
        <v>33</v>
      </c>
      <c r="K38" s="68" t="s">
        <v>89</v>
      </c>
      <c r="L38" s="122">
        <f t="shared" si="1"/>
        <v>83</v>
      </c>
      <c r="M38" s="121">
        <f t="shared" si="2"/>
        <v>112.1</v>
      </c>
      <c r="N38" s="121">
        <f t="shared" si="3"/>
        <v>75.900000000000006</v>
      </c>
      <c r="O38" s="121">
        <f t="shared" si="4"/>
        <v>95.6</v>
      </c>
      <c r="P38" s="121">
        <f t="shared" si="5"/>
        <v>75.099999999999994</v>
      </c>
      <c r="Q38" s="121">
        <f t="shared" si="6"/>
        <v>103.4</v>
      </c>
      <c r="R38" s="121">
        <f t="shared" si="7"/>
        <v>36.9</v>
      </c>
      <c r="S38" s="121">
        <f t="shared" si="8"/>
        <v>57.9</v>
      </c>
      <c r="T38" s="121">
        <f t="shared" si="9"/>
        <v>94.7</v>
      </c>
      <c r="U38" s="121">
        <f t="shared" si="10"/>
        <v>71.400000000000006</v>
      </c>
      <c r="V38" s="121">
        <f t="shared" si="11"/>
        <v>21.3</v>
      </c>
      <c r="W38" s="121">
        <f t="shared" si="12"/>
        <v>51.1</v>
      </c>
      <c r="X38" s="121">
        <f t="shared" si="13"/>
        <v>27.7</v>
      </c>
      <c r="Y38" s="121">
        <f t="shared" si="14"/>
        <v>20.399999999999999</v>
      </c>
      <c r="Z38" s="121">
        <f t="shared" si="15"/>
        <v>68.800000000000011</v>
      </c>
      <c r="AA38" s="121">
        <f t="shared" si="16"/>
        <v>51.8</v>
      </c>
      <c r="AB38" s="121">
        <f t="shared" si="17"/>
        <v>70.100000000000009</v>
      </c>
      <c r="AC38" s="121">
        <f t="shared" si="18"/>
        <v>70.8</v>
      </c>
      <c r="AD38" s="121">
        <f t="shared" si="19"/>
        <v>69.599999999999994</v>
      </c>
      <c r="AE38" s="121">
        <f t="shared" si="20"/>
        <v>53.8</v>
      </c>
      <c r="AF38" s="121">
        <f t="shared" si="21"/>
        <v>86.1</v>
      </c>
      <c r="AG38" s="121">
        <f t="shared" si="22"/>
        <v>110.40000000000002</v>
      </c>
      <c r="AH38" s="121">
        <f t="shared" si="23"/>
        <v>85.300000000000011</v>
      </c>
      <c r="AI38" s="121">
        <f t="shared" si="24"/>
        <v>37</v>
      </c>
      <c r="AJ38" s="124">
        <f t="shared" si="26"/>
        <v>67.793834586466119</v>
      </c>
      <c r="AK38" s="145">
        <f t="shared" si="25"/>
        <v>70.37</v>
      </c>
      <c r="AL38"/>
      <c r="AM38"/>
    </row>
    <row r="39" spans="1:39" x14ac:dyDescent="0.2">
      <c r="B39" s="68" t="s">
        <v>90</v>
      </c>
      <c r="C39" s="76">
        <v>281.89999999999998</v>
      </c>
      <c r="D39" s="76">
        <v>1.3</v>
      </c>
      <c r="K39" s="68" t="s">
        <v>90</v>
      </c>
      <c r="L39" s="122">
        <f t="shared" si="1"/>
        <v>281.89999999999998</v>
      </c>
      <c r="M39" s="121">
        <f t="shared" si="2"/>
        <v>280.89999999999998</v>
      </c>
      <c r="N39" s="121">
        <f t="shared" si="3"/>
        <v>237.2</v>
      </c>
      <c r="O39" s="121">
        <f t="shared" si="4"/>
        <v>193.6</v>
      </c>
      <c r="P39" s="121">
        <f t="shared" si="5"/>
        <v>248.9</v>
      </c>
      <c r="Q39" s="121">
        <f t="shared" si="6"/>
        <v>272.60000000000002</v>
      </c>
      <c r="R39" s="121">
        <f t="shared" si="7"/>
        <v>196.4</v>
      </c>
      <c r="S39" s="121">
        <f t="shared" si="8"/>
        <v>257.60000000000002</v>
      </c>
      <c r="T39" s="121">
        <f t="shared" si="9"/>
        <v>210.8</v>
      </c>
      <c r="U39" s="121">
        <f t="shared" si="10"/>
        <v>209.49999999999997</v>
      </c>
      <c r="V39" s="121">
        <f t="shared" si="11"/>
        <v>259.89999999999998</v>
      </c>
      <c r="W39" s="121">
        <f t="shared" si="12"/>
        <v>263.59999999999997</v>
      </c>
      <c r="X39" s="121">
        <f t="shared" si="13"/>
        <v>208.99999999999994</v>
      </c>
      <c r="Y39" s="121">
        <f t="shared" si="14"/>
        <v>212.19999999999996</v>
      </c>
      <c r="Z39" s="121">
        <f t="shared" si="15"/>
        <v>269.89999999999998</v>
      </c>
      <c r="AA39" s="121">
        <f t="shared" si="16"/>
        <v>131</v>
      </c>
      <c r="AB39" s="121">
        <f t="shared" si="17"/>
        <v>293.29999999999995</v>
      </c>
      <c r="AC39" s="121">
        <f t="shared" si="18"/>
        <v>290</v>
      </c>
      <c r="AD39" s="121">
        <f t="shared" si="19"/>
        <v>247.29999999999998</v>
      </c>
      <c r="AE39" s="121">
        <f t="shared" si="20"/>
        <v>234.5</v>
      </c>
      <c r="AF39" s="121">
        <f t="shared" si="21"/>
        <v>227.39999999999998</v>
      </c>
      <c r="AG39" s="121">
        <f t="shared" si="22"/>
        <v>197.7</v>
      </c>
      <c r="AH39" s="121">
        <f t="shared" si="23"/>
        <v>223.09999999999997</v>
      </c>
      <c r="AI39" s="121">
        <f t="shared" si="24"/>
        <v>252.3</v>
      </c>
      <c r="AJ39" s="124">
        <f t="shared" si="26"/>
        <v>232.18360902255642</v>
      </c>
      <c r="AK39" s="145">
        <f t="shared" si="25"/>
        <v>236.65000000000003</v>
      </c>
      <c r="AL39"/>
      <c r="AM39"/>
    </row>
    <row r="40" spans="1:39" x14ac:dyDescent="0.2">
      <c r="B40" s="68" t="s">
        <v>91</v>
      </c>
      <c r="C40" s="76">
        <v>407.9</v>
      </c>
      <c r="D40" s="76">
        <v>0</v>
      </c>
      <c r="K40" s="68" t="s">
        <v>91</v>
      </c>
      <c r="L40" s="122">
        <f t="shared" si="1"/>
        <v>407.9</v>
      </c>
      <c r="M40" s="121">
        <f t="shared" si="2"/>
        <v>414.7</v>
      </c>
      <c r="N40" s="121">
        <f t="shared" si="3"/>
        <v>345.9</v>
      </c>
      <c r="O40" s="121">
        <f t="shared" si="4"/>
        <v>481.2</v>
      </c>
      <c r="P40" s="121">
        <f t="shared" si="5"/>
        <v>531.1</v>
      </c>
      <c r="Q40" s="121">
        <f t="shared" si="6"/>
        <v>478.7</v>
      </c>
      <c r="R40" s="121">
        <f t="shared" si="7"/>
        <v>363.3</v>
      </c>
      <c r="S40" s="121">
        <f t="shared" si="8"/>
        <v>356.8</v>
      </c>
      <c r="T40" s="121">
        <f t="shared" si="9"/>
        <v>416.5</v>
      </c>
      <c r="U40" s="121">
        <f t="shared" si="10"/>
        <v>303.99999999999994</v>
      </c>
      <c r="V40" s="121">
        <f t="shared" si="11"/>
        <v>412.89999999999992</v>
      </c>
      <c r="W40" s="121">
        <f t="shared" si="12"/>
        <v>352.09999999999991</v>
      </c>
      <c r="X40" s="121">
        <f t="shared" si="13"/>
        <v>364.79999999999995</v>
      </c>
      <c r="Y40" s="121">
        <f t="shared" si="14"/>
        <v>361.1</v>
      </c>
      <c r="Z40" s="121">
        <f t="shared" si="15"/>
        <v>361.09999999999997</v>
      </c>
      <c r="AA40" s="121">
        <f t="shared" si="16"/>
        <v>438.2000000000001</v>
      </c>
      <c r="AB40" s="121">
        <f t="shared" si="17"/>
        <v>447.40000000000003</v>
      </c>
      <c r="AC40" s="121">
        <f t="shared" si="18"/>
        <v>336.4</v>
      </c>
      <c r="AD40" s="121">
        <f t="shared" si="19"/>
        <v>239.9</v>
      </c>
      <c r="AE40" s="121">
        <f t="shared" si="20"/>
        <v>320.00000000000006</v>
      </c>
      <c r="AF40" s="121">
        <f t="shared" si="21"/>
        <v>415.19999999999993</v>
      </c>
      <c r="AG40" s="121">
        <f t="shared" si="22"/>
        <v>450.90000000000003</v>
      </c>
      <c r="AH40" s="121">
        <f t="shared" si="23"/>
        <v>465.7</v>
      </c>
      <c r="AI40" s="121">
        <f t="shared" si="24"/>
        <v>337</v>
      </c>
      <c r="AJ40" s="124">
        <f t="shared" si="26"/>
        <v>359.00962406014969</v>
      </c>
      <c r="AK40" s="145">
        <f t="shared" si="25"/>
        <v>381.17999999999995</v>
      </c>
      <c r="AL40"/>
      <c r="AM40"/>
    </row>
    <row r="41" spans="1:39" x14ac:dyDescent="0.2">
      <c r="B41" s="68" t="s">
        <v>93</v>
      </c>
      <c r="C41" s="76">
        <v>563.9</v>
      </c>
      <c r="D41" s="76">
        <v>0</v>
      </c>
      <c r="K41" s="68" t="s">
        <v>93</v>
      </c>
      <c r="L41" s="122">
        <f t="shared" si="1"/>
        <v>563.9</v>
      </c>
      <c r="M41" s="121">
        <f t="shared" si="2"/>
        <v>584.4</v>
      </c>
      <c r="N41" s="121">
        <f t="shared" si="3"/>
        <v>537.1</v>
      </c>
      <c r="O41" s="121">
        <f t="shared" si="4"/>
        <v>678.6</v>
      </c>
      <c r="P41" s="121">
        <f t="shared" si="5"/>
        <v>567.6</v>
      </c>
      <c r="Q41" s="121">
        <f t="shared" si="6"/>
        <v>571.5</v>
      </c>
      <c r="R41" s="121">
        <f t="shared" si="7"/>
        <v>502.2</v>
      </c>
      <c r="S41" s="121">
        <f t="shared" si="8"/>
        <v>548.20000000000005</v>
      </c>
      <c r="T41" s="121">
        <f t="shared" si="9"/>
        <v>761.5</v>
      </c>
      <c r="U41" s="121">
        <f t="shared" si="10"/>
        <v>502.90000000000003</v>
      </c>
      <c r="V41" s="121">
        <f t="shared" si="11"/>
        <v>610.90000000000009</v>
      </c>
      <c r="W41" s="121">
        <f t="shared" si="12"/>
        <v>531.20000000000005</v>
      </c>
      <c r="X41" s="121">
        <f t="shared" si="13"/>
        <v>590.80000000000007</v>
      </c>
      <c r="Y41" s="121">
        <f t="shared" si="14"/>
        <v>651.50000000000034</v>
      </c>
      <c r="Z41" s="121">
        <f t="shared" si="15"/>
        <v>469.39999999999992</v>
      </c>
      <c r="AA41" s="121">
        <f t="shared" si="16"/>
        <v>612.80000000000007</v>
      </c>
      <c r="AB41" s="121">
        <f t="shared" si="17"/>
        <v>614.79999999999984</v>
      </c>
      <c r="AC41" s="121">
        <f t="shared" si="18"/>
        <v>612.29999999999984</v>
      </c>
      <c r="AD41" s="121">
        <f t="shared" si="19"/>
        <v>671.3</v>
      </c>
      <c r="AE41" s="121">
        <f t="shared" si="20"/>
        <v>512</v>
      </c>
      <c r="AF41" s="121">
        <f t="shared" ref="AF41" si="27">C281</f>
        <v>505.1</v>
      </c>
      <c r="AG41" s="121">
        <f t="shared" ref="AG41" si="28">C293</f>
        <v>640.80000000000007</v>
      </c>
      <c r="AH41" s="121">
        <f t="shared" ref="AH41" si="29">C305</f>
        <v>540.79999999999995</v>
      </c>
      <c r="AI41" s="121">
        <f t="shared" si="24"/>
        <v>408.99999999999989</v>
      </c>
      <c r="AJ41" s="124">
        <f t="shared" si="26"/>
        <v>545.96255639097762</v>
      </c>
      <c r="AK41" s="145">
        <f t="shared" si="25"/>
        <v>558.82999999999993</v>
      </c>
      <c r="AL41"/>
      <c r="AM41"/>
    </row>
    <row r="42" spans="1:39" x14ac:dyDescent="0.2">
      <c r="A42" s="68">
        <v>1993</v>
      </c>
      <c r="B42" s="68" t="s">
        <v>81</v>
      </c>
      <c r="C42" s="76">
        <v>621.4</v>
      </c>
      <c r="D42" s="76">
        <v>0</v>
      </c>
      <c r="L42" s="121">
        <f>SUM(L30:L41)</f>
        <v>3721.4</v>
      </c>
      <c r="M42" s="121">
        <f t="shared" ref="M42:AI42" si="30">SUM(M30:M41)</f>
        <v>3799.4</v>
      </c>
      <c r="N42" s="121">
        <f t="shared" si="30"/>
        <v>3937.9</v>
      </c>
      <c r="O42" s="121">
        <f t="shared" si="30"/>
        <v>3824.3999999999996</v>
      </c>
      <c r="P42" s="121">
        <f t="shared" si="30"/>
        <v>4030.7999999999997</v>
      </c>
      <c r="Q42" s="121">
        <f t="shared" si="30"/>
        <v>4077.1000000000004</v>
      </c>
      <c r="R42" s="121">
        <f t="shared" si="30"/>
        <v>2993.4</v>
      </c>
      <c r="S42" s="121">
        <f t="shared" si="30"/>
        <v>3287.1000000000004</v>
      </c>
      <c r="T42" s="121">
        <f t="shared" si="30"/>
        <v>3752.8000000000006</v>
      </c>
      <c r="U42" s="121">
        <f t="shared" si="30"/>
        <v>3297.5000000000005</v>
      </c>
      <c r="V42" s="121">
        <f t="shared" si="30"/>
        <v>3450.4</v>
      </c>
      <c r="W42" s="121">
        <f t="shared" si="30"/>
        <v>3738.1999999999989</v>
      </c>
      <c r="X42" s="121">
        <f t="shared" si="30"/>
        <v>3572.8999999999996</v>
      </c>
      <c r="Y42" s="121">
        <f t="shared" si="30"/>
        <v>3636.4999999999995</v>
      </c>
      <c r="Z42" s="121">
        <f t="shared" si="30"/>
        <v>3197</v>
      </c>
      <c r="AA42" s="121">
        <f t="shared" si="30"/>
        <v>3690.9000000000005</v>
      </c>
      <c r="AB42" s="121">
        <f t="shared" si="30"/>
        <v>3826.1999999999989</v>
      </c>
      <c r="AC42" s="121">
        <f t="shared" si="30"/>
        <v>3824.9999999999995</v>
      </c>
      <c r="AD42" s="121">
        <f t="shared" si="30"/>
        <v>3444</v>
      </c>
      <c r="AE42" s="121">
        <f t="shared" si="30"/>
        <v>3598.7</v>
      </c>
      <c r="AF42" s="121">
        <f t="shared" si="30"/>
        <v>3152.3999999999996</v>
      </c>
      <c r="AG42" s="121">
        <f t="shared" si="30"/>
        <v>3732.3000000000006</v>
      </c>
      <c r="AH42" s="121">
        <f t="shared" si="30"/>
        <v>4063.3999999999996</v>
      </c>
      <c r="AI42" s="121">
        <f t="shared" si="30"/>
        <v>3768.9</v>
      </c>
      <c r="AK42"/>
      <c r="AL42"/>
      <c r="AM42"/>
    </row>
    <row r="43" spans="1:39" x14ac:dyDescent="0.2">
      <c r="B43" s="68" t="s">
        <v>82</v>
      </c>
      <c r="C43" s="76">
        <v>694.2</v>
      </c>
      <c r="D43" s="76">
        <v>0</v>
      </c>
      <c r="K43" s="68" t="s">
        <v>81</v>
      </c>
      <c r="L43" s="121">
        <f>D30</f>
        <v>0</v>
      </c>
      <c r="M43" s="121">
        <f>D42</f>
        <v>0</v>
      </c>
      <c r="N43" s="121">
        <f>D54</f>
        <v>0</v>
      </c>
      <c r="O43" s="121">
        <f>D66</f>
        <v>0</v>
      </c>
      <c r="P43" s="121">
        <f>D78</f>
        <v>0</v>
      </c>
      <c r="Q43" s="121">
        <f>D90</f>
        <v>0</v>
      </c>
      <c r="R43" s="121">
        <f>D102</f>
        <v>0</v>
      </c>
      <c r="S43" s="121">
        <f>D114</f>
        <v>0</v>
      </c>
      <c r="T43" s="121">
        <f>D126</f>
        <v>0</v>
      </c>
      <c r="U43" s="121">
        <f>D138</f>
        <v>0</v>
      </c>
      <c r="V43" s="121">
        <f>D150</f>
        <v>0</v>
      </c>
      <c r="W43" s="121">
        <f>D162</f>
        <v>0</v>
      </c>
      <c r="X43" s="121">
        <f>D174</f>
        <v>0</v>
      </c>
      <c r="Y43" s="121">
        <f>D186</f>
        <v>0</v>
      </c>
      <c r="Z43" s="121">
        <f>D198</f>
        <v>0</v>
      </c>
      <c r="AA43" s="121">
        <f>D210</f>
        <v>0</v>
      </c>
      <c r="AB43" s="121">
        <f>D222</f>
        <v>0</v>
      </c>
      <c r="AC43" s="121">
        <f>D234</f>
        <v>0</v>
      </c>
      <c r="AD43" s="121">
        <f>D246</f>
        <v>0</v>
      </c>
      <c r="AE43" s="121">
        <f>D258</f>
        <v>0</v>
      </c>
      <c r="AF43" s="121">
        <f>D270</f>
        <v>0</v>
      </c>
      <c r="AG43" s="121">
        <f>D282</f>
        <v>0</v>
      </c>
      <c r="AH43" s="121">
        <f>D294</f>
        <v>0</v>
      </c>
      <c r="AI43" s="121">
        <f>D306</f>
        <v>0</v>
      </c>
      <c r="AJ43" s="124">
        <f>TREND(P43:AI43,$P$29:$AI$29,2017)</f>
        <v>0</v>
      </c>
      <c r="AK43" s="145">
        <f>AVERAGE(Z43:AI43)</f>
        <v>0</v>
      </c>
      <c r="AL43"/>
      <c r="AM43"/>
    </row>
    <row r="44" spans="1:39" x14ac:dyDescent="0.2">
      <c r="B44" s="68" t="s">
        <v>83</v>
      </c>
      <c r="C44" s="76">
        <v>597.70000000000005</v>
      </c>
      <c r="D44" s="76">
        <v>0</v>
      </c>
      <c r="K44" s="68" t="s">
        <v>82</v>
      </c>
      <c r="L44" s="121">
        <f t="shared" ref="L44:L54" si="31">D31</f>
        <v>0</v>
      </c>
      <c r="M44" s="121">
        <f t="shared" ref="M44:M54" si="32">D43</f>
        <v>0</v>
      </c>
      <c r="N44" s="121">
        <f t="shared" ref="N44:N54" si="33">D55</f>
        <v>0</v>
      </c>
      <c r="O44" s="121">
        <f t="shared" ref="O44:O54" si="34">D67</f>
        <v>0</v>
      </c>
      <c r="P44" s="121">
        <f t="shared" ref="P44:P54" si="35">D79</f>
        <v>0</v>
      </c>
      <c r="Q44" s="121">
        <f t="shared" ref="Q44:Q54" si="36">D91</f>
        <v>0</v>
      </c>
      <c r="R44" s="121">
        <f t="shared" ref="R44:R54" si="37">D103</f>
        <v>0</v>
      </c>
      <c r="S44" s="121">
        <f t="shared" ref="S44:S54" si="38">D115</f>
        <v>0</v>
      </c>
      <c r="T44" s="121">
        <f t="shared" ref="T44:T54" si="39">D127</f>
        <v>0</v>
      </c>
      <c r="U44" s="121">
        <f t="shared" ref="U44:U54" si="40">D139</f>
        <v>0</v>
      </c>
      <c r="V44" s="121">
        <f t="shared" ref="V44:V54" si="41">D151</f>
        <v>0</v>
      </c>
      <c r="W44" s="121">
        <f t="shared" ref="W44:W54" si="42">D163</f>
        <v>0</v>
      </c>
      <c r="X44" s="121">
        <f t="shared" ref="X44:X54" si="43">D175</f>
        <v>0</v>
      </c>
      <c r="Y44" s="121">
        <f t="shared" ref="Y44:Y54" si="44">D187</f>
        <v>0</v>
      </c>
      <c r="Z44" s="121">
        <f t="shared" ref="Z44:Z54" si="45">D199</f>
        <v>0</v>
      </c>
      <c r="AA44" s="121">
        <f t="shared" ref="AA44:AA54" si="46">D211</f>
        <v>0</v>
      </c>
      <c r="AB44" s="121">
        <f t="shared" ref="AB44:AB54" si="47">D223</f>
        <v>0</v>
      </c>
      <c r="AC44" s="121">
        <f t="shared" ref="AC44:AC54" si="48">D235</f>
        <v>0</v>
      </c>
      <c r="AD44" s="121">
        <f t="shared" ref="AD44:AD54" si="49">D247</f>
        <v>0</v>
      </c>
      <c r="AE44" s="121">
        <f t="shared" ref="AE44:AE54" si="50">D259</f>
        <v>0</v>
      </c>
      <c r="AF44" s="121">
        <f t="shared" ref="AF44:AF54" si="51">D271</f>
        <v>0</v>
      </c>
      <c r="AG44" s="121">
        <f t="shared" ref="AG44:AG52" si="52">D283</f>
        <v>0</v>
      </c>
      <c r="AH44" s="121">
        <f t="shared" ref="AH44:AH53" si="53">D295</f>
        <v>0</v>
      </c>
      <c r="AI44" s="121">
        <f t="shared" ref="AI44:AI54" si="54">D307</f>
        <v>0</v>
      </c>
      <c r="AJ44" s="124">
        <f>TREND(P44:AI44,$P$29:$AI$29,2017)</f>
        <v>0</v>
      </c>
      <c r="AK44" s="145">
        <f t="shared" ref="AK44:AK54" si="55">AVERAGE(Z44:AI44)</f>
        <v>0</v>
      </c>
      <c r="AL44"/>
      <c r="AM44"/>
    </row>
    <row r="45" spans="1:39" x14ac:dyDescent="0.2">
      <c r="B45" s="68" t="s">
        <v>84</v>
      </c>
      <c r="C45" s="76">
        <v>304.60000000000002</v>
      </c>
      <c r="D45" s="76">
        <v>0</v>
      </c>
      <c r="K45" s="68" t="s">
        <v>83</v>
      </c>
      <c r="L45" s="121">
        <f t="shared" si="31"/>
        <v>0</v>
      </c>
      <c r="M45" s="121">
        <f t="shared" si="32"/>
        <v>0</v>
      </c>
      <c r="N45" s="121">
        <f t="shared" si="33"/>
        <v>0</v>
      </c>
      <c r="O45" s="121">
        <f t="shared" si="34"/>
        <v>0</v>
      </c>
      <c r="P45" s="121">
        <f t="shared" si="35"/>
        <v>0</v>
      </c>
      <c r="Q45" s="121">
        <f t="shared" si="36"/>
        <v>0</v>
      </c>
      <c r="R45" s="121">
        <f t="shared" si="37"/>
        <v>0.8</v>
      </c>
      <c r="S45" s="121">
        <f t="shared" si="38"/>
        <v>0</v>
      </c>
      <c r="T45" s="121">
        <f t="shared" si="39"/>
        <v>0</v>
      </c>
      <c r="U45" s="121">
        <f t="shared" si="40"/>
        <v>0</v>
      </c>
      <c r="V45" s="121">
        <f t="shared" si="41"/>
        <v>0</v>
      </c>
      <c r="W45" s="121">
        <f t="shared" si="42"/>
        <v>0</v>
      </c>
      <c r="X45" s="121">
        <f t="shared" si="43"/>
        <v>0</v>
      </c>
      <c r="Y45" s="121">
        <f t="shared" si="44"/>
        <v>0</v>
      </c>
      <c r="Z45" s="121">
        <f t="shared" si="45"/>
        <v>0</v>
      </c>
      <c r="AA45" s="121">
        <f t="shared" si="46"/>
        <v>0</v>
      </c>
      <c r="AB45" s="121">
        <f t="shared" si="47"/>
        <v>0</v>
      </c>
      <c r="AC45" s="121">
        <f t="shared" si="48"/>
        <v>0</v>
      </c>
      <c r="AD45" s="121">
        <f t="shared" si="49"/>
        <v>0</v>
      </c>
      <c r="AE45" s="121">
        <f t="shared" si="50"/>
        <v>0</v>
      </c>
      <c r="AF45" s="121">
        <f t="shared" si="51"/>
        <v>0</v>
      </c>
      <c r="AG45" s="121">
        <f t="shared" si="52"/>
        <v>0</v>
      </c>
      <c r="AH45" s="121">
        <f t="shared" si="53"/>
        <v>0</v>
      </c>
      <c r="AI45" s="121">
        <f t="shared" si="54"/>
        <v>0</v>
      </c>
      <c r="AJ45" s="124">
        <f>TREND(P45:AI45,$P$29:$AI$29,2017)</f>
        <v>-6.3759398496241459E-2</v>
      </c>
      <c r="AK45" s="145">
        <f t="shared" si="55"/>
        <v>0</v>
      </c>
      <c r="AL45"/>
      <c r="AM45"/>
    </row>
    <row r="46" spans="1:39" x14ac:dyDescent="0.2">
      <c r="B46" s="68" t="s">
        <v>85</v>
      </c>
      <c r="C46" s="76">
        <v>144.80000000000001</v>
      </c>
      <c r="D46" s="76">
        <v>4.5999999999999996</v>
      </c>
      <c r="K46" s="68" t="s">
        <v>84</v>
      </c>
      <c r="L46" s="121">
        <f t="shared" si="31"/>
        <v>0.8</v>
      </c>
      <c r="M46" s="121">
        <f t="shared" si="32"/>
        <v>0</v>
      </c>
      <c r="N46" s="121">
        <f t="shared" si="33"/>
        <v>0</v>
      </c>
      <c r="O46" s="121">
        <f t="shared" si="34"/>
        <v>0</v>
      </c>
      <c r="P46" s="121">
        <f t="shared" si="35"/>
        <v>0</v>
      </c>
      <c r="Q46" s="121">
        <f t="shared" si="36"/>
        <v>0</v>
      </c>
      <c r="R46" s="121">
        <f t="shared" si="37"/>
        <v>0</v>
      </c>
      <c r="S46" s="121">
        <f t="shared" si="38"/>
        <v>0</v>
      </c>
      <c r="T46" s="121">
        <f t="shared" si="39"/>
        <v>0</v>
      </c>
      <c r="U46" s="121">
        <f t="shared" si="40"/>
        <v>1.8</v>
      </c>
      <c r="V46" s="121">
        <f t="shared" si="41"/>
        <v>5.0999999999999996</v>
      </c>
      <c r="W46" s="121">
        <f t="shared" si="42"/>
        <v>0</v>
      </c>
      <c r="X46" s="121">
        <f t="shared" si="43"/>
        <v>0.8</v>
      </c>
      <c r="Y46" s="121">
        <f t="shared" si="44"/>
        <v>0</v>
      </c>
      <c r="Z46" s="121">
        <f t="shared" si="45"/>
        <v>0</v>
      </c>
      <c r="AA46" s="121">
        <f t="shared" si="46"/>
        <v>0</v>
      </c>
      <c r="AB46" s="121">
        <f t="shared" si="47"/>
        <v>0</v>
      </c>
      <c r="AC46" s="121">
        <f t="shared" si="48"/>
        <v>2</v>
      </c>
      <c r="AD46" s="121">
        <f t="shared" si="49"/>
        <v>0</v>
      </c>
      <c r="AE46" s="121">
        <f t="shared" si="50"/>
        <v>0.4</v>
      </c>
      <c r="AF46" s="121">
        <f t="shared" si="51"/>
        <v>0</v>
      </c>
      <c r="AG46" s="121">
        <f t="shared" si="52"/>
        <v>0</v>
      </c>
      <c r="AH46" s="121">
        <f t="shared" si="53"/>
        <v>0</v>
      </c>
      <c r="AI46" s="121">
        <f t="shared" si="54"/>
        <v>0</v>
      </c>
      <c r="AJ46" s="124">
        <f t="shared" ref="AJ46:AJ54" si="56">TREND(P46:AI46,$P$29:$AI$29,2017)</f>
        <v>0.19458646616541841</v>
      </c>
      <c r="AK46" s="145">
        <f t="shared" si="55"/>
        <v>0.24</v>
      </c>
      <c r="AL46"/>
      <c r="AM46"/>
    </row>
    <row r="47" spans="1:39" x14ac:dyDescent="0.2">
      <c r="B47" s="68" t="s">
        <v>86</v>
      </c>
      <c r="C47" s="76">
        <v>39.5</v>
      </c>
      <c r="D47" s="76">
        <v>51.6</v>
      </c>
      <c r="K47" s="68" t="s">
        <v>85</v>
      </c>
      <c r="L47" s="121">
        <f t="shared" si="31"/>
        <v>4.0999999999999996</v>
      </c>
      <c r="M47" s="121">
        <f t="shared" si="32"/>
        <v>4.5999999999999996</v>
      </c>
      <c r="N47" s="121">
        <f t="shared" si="33"/>
        <v>2.5</v>
      </c>
      <c r="O47" s="121">
        <f t="shared" si="34"/>
        <v>0.5</v>
      </c>
      <c r="P47" s="121">
        <f t="shared" si="35"/>
        <v>9.5</v>
      </c>
      <c r="Q47" s="121">
        <f t="shared" si="36"/>
        <v>0</v>
      </c>
      <c r="R47" s="121">
        <f t="shared" si="37"/>
        <v>27.9</v>
      </c>
      <c r="S47" s="121">
        <f t="shared" si="38"/>
        <v>16.600000000000001</v>
      </c>
      <c r="T47" s="121">
        <f t="shared" si="39"/>
        <v>12.5</v>
      </c>
      <c r="U47" s="121">
        <f t="shared" si="40"/>
        <v>0.8</v>
      </c>
      <c r="V47" s="121">
        <f t="shared" si="41"/>
        <v>8.8000000000000007</v>
      </c>
      <c r="W47" s="121">
        <f t="shared" si="42"/>
        <v>0</v>
      </c>
      <c r="X47" s="121">
        <f t="shared" si="43"/>
        <v>17.100000000000001</v>
      </c>
      <c r="Y47" s="121">
        <f t="shared" si="44"/>
        <v>0</v>
      </c>
      <c r="Z47" s="121">
        <f t="shared" si="45"/>
        <v>24.3</v>
      </c>
      <c r="AA47" s="121">
        <f t="shared" si="46"/>
        <v>15.4</v>
      </c>
      <c r="AB47" s="121">
        <f t="shared" si="47"/>
        <v>0</v>
      </c>
      <c r="AC47" s="121">
        <f t="shared" si="48"/>
        <v>1.8</v>
      </c>
      <c r="AD47" s="121">
        <f t="shared" si="49"/>
        <v>27.5</v>
      </c>
      <c r="AE47" s="121">
        <f t="shared" si="50"/>
        <v>12.5</v>
      </c>
      <c r="AF47" s="121">
        <f t="shared" si="51"/>
        <v>28.9</v>
      </c>
      <c r="AG47" s="121">
        <f t="shared" si="52"/>
        <v>24.200000000000003</v>
      </c>
      <c r="AH47" s="121">
        <f t="shared" si="53"/>
        <v>7.3</v>
      </c>
      <c r="AI47" s="121">
        <f t="shared" si="54"/>
        <v>34.200000000000003</v>
      </c>
      <c r="AJ47" s="124">
        <f t="shared" si="56"/>
        <v>21.31872180451137</v>
      </c>
      <c r="AK47" s="145">
        <f t="shared" si="55"/>
        <v>17.610000000000003</v>
      </c>
      <c r="AL47"/>
      <c r="AM47"/>
    </row>
    <row r="48" spans="1:39" x14ac:dyDescent="0.2">
      <c r="B48" s="68" t="s">
        <v>87</v>
      </c>
      <c r="C48" s="76">
        <v>0</v>
      </c>
      <c r="D48" s="76">
        <v>143.80000000000001</v>
      </c>
      <c r="K48" s="68" t="s">
        <v>86</v>
      </c>
      <c r="L48" s="121">
        <f t="shared" si="31"/>
        <v>23.7</v>
      </c>
      <c r="M48" s="121">
        <f t="shared" si="32"/>
        <v>51.6</v>
      </c>
      <c r="N48" s="121">
        <f t="shared" si="33"/>
        <v>73.7</v>
      </c>
      <c r="O48" s="121">
        <f t="shared" si="34"/>
        <v>87</v>
      </c>
      <c r="P48" s="121">
        <f t="shared" si="35"/>
        <v>54.2</v>
      </c>
      <c r="Q48" s="121">
        <f t="shared" si="36"/>
        <v>37.4</v>
      </c>
      <c r="R48" s="121">
        <f t="shared" si="37"/>
        <v>85.6</v>
      </c>
      <c r="S48" s="121">
        <f t="shared" si="38"/>
        <v>99.8</v>
      </c>
      <c r="T48" s="121">
        <f t="shared" si="39"/>
        <v>53.2</v>
      </c>
      <c r="U48" s="121">
        <f t="shared" si="40"/>
        <v>71.099999999999994</v>
      </c>
      <c r="V48" s="121">
        <f t="shared" si="41"/>
        <v>74.699999999999989</v>
      </c>
      <c r="W48" s="121">
        <f t="shared" si="42"/>
        <v>35.6</v>
      </c>
      <c r="X48" s="121">
        <f t="shared" si="43"/>
        <v>41.999999999999986</v>
      </c>
      <c r="Y48" s="121">
        <f t="shared" si="44"/>
        <v>141.19999999999999</v>
      </c>
      <c r="Z48" s="121">
        <f t="shared" si="45"/>
        <v>69.899999999999977</v>
      </c>
      <c r="AA48" s="121">
        <f t="shared" si="46"/>
        <v>84.3</v>
      </c>
      <c r="AB48" s="121">
        <f t="shared" si="47"/>
        <v>61.499999999999986</v>
      </c>
      <c r="AC48" s="121">
        <f t="shared" si="48"/>
        <v>29.999999999999996</v>
      </c>
      <c r="AD48" s="121">
        <f t="shared" si="49"/>
        <v>51.300000000000011</v>
      </c>
      <c r="AE48" s="121">
        <f t="shared" si="50"/>
        <v>40.200000000000003</v>
      </c>
      <c r="AF48" s="121">
        <f t="shared" si="51"/>
        <v>58.8</v>
      </c>
      <c r="AG48" s="121">
        <f t="shared" si="52"/>
        <v>48.5</v>
      </c>
      <c r="AH48" s="121">
        <f t="shared" si="53"/>
        <v>62.800000000000004</v>
      </c>
      <c r="AI48" s="121">
        <f t="shared" si="54"/>
        <v>28.599999999999998</v>
      </c>
      <c r="AJ48" s="124">
        <f t="shared" si="56"/>
        <v>47.76007518796996</v>
      </c>
      <c r="AK48" s="145">
        <f t="shared" si="55"/>
        <v>53.589999999999996</v>
      </c>
      <c r="AL48"/>
      <c r="AM48"/>
    </row>
    <row r="49" spans="1:39" x14ac:dyDescent="0.2">
      <c r="B49" s="68" t="s">
        <v>88</v>
      </c>
      <c r="C49" s="76">
        <v>5.0999999999999996</v>
      </c>
      <c r="D49" s="76">
        <v>128.9</v>
      </c>
      <c r="K49" s="68" t="s">
        <v>87</v>
      </c>
      <c r="L49" s="121">
        <f t="shared" si="31"/>
        <v>51.2</v>
      </c>
      <c r="M49" s="121">
        <f t="shared" si="32"/>
        <v>143.80000000000001</v>
      </c>
      <c r="N49" s="121">
        <f t="shared" si="33"/>
        <v>132.5</v>
      </c>
      <c r="O49" s="121">
        <f t="shared" si="34"/>
        <v>139.6</v>
      </c>
      <c r="P49" s="121">
        <f t="shared" si="35"/>
        <v>77.5</v>
      </c>
      <c r="Q49" s="121">
        <f t="shared" si="36"/>
        <v>66.3</v>
      </c>
      <c r="R49" s="121">
        <f t="shared" si="37"/>
        <v>102.2</v>
      </c>
      <c r="S49" s="121">
        <f t="shared" si="38"/>
        <v>178.1</v>
      </c>
      <c r="T49" s="121">
        <f t="shared" si="39"/>
        <v>70.400000000000006</v>
      </c>
      <c r="U49" s="121">
        <f t="shared" si="40"/>
        <v>89.999999999999986</v>
      </c>
      <c r="V49" s="121">
        <f t="shared" si="41"/>
        <v>169.20000000000002</v>
      </c>
      <c r="W49" s="121">
        <f t="shared" si="42"/>
        <v>105.29999999999997</v>
      </c>
      <c r="X49" s="121">
        <f t="shared" si="43"/>
        <v>93.09999999999998</v>
      </c>
      <c r="Y49" s="121">
        <f t="shared" si="44"/>
        <v>190.70000000000005</v>
      </c>
      <c r="Z49" s="121">
        <f t="shared" si="45"/>
        <v>161.4</v>
      </c>
      <c r="AA49" s="121">
        <f t="shared" si="46"/>
        <v>77.499999999999986</v>
      </c>
      <c r="AB49" s="121">
        <f t="shared" si="47"/>
        <v>90.299999999999983</v>
      </c>
      <c r="AC49" s="121">
        <f t="shared" si="48"/>
        <v>33.1</v>
      </c>
      <c r="AD49" s="121">
        <f t="shared" si="49"/>
        <v>123.99999999999999</v>
      </c>
      <c r="AE49" s="121">
        <f t="shared" si="50"/>
        <v>158.6</v>
      </c>
      <c r="AF49" s="121">
        <f t="shared" si="51"/>
        <v>130.89999999999998</v>
      </c>
      <c r="AG49" s="121">
        <f t="shared" si="52"/>
        <v>117.00000000000001</v>
      </c>
      <c r="AH49" s="121">
        <f t="shared" si="53"/>
        <v>51</v>
      </c>
      <c r="AI49" s="121">
        <f t="shared" si="54"/>
        <v>79.100000000000009</v>
      </c>
      <c r="AJ49" s="124">
        <f t="shared" si="56"/>
        <v>104.40353383458648</v>
      </c>
      <c r="AK49" s="145">
        <f t="shared" si="55"/>
        <v>102.28999999999999</v>
      </c>
      <c r="AL49"/>
      <c r="AM49"/>
    </row>
    <row r="50" spans="1:39" x14ac:dyDescent="0.2">
      <c r="B50" s="68" t="s">
        <v>89</v>
      </c>
      <c r="C50" s="76">
        <v>112.1</v>
      </c>
      <c r="D50" s="76">
        <v>21.5</v>
      </c>
      <c r="K50" s="68" t="s">
        <v>88</v>
      </c>
      <c r="L50" s="121">
        <f t="shared" si="31"/>
        <v>44.7</v>
      </c>
      <c r="M50" s="121">
        <f t="shared" si="32"/>
        <v>128.9</v>
      </c>
      <c r="N50" s="121">
        <f t="shared" si="33"/>
        <v>64.099999999999994</v>
      </c>
      <c r="O50" s="121">
        <f t="shared" si="34"/>
        <v>150.5</v>
      </c>
      <c r="P50" s="121">
        <f t="shared" si="35"/>
        <v>93.7</v>
      </c>
      <c r="Q50" s="121">
        <f t="shared" si="36"/>
        <v>38</v>
      </c>
      <c r="R50" s="121">
        <f t="shared" si="37"/>
        <v>136.6</v>
      </c>
      <c r="S50" s="121">
        <f t="shared" si="38"/>
        <v>63.7</v>
      </c>
      <c r="T50" s="121">
        <f t="shared" si="39"/>
        <v>76.400000000000006</v>
      </c>
      <c r="U50" s="121">
        <f t="shared" si="40"/>
        <v>137.5</v>
      </c>
      <c r="V50" s="121">
        <f t="shared" si="41"/>
        <v>141.59999999999997</v>
      </c>
      <c r="W50" s="121">
        <f t="shared" si="42"/>
        <v>127.79999999999997</v>
      </c>
      <c r="X50" s="121">
        <f t="shared" si="43"/>
        <v>61.599999999999994</v>
      </c>
      <c r="Y50" s="121">
        <f t="shared" si="44"/>
        <v>144.1</v>
      </c>
      <c r="Z50" s="121">
        <f t="shared" si="45"/>
        <v>100.1</v>
      </c>
      <c r="AA50" s="121">
        <f t="shared" si="46"/>
        <v>106.49999999999999</v>
      </c>
      <c r="AB50" s="121">
        <f t="shared" si="47"/>
        <v>42.4</v>
      </c>
      <c r="AC50" s="121">
        <f t="shared" si="48"/>
        <v>74.199999999999974</v>
      </c>
      <c r="AD50" s="121">
        <f t="shared" si="49"/>
        <v>103.40000000000003</v>
      </c>
      <c r="AE50" s="121">
        <f t="shared" si="50"/>
        <v>88.8</v>
      </c>
      <c r="AF50" s="121">
        <f t="shared" si="51"/>
        <v>76.600000000000009</v>
      </c>
      <c r="AG50" s="121">
        <f t="shared" si="52"/>
        <v>51.900000000000006</v>
      </c>
      <c r="AH50" s="121">
        <f t="shared" si="53"/>
        <v>56.999999999999993</v>
      </c>
      <c r="AI50" s="121">
        <f t="shared" si="54"/>
        <v>59</v>
      </c>
      <c r="AJ50" s="124">
        <f t="shared" si="56"/>
        <v>68.140075187970069</v>
      </c>
      <c r="AK50" s="145">
        <f t="shared" si="55"/>
        <v>75.989999999999995</v>
      </c>
      <c r="AL50"/>
      <c r="AM50"/>
    </row>
    <row r="51" spans="1:39" x14ac:dyDescent="0.2">
      <c r="B51" s="68" t="s">
        <v>90</v>
      </c>
      <c r="C51" s="76">
        <v>280.89999999999998</v>
      </c>
      <c r="D51" s="76">
        <v>0</v>
      </c>
      <c r="K51" s="68" t="s">
        <v>89</v>
      </c>
      <c r="L51" s="121">
        <f t="shared" si="31"/>
        <v>33</v>
      </c>
      <c r="M51" s="121">
        <f t="shared" si="32"/>
        <v>21.5</v>
      </c>
      <c r="N51" s="121">
        <f t="shared" si="33"/>
        <v>18</v>
      </c>
      <c r="O51" s="121">
        <f t="shared" si="34"/>
        <v>13.9</v>
      </c>
      <c r="P51" s="121">
        <f t="shared" si="35"/>
        <v>29.2</v>
      </c>
      <c r="Q51" s="121">
        <f t="shared" si="36"/>
        <v>7.2</v>
      </c>
      <c r="R51" s="121">
        <f t="shared" si="37"/>
        <v>51.3</v>
      </c>
      <c r="S51" s="121">
        <f t="shared" si="38"/>
        <v>42.9</v>
      </c>
      <c r="T51" s="121">
        <f t="shared" si="39"/>
        <v>39.4</v>
      </c>
      <c r="U51" s="121">
        <f t="shared" si="40"/>
        <v>32.700000000000003</v>
      </c>
      <c r="V51" s="121">
        <f t="shared" si="41"/>
        <v>77.299999999999983</v>
      </c>
      <c r="W51" s="121">
        <f t="shared" si="42"/>
        <v>29.000000000000004</v>
      </c>
      <c r="X51" s="121">
        <f t="shared" si="43"/>
        <v>46.699999999999996</v>
      </c>
      <c r="Y51" s="121">
        <f t="shared" si="44"/>
        <v>49.79999999999999</v>
      </c>
      <c r="Z51" s="121">
        <f t="shared" si="45"/>
        <v>17.2</v>
      </c>
      <c r="AA51" s="121">
        <f t="shared" si="46"/>
        <v>41.800000000000004</v>
      </c>
      <c r="AB51" s="121">
        <f t="shared" si="47"/>
        <v>25.500000000000004</v>
      </c>
      <c r="AC51" s="121">
        <f t="shared" si="48"/>
        <v>12</v>
      </c>
      <c r="AD51" s="121">
        <f t="shared" si="49"/>
        <v>13.899999999999999</v>
      </c>
      <c r="AE51" s="121">
        <f t="shared" si="50"/>
        <v>24.9</v>
      </c>
      <c r="AF51" s="121">
        <f t="shared" si="51"/>
        <v>28.900000000000002</v>
      </c>
      <c r="AG51" s="121">
        <f t="shared" si="52"/>
        <v>22.9</v>
      </c>
      <c r="AH51" s="121">
        <f t="shared" si="53"/>
        <v>27.500000000000004</v>
      </c>
      <c r="AI51" s="121">
        <f t="shared" si="54"/>
        <v>54.4</v>
      </c>
      <c r="AJ51" s="124">
        <f t="shared" si="56"/>
        <v>28.23699248120306</v>
      </c>
      <c r="AK51" s="145">
        <f t="shared" si="55"/>
        <v>26.9</v>
      </c>
      <c r="AL51"/>
      <c r="AM51"/>
    </row>
    <row r="52" spans="1:39" x14ac:dyDescent="0.2">
      <c r="B52" s="68" t="s">
        <v>91</v>
      </c>
      <c r="C52" s="76">
        <v>414.7</v>
      </c>
      <c r="D52" s="76">
        <v>0</v>
      </c>
      <c r="K52" s="68" t="s">
        <v>90</v>
      </c>
      <c r="L52" s="121">
        <f t="shared" si="31"/>
        <v>1.3</v>
      </c>
      <c r="M52" s="121">
        <f t="shared" si="32"/>
        <v>0</v>
      </c>
      <c r="N52" s="121">
        <f t="shared" si="33"/>
        <v>0</v>
      </c>
      <c r="O52" s="121">
        <f t="shared" si="34"/>
        <v>0.8</v>
      </c>
      <c r="P52" s="121">
        <f t="shared" si="35"/>
        <v>0.8</v>
      </c>
      <c r="Q52" s="121">
        <f t="shared" si="36"/>
        <v>0.5</v>
      </c>
      <c r="R52" s="121">
        <f t="shared" si="37"/>
        <v>2</v>
      </c>
      <c r="S52" s="121">
        <f t="shared" si="38"/>
        <v>0</v>
      </c>
      <c r="T52" s="121">
        <f t="shared" si="39"/>
        <v>0</v>
      </c>
      <c r="U52" s="121">
        <f t="shared" si="40"/>
        <v>3.7</v>
      </c>
      <c r="V52" s="121">
        <f t="shared" si="41"/>
        <v>11.600000000000001</v>
      </c>
      <c r="W52" s="121">
        <f t="shared" si="42"/>
        <v>1</v>
      </c>
      <c r="X52" s="121">
        <f t="shared" si="43"/>
        <v>0.3</v>
      </c>
      <c r="Y52" s="121">
        <f t="shared" si="44"/>
        <v>8.6999999999999993</v>
      </c>
      <c r="Z52" s="121">
        <f t="shared" si="45"/>
        <v>0</v>
      </c>
      <c r="AA52" s="121">
        <f t="shared" si="46"/>
        <v>20.200000000000003</v>
      </c>
      <c r="AB52" s="121">
        <f t="shared" si="47"/>
        <v>0</v>
      </c>
      <c r="AC52" s="121">
        <f t="shared" si="48"/>
        <v>0</v>
      </c>
      <c r="AD52" s="121">
        <f t="shared" si="49"/>
        <v>0.1</v>
      </c>
      <c r="AE52" s="121">
        <f t="shared" si="50"/>
        <v>0</v>
      </c>
      <c r="AF52" s="121">
        <f t="shared" si="51"/>
        <v>0.8</v>
      </c>
      <c r="AG52" s="121">
        <f t="shared" si="52"/>
        <v>4.1999999999999993</v>
      </c>
      <c r="AH52" s="121">
        <f t="shared" si="53"/>
        <v>4.5</v>
      </c>
      <c r="AI52" s="121">
        <f t="shared" si="54"/>
        <v>0.9</v>
      </c>
      <c r="AJ52" s="124">
        <f t="shared" si="56"/>
        <v>3.3601503759398526</v>
      </c>
      <c r="AK52" s="145">
        <f t="shared" si="55"/>
        <v>3.0700000000000003</v>
      </c>
      <c r="AL52"/>
      <c r="AM52"/>
    </row>
    <row r="53" spans="1:39" x14ac:dyDescent="0.2">
      <c r="B53" s="68" t="s">
        <v>93</v>
      </c>
      <c r="C53" s="76">
        <v>584.4</v>
      </c>
      <c r="D53" s="76">
        <v>0</v>
      </c>
      <c r="K53" s="68" t="s">
        <v>91</v>
      </c>
      <c r="L53" s="121">
        <f t="shared" si="31"/>
        <v>0</v>
      </c>
      <c r="M53" s="121">
        <f t="shared" si="32"/>
        <v>0</v>
      </c>
      <c r="N53" s="121">
        <f t="shared" si="33"/>
        <v>0</v>
      </c>
      <c r="O53" s="121">
        <f t="shared" si="34"/>
        <v>0</v>
      </c>
      <c r="P53" s="121">
        <f t="shared" si="35"/>
        <v>0</v>
      </c>
      <c r="Q53" s="121">
        <f t="shared" si="36"/>
        <v>0</v>
      </c>
      <c r="R53" s="121">
        <f t="shared" si="37"/>
        <v>0</v>
      </c>
      <c r="S53" s="121">
        <f t="shared" si="38"/>
        <v>0</v>
      </c>
      <c r="T53" s="121">
        <f t="shared" si="39"/>
        <v>0</v>
      </c>
      <c r="U53" s="121">
        <f t="shared" si="40"/>
        <v>0</v>
      </c>
      <c r="V53" s="121">
        <f t="shared" si="41"/>
        <v>0</v>
      </c>
      <c r="W53" s="121">
        <f t="shared" si="42"/>
        <v>0</v>
      </c>
      <c r="X53" s="121">
        <f t="shared" si="43"/>
        <v>0</v>
      </c>
      <c r="Y53" s="121">
        <f t="shared" si="44"/>
        <v>0</v>
      </c>
      <c r="Z53" s="121">
        <f t="shared" si="45"/>
        <v>0</v>
      </c>
      <c r="AA53" s="121">
        <f t="shared" si="46"/>
        <v>0</v>
      </c>
      <c r="AB53" s="121">
        <f t="shared" si="47"/>
        <v>0</v>
      </c>
      <c r="AC53" s="121">
        <f t="shared" si="48"/>
        <v>0</v>
      </c>
      <c r="AD53" s="121">
        <f t="shared" si="49"/>
        <v>0</v>
      </c>
      <c r="AE53" s="121">
        <f t="shared" si="50"/>
        <v>0</v>
      </c>
      <c r="AF53" s="121">
        <f t="shared" si="51"/>
        <v>0</v>
      </c>
      <c r="AG53" s="121">
        <f>D292</f>
        <v>0</v>
      </c>
      <c r="AH53" s="121">
        <f t="shared" si="53"/>
        <v>0</v>
      </c>
      <c r="AI53" s="121">
        <f t="shared" si="54"/>
        <v>0</v>
      </c>
      <c r="AJ53" s="124">
        <f t="shared" si="56"/>
        <v>0</v>
      </c>
      <c r="AK53" s="145">
        <f t="shared" si="55"/>
        <v>0</v>
      </c>
      <c r="AL53"/>
      <c r="AM53"/>
    </row>
    <row r="54" spans="1:39" x14ac:dyDescent="0.2">
      <c r="A54" s="68">
        <v>1994</v>
      </c>
      <c r="B54" s="68" t="s">
        <v>81</v>
      </c>
      <c r="C54" s="76">
        <v>859.1</v>
      </c>
      <c r="D54" s="76">
        <v>0</v>
      </c>
      <c r="K54" s="68" t="s">
        <v>93</v>
      </c>
      <c r="L54" s="121">
        <f t="shared" si="31"/>
        <v>0</v>
      </c>
      <c r="M54" s="121">
        <f t="shared" si="32"/>
        <v>0</v>
      </c>
      <c r="N54" s="121">
        <f t="shared" si="33"/>
        <v>0</v>
      </c>
      <c r="O54" s="121">
        <f t="shared" si="34"/>
        <v>0</v>
      </c>
      <c r="P54" s="121">
        <f t="shared" si="35"/>
        <v>0</v>
      </c>
      <c r="Q54" s="121">
        <f t="shared" si="36"/>
        <v>0</v>
      </c>
      <c r="R54" s="121">
        <f t="shared" si="37"/>
        <v>0</v>
      </c>
      <c r="S54" s="121">
        <f t="shared" si="38"/>
        <v>0</v>
      </c>
      <c r="T54" s="121">
        <f t="shared" si="39"/>
        <v>0</v>
      </c>
      <c r="U54" s="121">
        <f t="shared" si="40"/>
        <v>0</v>
      </c>
      <c r="V54" s="121">
        <f t="shared" si="41"/>
        <v>0</v>
      </c>
      <c r="W54" s="121">
        <f t="shared" si="42"/>
        <v>0</v>
      </c>
      <c r="X54" s="121">
        <f t="shared" si="43"/>
        <v>0</v>
      </c>
      <c r="Y54" s="121">
        <f t="shared" si="44"/>
        <v>0</v>
      </c>
      <c r="Z54" s="121">
        <f t="shared" si="45"/>
        <v>0</v>
      </c>
      <c r="AA54" s="121">
        <f t="shared" si="46"/>
        <v>0</v>
      </c>
      <c r="AB54" s="121">
        <f t="shared" si="47"/>
        <v>0</v>
      </c>
      <c r="AC54" s="121">
        <f t="shared" si="48"/>
        <v>0</v>
      </c>
      <c r="AD54" s="121">
        <f t="shared" si="49"/>
        <v>0</v>
      </c>
      <c r="AE54" s="121">
        <f t="shared" si="50"/>
        <v>0</v>
      </c>
      <c r="AF54" s="121">
        <f t="shared" si="51"/>
        <v>0</v>
      </c>
      <c r="AG54" s="121">
        <f>D293</f>
        <v>0</v>
      </c>
      <c r="AH54" s="121">
        <f t="shared" ref="AH54" si="57">D305</f>
        <v>0</v>
      </c>
      <c r="AI54" s="121">
        <f t="shared" si="54"/>
        <v>0</v>
      </c>
      <c r="AJ54" s="124">
        <f t="shared" si="56"/>
        <v>0</v>
      </c>
      <c r="AK54" s="145">
        <f t="shared" si="55"/>
        <v>0</v>
      </c>
      <c r="AL54"/>
      <c r="AM54"/>
    </row>
    <row r="55" spans="1:39" x14ac:dyDescent="0.2">
      <c r="B55" s="68" t="s">
        <v>82</v>
      </c>
      <c r="C55" s="76">
        <v>702.7</v>
      </c>
      <c r="D55" s="76">
        <v>0</v>
      </c>
      <c r="L55" s="121">
        <f t="shared" ref="L55:AI55" si="58">SUM(L43:L54)</f>
        <v>158.80000000000001</v>
      </c>
      <c r="M55" s="121">
        <f t="shared" si="58"/>
        <v>350.4</v>
      </c>
      <c r="N55" s="121">
        <f t="shared" si="58"/>
        <v>290.79999999999995</v>
      </c>
      <c r="O55" s="121">
        <f t="shared" si="58"/>
        <v>392.3</v>
      </c>
      <c r="P55" s="121">
        <f t="shared" si="58"/>
        <v>264.89999999999998</v>
      </c>
      <c r="Q55" s="121">
        <f t="shared" si="58"/>
        <v>149.39999999999998</v>
      </c>
      <c r="R55" s="121">
        <f t="shared" si="58"/>
        <v>406.40000000000003</v>
      </c>
      <c r="S55" s="121">
        <f t="shared" si="58"/>
        <v>401.09999999999997</v>
      </c>
      <c r="T55" s="121">
        <f t="shared" si="58"/>
        <v>251.90000000000003</v>
      </c>
      <c r="U55" s="121">
        <f t="shared" si="58"/>
        <v>337.59999999999997</v>
      </c>
      <c r="V55" s="121">
        <f t="shared" si="58"/>
        <v>488.29999999999995</v>
      </c>
      <c r="W55" s="121">
        <f t="shared" si="58"/>
        <v>298.69999999999993</v>
      </c>
      <c r="X55" s="121">
        <f t="shared" si="58"/>
        <v>261.59999999999997</v>
      </c>
      <c r="Y55" s="121">
        <f t="shared" si="58"/>
        <v>534.5</v>
      </c>
      <c r="Z55" s="121">
        <f t="shared" si="58"/>
        <v>372.89999999999992</v>
      </c>
      <c r="AA55" s="121">
        <f t="shared" si="58"/>
        <v>345.7</v>
      </c>
      <c r="AB55" s="121">
        <f t="shared" si="58"/>
        <v>219.69999999999996</v>
      </c>
      <c r="AC55" s="121">
        <f t="shared" si="58"/>
        <v>153.09999999999997</v>
      </c>
      <c r="AD55" s="121">
        <f t="shared" si="58"/>
        <v>320.20000000000005</v>
      </c>
      <c r="AE55" s="121">
        <f t="shared" si="58"/>
        <v>325.39999999999998</v>
      </c>
      <c r="AF55" s="121">
        <f t="shared" si="58"/>
        <v>324.89999999999998</v>
      </c>
      <c r="AG55" s="121">
        <f t="shared" si="58"/>
        <v>268.7</v>
      </c>
      <c r="AH55" s="121">
        <f t="shared" si="58"/>
        <v>210.1</v>
      </c>
      <c r="AI55" s="121">
        <f t="shared" si="58"/>
        <v>256.2</v>
      </c>
      <c r="AK55"/>
      <c r="AL55"/>
      <c r="AM55"/>
    </row>
    <row r="56" spans="1:39" x14ac:dyDescent="0.2">
      <c r="B56" s="68" t="s">
        <v>83</v>
      </c>
      <c r="C56" s="76">
        <v>585</v>
      </c>
      <c r="D56" s="76">
        <v>0</v>
      </c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</row>
    <row r="57" spans="1:39" x14ac:dyDescent="0.2">
      <c r="B57" s="68" t="s">
        <v>84</v>
      </c>
      <c r="C57" s="76">
        <v>317.60000000000002</v>
      </c>
      <c r="D57" s="76">
        <v>0</v>
      </c>
    </row>
    <row r="58" spans="1:39" x14ac:dyDescent="0.2">
      <c r="B58" s="68" t="s">
        <v>85</v>
      </c>
      <c r="C58" s="76">
        <v>217.1</v>
      </c>
      <c r="D58" s="76">
        <v>2.5</v>
      </c>
    </row>
    <row r="59" spans="1:39" x14ac:dyDescent="0.2">
      <c r="B59" s="68" t="s">
        <v>86</v>
      </c>
      <c r="C59" s="76">
        <v>39</v>
      </c>
      <c r="D59" s="76">
        <v>73.7</v>
      </c>
    </row>
    <row r="60" spans="1:39" x14ac:dyDescent="0.2">
      <c r="B60" s="68" t="s">
        <v>87</v>
      </c>
      <c r="C60" s="76">
        <v>0.5</v>
      </c>
      <c r="D60" s="76">
        <v>132.5</v>
      </c>
    </row>
    <row r="61" spans="1:39" x14ac:dyDescent="0.2">
      <c r="B61" s="68" t="s">
        <v>88</v>
      </c>
      <c r="C61" s="76">
        <v>20.8</v>
      </c>
      <c r="D61" s="76">
        <v>64.099999999999994</v>
      </c>
    </row>
    <row r="62" spans="1:39" x14ac:dyDescent="0.2">
      <c r="B62" s="68" t="s">
        <v>89</v>
      </c>
      <c r="C62" s="76">
        <v>75.900000000000006</v>
      </c>
      <c r="D62" s="76">
        <v>18</v>
      </c>
    </row>
    <row r="63" spans="1:39" x14ac:dyDescent="0.2">
      <c r="B63" s="68" t="s">
        <v>90</v>
      </c>
      <c r="C63" s="76">
        <v>237.2</v>
      </c>
      <c r="D63" s="76">
        <v>0</v>
      </c>
    </row>
    <row r="64" spans="1:39" x14ac:dyDescent="0.2">
      <c r="B64" s="68" t="s">
        <v>91</v>
      </c>
      <c r="C64" s="76">
        <v>345.9</v>
      </c>
      <c r="D64" s="76">
        <v>0</v>
      </c>
    </row>
    <row r="65" spans="1:4" x14ac:dyDescent="0.2">
      <c r="B65" s="68" t="s">
        <v>93</v>
      </c>
      <c r="C65" s="76">
        <v>537.1</v>
      </c>
      <c r="D65" s="76">
        <v>0</v>
      </c>
    </row>
    <row r="66" spans="1:4" x14ac:dyDescent="0.2">
      <c r="A66" s="68">
        <v>1995</v>
      </c>
      <c r="B66" s="68" t="s">
        <v>81</v>
      </c>
      <c r="C66" s="76">
        <v>606.20000000000005</v>
      </c>
      <c r="D66" s="76">
        <v>0</v>
      </c>
    </row>
    <row r="67" spans="1:4" x14ac:dyDescent="0.2">
      <c r="B67" s="68" t="s">
        <v>82</v>
      </c>
      <c r="C67" s="76">
        <v>689.3</v>
      </c>
      <c r="D67" s="76">
        <v>0</v>
      </c>
    </row>
    <row r="68" spans="1:4" x14ac:dyDescent="0.2">
      <c r="B68" s="68" t="s">
        <v>83</v>
      </c>
      <c r="C68" s="76">
        <v>489.8</v>
      </c>
      <c r="D68" s="76">
        <v>0</v>
      </c>
    </row>
    <row r="69" spans="1:4" x14ac:dyDescent="0.2">
      <c r="B69" s="68" t="s">
        <v>84</v>
      </c>
      <c r="C69" s="76">
        <v>406.1</v>
      </c>
      <c r="D69" s="76">
        <v>0</v>
      </c>
    </row>
    <row r="70" spans="1:4" x14ac:dyDescent="0.2">
      <c r="B70" s="68" t="s">
        <v>85</v>
      </c>
      <c r="C70" s="76">
        <v>155.1</v>
      </c>
      <c r="D70" s="76">
        <v>0.5</v>
      </c>
    </row>
    <row r="71" spans="1:4" x14ac:dyDescent="0.2">
      <c r="B71" s="68" t="s">
        <v>86</v>
      </c>
      <c r="C71" s="76">
        <v>18.5</v>
      </c>
      <c r="D71" s="76">
        <v>87</v>
      </c>
    </row>
    <row r="72" spans="1:4" x14ac:dyDescent="0.2">
      <c r="B72" s="68" t="s">
        <v>87</v>
      </c>
      <c r="C72" s="76">
        <v>9.4</v>
      </c>
      <c r="D72" s="76">
        <v>139.6</v>
      </c>
    </row>
    <row r="73" spans="1:4" x14ac:dyDescent="0.2">
      <c r="B73" s="68" t="s">
        <v>88</v>
      </c>
      <c r="C73" s="76">
        <v>1</v>
      </c>
      <c r="D73" s="76">
        <v>150.5</v>
      </c>
    </row>
    <row r="74" spans="1:4" x14ac:dyDescent="0.2">
      <c r="B74" s="68" t="s">
        <v>89</v>
      </c>
      <c r="C74" s="76">
        <v>95.6</v>
      </c>
      <c r="D74" s="76">
        <v>13.9</v>
      </c>
    </row>
    <row r="75" spans="1:4" x14ac:dyDescent="0.2">
      <c r="B75" s="68" t="s">
        <v>90</v>
      </c>
      <c r="C75" s="76">
        <v>193.6</v>
      </c>
      <c r="D75" s="76">
        <v>0.8</v>
      </c>
    </row>
    <row r="76" spans="1:4" x14ac:dyDescent="0.2">
      <c r="B76" s="68" t="s">
        <v>91</v>
      </c>
      <c r="C76" s="76">
        <v>481.2</v>
      </c>
      <c r="D76" s="76">
        <v>0</v>
      </c>
    </row>
    <row r="77" spans="1:4" x14ac:dyDescent="0.2">
      <c r="B77" s="68" t="s">
        <v>93</v>
      </c>
      <c r="C77" s="76">
        <v>678.6</v>
      </c>
      <c r="D77" s="76">
        <v>0</v>
      </c>
    </row>
    <row r="78" spans="1:4" x14ac:dyDescent="0.2">
      <c r="A78" s="68">
        <v>1996</v>
      </c>
      <c r="B78" s="68" t="s">
        <v>81</v>
      </c>
      <c r="C78" s="76">
        <v>727.3</v>
      </c>
      <c r="D78" s="76">
        <v>0</v>
      </c>
    </row>
    <row r="79" spans="1:4" x14ac:dyDescent="0.2">
      <c r="B79" s="68" t="s">
        <v>82</v>
      </c>
      <c r="C79" s="76">
        <v>662.7</v>
      </c>
      <c r="D79" s="76">
        <v>0</v>
      </c>
    </row>
    <row r="80" spans="1:4" x14ac:dyDescent="0.2">
      <c r="B80" s="68" t="s">
        <v>83</v>
      </c>
      <c r="C80" s="76">
        <v>623</v>
      </c>
      <c r="D80" s="76">
        <v>0</v>
      </c>
    </row>
    <row r="81" spans="1:4" x14ac:dyDescent="0.2">
      <c r="B81" s="68" t="s">
        <v>84</v>
      </c>
      <c r="C81" s="76">
        <v>380.8</v>
      </c>
      <c r="D81" s="76">
        <v>0</v>
      </c>
    </row>
    <row r="82" spans="1:4" x14ac:dyDescent="0.2">
      <c r="B82" s="68" t="s">
        <v>85</v>
      </c>
      <c r="C82" s="76">
        <v>188</v>
      </c>
      <c r="D82" s="76">
        <v>9.5</v>
      </c>
    </row>
    <row r="83" spans="1:4" x14ac:dyDescent="0.2">
      <c r="B83" s="68" t="s">
        <v>86</v>
      </c>
      <c r="C83" s="76">
        <v>14.7</v>
      </c>
      <c r="D83" s="76">
        <v>54.2</v>
      </c>
    </row>
    <row r="84" spans="1:4" x14ac:dyDescent="0.2">
      <c r="B84" s="68" t="s">
        <v>87</v>
      </c>
      <c r="C84" s="76">
        <v>10.4</v>
      </c>
      <c r="D84" s="76">
        <v>77.5</v>
      </c>
    </row>
    <row r="85" spans="1:4" x14ac:dyDescent="0.2">
      <c r="B85" s="68" t="s">
        <v>88</v>
      </c>
      <c r="C85" s="76">
        <v>1.2</v>
      </c>
      <c r="D85" s="76">
        <v>93.7</v>
      </c>
    </row>
    <row r="86" spans="1:4" x14ac:dyDescent="0.2">
      <c r="B86" s="68" t="s">
        <v>89</v>
      </c>
      <c r="C86" s="76">
        <v>75.099999999999994</v>
      </c>
      <c r="D86" s="76">
        <v>29.2</v>
      </c>
    </row>
    <row r="87" spans="1:4" x14ac:dyDescent="0.2">
      <c r="B87" s="68" t="s">
        <v>90</v>
      </c>
      <c r="C87" s="76">
        <v>248.9</v>
      </c>
      <c r="D87" s="76">
        <v>0.8</v>
      </c>
    </row>
    <row r="88" spans="1:4" x14ac:dyDescent="0.2">
      <c r="B88" s="68" t="s">
        <v>91</v>
      </c>
      <c r="C88" s="76">
        <v>531.1</v>
      </c>
      <c r="D88" s="76">
        <v>0</v>
      </c>
    </row>
    <row r="89" spans="1:4" x14ac:dyDescent="0.2">
      <c r="B89" s="68" t="s">
        <v>93</v>
      </c>
      <c r="C89" s="76">
        <v>567.6</v>
      </c>
      <c r="D89" s="76">
        <v>0</v>
      </c>
    </row>
    <row r="90" spans="1:4" x14ac:dyDescent="0.2">
      <c r="A90" s="68">
        <v>1997</v>
      </c>
      <c r="B90" s="68" t="s">
        <v>81</v>
      </c>
      <c r="C90" s="76">
        <v>741.1</v>
      </c>
      <c r="D90" s="76">
        <v>0</v>
      </c>
    </row>
    <row r="91" spans="1:4" x14ac:dyDescent="0.2">
      <c r="B91" s="68" t="s">
        <v>82</v>
      </c>
      <c r="C91" s="76">
        <v>571.70000000000005</v>
      </c>
      <c r="D91" s="76">
        <v>0</v>
      </c>
    </row>
    <row r="92" spans="1:4" x14ac:dyDescent="0.2">
      <c r="B92" s="68" t="s">
        <v>83</v>
      </c>
      <c r="C92" s="76">
        <v>574.1</v>
      </c>
      <c r="D92" s="76">
        <v>0</v>
      </c>
    </row>
    <row r="93" spans="1:4" x14ac:dyDescent="0.2">
      <c r="B93" s="68" t="s">
        <v>84</v>
      </c>
      <c r="C93" s="76">
        <v>411.3</v>
      </c>
      <c r="D93" s="76">
        <v>0</v>
      </c>
    </row>
    <row r="94" spans="1:4" x14ac:dyDescent="0.2">
      <c r="B94" s="68" t="s">
        <v>85</v>
      </c>
      <c r="C94" s="76">
        <v>279.89999999999998</v>
      </c>
      <c r="D94" s="76">
        <v>0</v>
      </c>
    </row>
    <row r="95" spans="1:4" x14ac:dyDescent="0.2">
      <c r="B95" s="68" t="s">
        <v>86</v>
      </c>
      <c r="C95" s="76">
        <v>35.299999999999997</v>
      </c>
      <c r="D95" s="76">
        <v>37.4</v>
      </c>
    </row>
    <row r="96" spans="1:4" x14ac:dyDescent="0.2">
      <c r="B96" s="68" t="s">
        <v>87</v>
      </c>
      <c r="C96" s="76">
        <v>16.3</v>
      </c>
      <c r="D96" s="76">
        <v>66.3</v>
      </c>
    </row>
    <row r="97" spans="1:5" x14ac:dyDescent="0.2">
      <c r="B97" s="68" t="s">
        <v>88</v>
      </c>
      <c r="C97" s="76">
        <v>21.2</v>
      </c>
      <c r="D97" s="76">
        <v>38</v>
      </c>
    </row>
    <row r="98" spans="1:5" x14ac:dyDescent="0.2">
      <c r="B98" s="68" t="s">
        <v>89</v>
      </c>
      <c r="C98" s="76">
        <v>103.4</v>
      </c>
      <c r="D98" s="76">
        <v>7.2</v>
      </c>
    </row>
    <row r="99" spans="1:5" x14ac:dyDescent="0.2">
      <c r="B99" s="68" t="s">
        <v>90</v>
      </c>
      <c r="C99" s="76">
        <v>272.60000000000002</v>
      </c>
      <c r="D99" s="76">
        <v>0.5</v>
      </c>
    </row>
    <row r="100" spans="1:5" x14ac:dyDescent="0.2">
      <c r="B100" s="68" t="s">
        <v>91</v>
      </c>
      <c r="C100" s="76">
        <v>478.7</v>
      </c>
      <c r="D100" s="76">
        <v>0</v>
      </c>
    </row>
    <row r="101" spans="1:5" x14ac:dyDescent="0.2">
      <c r="B101" s="68" t="s">
        <v>93</v>
      </c>
      <c r="C101" s="76">
        <v>571.5</v>
      </c>
      <c r="D101" s="76">
        <v>0</v>
      </c>
    </row>
    <row r="102" spans="1:5" x14ac:dyDescent="0.2">
      <c r="A102" s="68">
        <v>1998</v>
      </c>
      <c r="B102" s="68" t="s">
        <v>81</v>
      </c>
      <c r="C102" s="76">
        <v>576.6</v>
      </c>
      <c r="D102" s="76">
        <v>0</v>
      </c>
    </row>
    <row r="103" spans="1:5" x14ac:dyDescent="0.2">
      <c r="B103" s="68" t="s">
        <v>82</v>
      </c>
      <c r="C103" s="76">
        <v>469.6</v>
      </c>
      <c r="D103" s="76">
        <v>0</v>
      </c>
      <c r="E103" s="72"/>
    </row>
    <row r="104" spans="1:5" x14ac:dyDescent="0.2">
      <c r="B104" s="68" t="s">
        <v>83</v>
      </c>
      <c r="C104" s="76">
        <v>462.6</v>
      </c>
      <c r="D104" s="76">
        <v>0.8</v>
      </c>
    </row>
    <row r="105" spans="1:5" x14ac:dyDescent="0.2">
      <c r="B105" s="68" t="s">
        <v>84</v>
      </c>
      <c r="C105" s="76">
        <v>272.60000000000002</v>
      </c>
      <c r="D105" s="76">
        <v>0</v>
      </c>
    </row>
    <row r="106" spans="1:5" x14ac:dyDescent="0.2">
      <c r="B106" s="68" t="s">
        <v>85</v>
      </c>
      <c r="C106" s="76">
        <v>51.3</v>
      </c>
      <c r="D106" s="76">
        <v>27.9</v>
      </c>
    </row>
    <row r="107" spans="1:5" x14ac:dyDescent="0.2">
      <c r="B107" s="68" t="s">
        <v>86</v>
      </c>
      <c r="C107" s="76">
        <v>57.7</v>
      </c>
      <c r="D107" s="76">
        <v>85.6</v>
      </c>
    </row>
    <row r="108" spans="1:5" x14ac:dyDescent="0.2">
      <c r="B108" s="68" t="s">
        <v>87</v>
      </c>
      <c r="C108" s="76">
        <v>0.2</v>
      </c>
      <c r="D108" s="76">
        <v>102.2</v>
      </c>
    </row>
    <row r="109" spans="1:5" x14ac:dyDescent="0.2">
      <c r="B109" s="68" t="s">
        <v>88</v>
      </c>
      <c r="C109" s="76">
        <v>4</v>
      </c>
      <c r="D109" s="76">
        <v>136.6</v>
      </c>
    </row>
    <row r="110" spans="1:5" x14ac:dyDescent="0.2">
      <c r="B110" s="68" t="s">
        <v>89</v>
      </c>
      <c r="C110" s="76">
        <v>36.9</v>
      </c>
      <c r="D110" s="76">
        <v>51.3</v>
      </c>
    </row>
    <row r="111" spans="1:5" x14ac:dyDescent="0.2">
      <c r="B111" s="68" t="s">
        <v>90</v>
      </c>
      <c r="C111" s="76">
        <v>196.4</v>
      </c>
      <c r="D111" s="76">
        <v>2</v>
      </c>
    </row>
    <row r="112" spans="1:5" x14ac:dyDescent="0.2">
      <c r="B112" s="68" t="s">
        <v>91</v>
      </c>
      <c r="C112" s="76">
        <v>363.3</v>
      </c>
      <c r="D112" s="76">
        <v>0</v>
      </c>
    </row>
    <row r="113" spans="1:7" x14ac:dyDescent="0.2">
      <c r="B113" s="68" t="s">
        <v>93</v>
      </c>
      <c r="C113" s="76">
        <v>502.2</v>
      </c>
      <c r="D113" s="76">
        <v>0</v>
      </c>
    </row>
    <row r="114" spans="1:7" x14ac:dyDescent="0.2">
      <c r="A114" s="68">
        <v>1999</v>
      </c>
      <c r="B114" s="68" t="s">
        <v>81</v>
      </c>
      <c r="C114" s="76">
        <v>627.6</v>
      </c>
      <c r="D114" s="76">
        <v>0</v>
      </c>
    </row>
    <row r="115" spans="1:7" x14ac:dyDescent="0.2">
      <c r="B115" s="68" t="s">
        <v>82</v>
      </c>
      <c r="C115" s="76">
        <v>512.9</v>
      </c>
      <c r="D115" s="76">
        <v>0</v>
      </c>
    </row>
    <row r="116" spans="1:7" x14ac:dyDescent="0.2">
      <c r="B116" s="68" t="s">
        <v>83</v>
      </c>
      <c r="C116" s="76">
        <v>516.4</v>
      </c>
      <c r="D116" s="76">
        <v>0</v>
      </c>
    </row>
    <row r="117" spans="1:7" x14ac:dyDescent="0.2">
      <c r="B117" s="68" t="s">
        <v>84</v>
      </c>
      <c r="C117" s="76">
        <v>284</v>
      </c>
      <c r="D117" s="76">
        <v>0</v>
      </c>
    </row>
    <row r="118" spans="1:7" x14ac:dyDescent="0.2">
      <c r="B118" s="68" t="s">
        <v>85</v>
      </c>
      <c r="C118" s="76">
        <v>87.4</v>
      </c>
      <c r="D118" s="76">
        <v>16.600000000000001</v>
      </c>
    </row>
    <row r="119" spans="1:7" x14ac:dyDescent="0.2">
      <c r="B119" s="68" t="s">
        <v>86</v>
      </c>
      <c r="C119" s="76">
        <v>25.6</v>
      </c>
      <c r="D119" s="76">
        <v>99.8</v>
      </c>
    </row>
    <row r="120" spans="1:7" x14ac:dyDescent="0.2">
      <c r="B120" s="68" t="s">
        <v>87</v>
      </c>
      <c r="C120" s="76">
        <v>1.2</v>
      </c>
      <c r="D120" s="76">
        <v>178.1</v>
      </c>
    </row>
    <row r="121" spans="1:7" x14ac:dyDescent="0.2">
      <c r="B121" s="68" t="s">
        <v>88</v>
      </c>
      <c r="C121" s="76">
        <v>11.5</v>
      </c>
      <c r="D121" s="76">
        <v>63.7</v>
      </c>
    </row>
    <row r="122" spans="1:7" x14ac:dyDescent="0.2">
      <c r="B122" s="68" t="s">
        <v>89</v>
      </c>
      <c r="C122" s="76">
        <v>57.9</v>
      </c>
      <c r="D122" s="76">
        <v>42.9</v>
      </c>
    </row>
    <row r="123" spans="1:7" x14ac:dyDescent="0.2">
      <c r="B123" s="68" t="s">
        <v>90</v>
      </c>
      <c r="C123" s="76">
        <v>257.60000000000002</v>
      </c>
      <c r="D123" s="76">
        <v>0</v>
      </c>
    </row>
    <row r="124" spans="1:7" x14ac:dyDescent="0.2">
      <c r="B124" s="68" t="s">
        <v>91</v>
      </c>
      <c r="C124" s="76">
        <v>356.8</v>
      </c>
      <c r="D124" s="76">
        <v>0</v>
      </c>
    </row>
    <row r="125" spans="1:7" x14ac:dyDescent="0.2">
      <c r="B125" s="68" t="s">
        <v>93</v>
      </c>
      <c r="C125" s="76">
        <v>548.20000000000005</v>
      </c>
      <c r="D125" s="76">
        <v>0</v>
      </c>
    </row>
    <row r="126" spans="1:7" x14ac:dyDescent="0.2">
      <c r="A126" s="68">
        <v>2000</v>
      </c>
      <c r="B126" s="68" t="s">
        <v>81</v>
      </c>
      <c r="C126" s="76">
        <v>701.1</v>
      </c>
      <c r="D126" s="76">
        <v>0</v>
      </c>
      <c r="G126" s="78"/>
    </row>
    <row r="127" spans="1:7" x14ac:dyDescent="0.2">
      <c r="B127" s="68" t="s">
        <v>82</v>
      </c>
      <c r="C127" s="76">
        <v>609.79999999999995</v>
      </c>
      <c r="D127" s="76">
        <v>0</v>
      </c>
    </row>
    <row r="128" spans="1:7" x14ac:dyDescent="0.2">
      <c r="B128" s="68" t="s">
        <v>83</v>
      </c>
      <c r="C128" s="76">
        <v>439.4</v>
      </c>
      <c r="D128" s="76">
        <v>0</v>
      </c>
    </row>
    <row r="129" spans="1:8" x14ac:dyDescent="0.2">
      <c r="B129" s="68" t="s">
        <v>84</v>
      </c>
      <c r="C129" s="76">
        <v>334.7</v>
      </c>
      <c r="D129" s="76">
        <v>0</v>
      </c>
    </row>
    <row r="130" spans="1:8" x14ac:dyDescent="0.2">
      <c r="B130" s="68" t="s">
        <v>85</v>
      </c>
      <c r="C130" s="76">
        <v>129.80000000000001</v>
      </c>
      <c r="D130" s="76">
        <v>12.5</v>
      </c>
    </row>
    <row r="131" spans="1:8" x14ac:dyDescent="0.2">
      <c r="B131" s="68" t="s">
        <v>86</v>
      </c>
      <c r="C131" s="76">
        <v>35.799999999999997</v>
      </c>
      <c r="D131" s="76">
        <v>53.2</v>
      </c>
    </row>
    <row r="132" spans="1:8" x14ac:dyDescent="0.2">
      <c r="B132" s="68" t="s">
        <v>87</v>
      </c>
      <c r="C132" s="76">
        <v>8.9</v>
      </c>
      <c r="D132" s="76">
        <v>70.400000000000006</v>
      </c>
    </row>
    <row r="133" spans="1:8" x14ac:dyDescent="0.2">
      <c r="B133" s="68" t="s">
        <v>88</v>
      </c>
      <c r="C133" s="76">
        <v>9.8000000000000007</v>
      </c>
      <c r="D133" s="76">
        <v>76.400000000000006</v>
      </c>
    </row>
    <row r="134" spans="1:8" x14ac:dyDescent="0.2">
      <c r="B134" s="68" t="s">
        <v>89</v>
      </c>
      <c r="C134" s="76">
        <v>94.7</v>
      </c>
      <c r="D134" s="76">
        <v>39.4</v>
      </c>
    </row>
    <row r="135" spans="1:8" x14ac:dyDescent="0.2">
      <c r="B135" s="68" t="s">
        <v>90</v>
      </c>
      <c r="C135" s="76">
        <v>210.8</v>
      </c>
      <c r="D135" s="76">
        <v>0</v>
      </c>
    </row>
    <row r="136" spans="1:8" x14ac:dyDescent="0.2">
      <c r="B136" s="68" t="s">
        <v>91</v>
      </c>
      <c r="C136" s="76">
        <v>416.5</v>
      </c>
      <c r="D136" s="76">
        <v>0</v>
      </c>
    </row>
    <row r="137" spans="1:8" x14ac:dyDescent="0.2">
      <c r="B137" s="68" t="s">
        <v>93</v>
      </c>
      <c r="C137" s="76">
        <v>761.5</v>
      </c>
      <c r="D137" s="76">
        <v>0</v>
      </c>
    </row>
    <row r="138" spans="1:8" x14ac:dyDescent="0.2">
      <c r="A138" s="68">
        <v>2001</v>
      </c>
      <c r="B138" s="68" t="s">
        <v>81</v>
      </c>
      <c r="C138" s="76">
        <v>645.19999999999993</v>
      </c>
      <c r="D138" s="76">
        <v>0</v>
      </c>
      <c r="G138" s="78"/>
      <c r="H138" s="78"/>
    </row>
    <row r="139" spans="1:8" x14ac:dyDescent="0.2">
      <c r="B139" s="68" t="s">
        <v>82</v>
      </c>
      <c r="C139" s="76">
        <v>558.29999999999995</v>
      </c>
      <c r="D139" s="76">
        <v>0</v>
      </c>
    </row>
    <row r="140" spans="1:8" x14ac:dyDescent="0.2">
      <c r="B140" s="68" t="s">
        <v>83</v>
      </c>
      <c r="C140" s="76">
        <v>561.60000000000014</v>
      </c>
      <c r="D140" s="76">
        <v>0</v>
      </c>
    </row>
    <row r="141" spans="1:8" x14ac:dyDescent="0.2">
      <c r="B141" s="68" t="s">
        <v>84</v>
      </c>
      <c r="C141" s="76">
        <v>278.09999999999991</v>
      </c>
      <c r="D141" s="76">
        <v>1.8</v>
      </c>
    </row>
    <row r="142" spans="1:8" x14ac:dyDescent="0.2">
      <c r="B142" s="68" t="s">
        <v>85</v>
      </c>
      <c r="C142" s="76">
        <v>119.50000000000001</v>
      </c>
      <c r="D142" s="76">
        <v>0.8</v>
      </c>
    </row>
    <row r="143" spans="1:8" x14ac:dyDescent="0.2">
      <c r="B143" s="68" t="s">
        <v>86</v>
      </c>
      <c r="C143" s="76">
        <v>35.6</v>
      </c>
      <c r="D143" s="76">
        <v>71.099999999999994</v>
      </c>
    </row>
    <row r="144" spans="1:8" x14ac:dyDescent="0.2">
      <c r="B144" s="68" t="s">
        <v>87</v>
      </c>
      <c r="C144" s="76">
        <v>11.399999999999999</v>
      </c>
      <c r="D144" s="76">
        <v>89.999999999999986</v>
      </c>
    </row>
    <row r="145" spans="1:11" x14ac:dyDescent="0.2">
      <c r="B145" s="68" t="s">
        <v>88</v>
      </c>
      <c r="C145" s="76">
        <v>0</v>
      </c>
      <c r="D145" s="76">
        <v>137.5</v>
      </c>
    </row>
    <row r="146" spans="1:11" x14ac:dyDescent="0.2">
      <c r="B146" s="68" t="s">
        <v>89</v>
      </c>
      <c r="C146" s="76">
        <v>71.400000000000006</v>
      </c>
      <c r="D146" s="76">
        <v>32.700000000000003</v>
      </c>
    </row>
    <row r="147" spans="1:11" x14ac:dyDescent="0.2">
      <c r="B147" s="68" t="s">
        <v>90</v>
      </c>
      <c r="C147" s="76">
        <v>209.49999999999997</v>
      </c>
      <c r="D147" s="76">
        <v>3.7</v>
      </c>
    </row>
    <row r="148" spans="1:11" x14ac:dyDescent="0.2">
      <c r="B148" s="68" t="s">
        <v>91</v>
      </c>
      <c r="C148" s="76">
        <v>303.99999999999994</v>
      </c>
      <c r="D148" s="76">
        <v>0</v>
      </c>
    </row>
    <row r="149" spans="1:11" x14ac:dyDescent="0.2">
      <c r="B149" s="68" t="s">
        <v>93</v>
      </c>
      <c r="C149" s="76">
        <v>502.90000000000003</v>
      </c>
      <c r="D149" s="76">
        <v>0</v>
      </c>
      <c r="J149" s="68">
        <f>SUM(G138:G149)</f>
        <v>0</v>
      </c>
      <c r="K149" s="68">
        <f>SUM(H138:H149)</f>
        <v>0</v>
      </c>
    </row>
    <row r="150" spans="1:11" x14ac:dyDescent="0.2">
      <c r="A150" s="68">
        <v>2002</v>
      </c>
      <c r="B150" s="68" t="s">
        <v>81</v>
      </c>
      <c r="C150" s="76">
        <v>558.79999999999984</v>
      </c>
      <c r="D150" s="76">
        <v>0</v>
      </c>
      <c r="G150" s="78"/>
      <c r="H150" s="78"/>
    </row>
    <row r="151" spans="1:11" x14ac:dyDescent="0.2">
      <c r="B151" s="68" t="s">
        <v>82</v>
      </c>
      <c r="C151" s="76">
        <v>518.9</v>
      </c>
      <c r="D151" s="76">
        <v>0</v>
      </c>
    </row>
    <row r="152" spans="1:11" x14ac:dyDescent="0.2">
      <c r="B152" s="68" t="s">
        <v>83</v>
      </c>
      <c r="C152" s="76">
        <v>512.29999999999995</v>
      </c>
      <c r="D152" s="76">
        <v>0</v>
      </c>
    </row>
    <row r="153" spans="1:11" x14ac:dyDescent="0.2">
      <c r="B153" s="68" t="s">
        <v>84</v>
      </c>
      <c r="C153" s="76">
        <v>306.79999999999995</v>
      </c>
      <c r="D153" s="76">
        <v>5.0999999999999996</v>
      </c>
    </row>
    <row r="154" spans="1:11" x14ac:dyDescent="0.2">
      <c r="B154" s="68" t="s">
        <v>85</v>
      </c>
      <c r="C154" s="76">
        <v>220.39999999999998</v>
      </c>
      <c r="D154" s="76">
        <v>8.8000000000000007</v>
      </c>
    </row>
    <row r="155" spans="1:11" x14ac:dyDescent="0.2">
      <c r="B155" s="68" t="s">
        <v>86</v>
      </c>
      <c r="C155" s="76">
        <v>26.999999999999996</v>
      </c>
      <c r="D155" s="76">
        <v>74.699999999999989</v>
      </c>
    </row>
    <row r="156" spans="1:11" x14ac:dyDescent="0.2">
      <c r="B156" s="68" t="s">
        <v>87</v>
      </c>
      <c r="C156" s="76">
        <v>0.7</v>
      </c>
      <c r="D156" s="76">
        <v>169.20000000000002</v>
      </c>
    </row>
    <row r="157" spans="1:11" x14ac:dyDescent="0.2">
      <c r="B157" s="68" t="s">
        <v>88</v>
      </c>
      <c r="C157" s="76">
        <v>0.5</v>
      </c>
      <c r="D157" s="76">
        <v>141.59999999999997</v>
      </c>
    </row>
    <row r="158" spans="1:11" x14ac:dyDescent="0.2">
      <c r="B158" s="68" t="s">
        <v>89</v>
      </c>
      <c r="C158" s="76">
        <v>21.3</v>
      </c>
      <c r="D158" s="76">
        <v>77.299999999999983</v>
      </c>
    </row>
    <row r="159" spans="1:11" x14ac:dyDescent="0.2">
      <c r="B159" s="68" t="s">
        <v>90</v>
      </c>
      <c r="C159" s="76">
        <v>259.89999999999998</v>
      </c>
      <c r="D159" s="76">
        <v>11.600000000000001</v>
      </c>
    </row>
    <row r="160" spans="1:11" x14ac:dyDescent="0.2">
      <c r="B160" s="68" t="s">
        <v>91</v>
      </c>
      <c r="C160" s="76">
        <v>412.89999999999992</v>
      </c>
      <c r="D160" s="76">
        <v>0</v>
      </c>
    </row>
    <row r="161" spans="1:11" x14ac:dyDescent="0.2">
      <c r="B161" s="68" t="s">
        <v>93</v>
      </c>
      <c r="C161" s="76">
        <v>610.90000000000009</v>
      </c>
      <c r="D161" s="76">
        <v>0</v>
      </c>
      <c r="J161" s="68">
        <f>SUM(G150:G161)</f>
        <v>0</v>
      </c>
      <c r="K161" s="68">
        <f>SUM(H150:H161)</f>
        <v>0</v>
      </c>
    </row>
    <row r="162" spans="1:11" x14ac:dyDescent="0.2">
      <c r="A162" s="68">
        <v>2003</v>
      </c>
      <c r="B162" s="68" t="s">
        <v>81</v>
      </c>
      <c r="C162" s="76">
        <v>781.49999999999977</v>
      </c>
      <c r="D162" s="76">
        <v>0</v>
      </c>
      <c r="G162" s="78"/>
      <c r="H162" s="78"/>
    </row>
    <row r="163" spans="1:11" x14ac:dyDescent="0.2">
      <c r="B163" s="68" t="s">
        <v>82</v>
      </c>
      <c r="C163" s="76">
        <v>681.19999999999993</v>
      </c>
      <c r="D163" s="76">
        <v>0</v>
      </c>
    </row>
    <row r="164" spans="1:11" x14ac:dyDescent="0.2">
      <c r="B164" s="68" t="s">
        <v>83</v>
      </c>
      <c r="C164" s="76">
        <v>529.79999999999995</v>
      </c>
      <c r="D164" s="76">
        <v>0</v>
      </c>
    </row>
    <row r="165" spans="1:11" x14ac:dyDescent="0.2">
      <c r="B165" s="68" t="s">
        <v>84</v>
      </c>
      <c r="C165" s="76">
        <v>360.39999999999992</v>
      </c>
      <c r="D165" s="76">
        <v>0</v>
      </c>
    </row>
    <row r="166" spans="1:11" x14ac:dyDescent="0.2">
      <c r="B166" s="68" t="s">
        <v>85</v>
      </c>
      <c r="C166" s="76">
        <v>149.20000000000002</v>
      </c>
      <c r="D166" s="76">
        <v>0</v>
      </c>
    </row>
    <row r="167" spans="1:11" x14ac:dyDescent="0.2">
      <c r="B167" s="68" t="s">
        <v>86</v>
      </c>
      <c r="C167" s="76">
        <v>33.199999999999996</v>
      </c>
      <c r="D167" s="76">
        <v>35.6</v>
      </c>
    </row>
    <row r="168" spans="1:11" x14ac:dyDescent="0.2">
      <c r="B168" s="68" t="s">
        <v>87</v>
      </c>
      <c r="C168" s="76">
        <v>0.7</v>
      </c>
      <c r="D168" s="76">
        <v>105.29999999999997</v>
      </c>
    </row>
    <row r="169" spans="1:11" x14ac:dyDescent="0.2">
      <c r="B169" s="68" t="s">
        <v>88</v>
      </c>
      <c r="C169" s="76">
        <v>4.2</v>
      </c>
      <c r="D169" s="76">
        <v>127.79999999999997</v>
      </c>
    </row>
    <row r="170" spans="1:11" x14ac:dyDescent="0.2">
      <c r="B170" s="68" t="s">
        <v>89</v>
      </c>
      <c r="C170" s="76">
        <v>51.1</v>
      </c>
      <c r="D170" s="76">
        <v>29.000000000000004</v>
      </c>
    </row>
    <row r="171" spans="1:11" x14ac:dyDescent="0.2">
      <c r="B171" s="68" t="s">
        <v>90</v>
      </c>
      <c r="C171" s="76">
        <v>263.59999999999997</v>
      </c>
      <c r="D171" s="76">
        <v>1</v>
      </c>
    </row>
    <row r="172" spans="1:11" x14ac:dyDescent="0.2">
      <c r="B172" s="68" t="s">
        <v>91</v>
      </c>
      <c r="C172" s="76">
        <v>352.09999999999991</v>
      </c>
      <c r="D172" s="76">
        <v>0</v>
      </c>
    </row>
    <row r="173" spans="1:11" x14ac:dyDescent="0.2">
      <c r="B173" s="68" t="s">
        <v>93</v>
      </c>
      <c r="C173" s="76">
        <v>531.20000000000005</v>
      </c>
      <c r="D173" s="76">
        <v>0</v>
      </c>
      <c r="J173" s="68">
        <f>SUM(G162:G173)</f>
        <v>0</v>
      </c>
      <c r="K173" s="68">
        <f>SUM(H162:H173)</f>
        <v>0</v>
      </c>
    </row>
    <row r="174" spans="1:11" x14ac:dyDescent="0.2">
      <c r="A174" s="68">
        <v>2004</v>
      </c>
      <c r="B174" s="68" t="s">
        <v>81</v>
      </c>
      <c r="C174" s="76">
        <v>805.39999999999986</v>
      </c>
      <c r="D174" s="76">
        <v>0</v>
      </c>
      <c r="G174" s="78"/>
      <c r="H174" s="78"/>
    </row>
    <row r="175" spans="1:11" x14ac:dyDescent="0.2">
      <c r="B175" s="68" t="s">
        <v>82</v>
      </c>
      <c r="C175" s="76">
        <v>616.79999999999995</v>
      </c>
      <c r="D175" s="76">
        <v>0</v>
      </c>
    </row>
    <row r="176" spans="1:11" x14ac:dyDescent="0.2">
      <c r="B176" s="68" t="s">
        <v>83</v>
      </c>
      <c r="C176" s="76">
        <v>478.59999999999997</v>
      </c>
      <c r="D176" s="76">
        <v>0</v>
      </c>
    </row>
    <row r="177" spans="1:11" x14ac:dyDescent="0.2">
      <c r="B177" s="68" t="s">
        <v>84</v>
      </c>
      <c r="C177" s="76">
        <v>302.89999999999992</v>
      </c>
      <c r="D177" s="76">
        <v>0.8</v>
      </c>
    </row>
    <row r="178" spans="1:11" x14ac:dyDescent="0.2">
      <c r="B178" s="68" t="s">
        <v>85</v>
      </c>
      <c r="C178" s="76">
        <v>117.30000000000003</v>
      </c>
      <c r="D178" s="76">
        <v>17.100000000000001</v>
      </c>
    </row>
    <row r="179" spans="1:11" x14ac:dyDescent="0.2">
      <c r="B179" s="68" t="s">
        <v>86</v>
      </c>
      <c r="C179" s="76">
        <v>47</v>
      </c>
      <c r="D179" s="76">
        <v>41.999999999999986</v>
      </c>
    </row>
    <row r="180" spans="1:11" x14ac:dyDescent="0.2">
      <c r="B180" s="68" t="s">
        <v>87</v>
      </c>
      <c r="C180" s="76">
        <v>0.89999999999999991</v>
      </c>
      <c r="D180" s="76">
        <v>93.09999999999998</v>
      </c>
    </row>
    <row r="181" spans="1:11" x14ac:dyDescent="0.2">
      <c r="B181" s="68" t="s">
        <v>88</v>
      </c>
      <c r="C181" s="76">
        <v>11.7</v>
      </c>
      <c r="D181" s="76">
        <v>61.599999999999994</v>
      </c>
    </row>
    <row r="182" spans="1:11" x14ac:dyDescent="0.2">
      <c r="B182" s="68" t="s">
        <v>89</v>
      </c>
      <c r="C182" s="76">
        <v>27.7</v>
      </c>
      <c r="D182" s="76">
        <v>46.699999999999996</v>
      </c>
    </row>
    <row r="183" spans="1:11" x14ac:dyDescent="0.2">
      <c r="B183" s="68" t="s">
        <v>90</v>
      </c>
      <c r="C183" s="76">
        <v>208.99999999999994</v>
      </c>
      <c r="D183" s="76">
        <v>0.3</v>
      </c>
    </row>
    <row r="184" spans="1:11" x14ac:dyDescent="0.2">
      <c r="B184" s="68" t="s">
        <v>91</v>
      </c>
      <c r="C184" s="76">
        <v>364.79999999999995</v>
      </c>
      <c r="D184" s="76">
        <v>0</v>
      </c>
    </row>
    <row r="185" spans="1:11" x14ac:dyDescent="0.2">
      <c r="B185" s="68" t="s">
        <v>93</v>
      </c>
      <c r="C185" s="76">
        <v>590.80000000000007</v>
      </c>
      <c r="D185" s="76">
        <v>0</v>
      </c>
      <c r="J185" s="68">
        <f>SUM(G174:G185)</f>
        <v>0</v>
      </c>
      <c r="K185" s="68">
        <f>SUM(H174:H185)</f>
        <v>0</v>
      </c>
    </row>
    <row r="186" spans="1:11" x14ac:dyDescent="0.2">
      <c r="A186" s="68">
        <v>2005</v>
      </c>
      <c r="B186" s="68" t="s">
        <v>81</v>
      </c>
      <c r="C186" s="76">
        <v>716.69999999999982</v>
      </c>
      <c r="D186" s="76">
        <v>0</v>
      </c>
      <c r="G186" s="78"/>
      <c r="H186" s="78"/>
    </row>
    <row r="187" spans="1:11" x14ac:dyDescent="0.2">
      <c r="B187" s="68" t="s">
        <v>82</v>
      </c>
      <c r="C187" s="76">
        <v>594.69999999999993</v>
      </c>
      <c r="D187" s="76">
        <v>0</v>
      </c>
    </row>
    <row r="188" spans="1:11" x14ac:dyDescent="0.2">
      <c r="B188" s="68" t="s">
        <v>83</v>
      </c>
      <c r="C188" s="76">
        <v>591.40000000000009</v>
      </c>
      <c r="D188" s="76">
        <v>0</v>
      </c>
    </row>
    <row r="189" spans="1:11" x14ac:dyDescent="0.2">
      <c r="B189" s="68" t="s">
        <v>84</v>
      </c>
      <c r="C189" s="76">
        <v>303.49999999999989</v>
      </c>
      <c r="D189" s="76">
        <v>0</v>
      </c>
    </row>
    <row r="190" spans="1:11" x14ac:dyDescent="0.2">
      <c r="B190" s="68" t="s">
        <v>85</v>
      </c>
      <c r="C190" s="76">
        <v>178.59999999999991</v>
      </c>
      <c r="D190" s="76">
        <v>0</v>
      </c>
    </row>
    <row r="191" spans="1:11" x14ac:dyDescent="0.2">
      <c r="B191" s="68" t="s">
        <v>86</v>
      </c>
      <c r="C191" s="76">
        <v>5.7</v>
      </c>
      <c r="D191" s="76">
        <v>141.19999999999999</v>
      </c>
    </row>
    <row r="192" spans="1:11" x14ac:dyDescent="0.2">
      <c r="B192" s="68" t="s">
        <v>87</v>
      </c>
      <c r="C192" s="76">
        <v>0</v>
      </c>
      <c r="D192" s="76">
        <v>190.70000000000005</v>
      </c>
    </row>
    <row r="193" spans="1:11" x14ac:dyDescent="0.2">
      <c r="B193" s="68" t="s">
        <v>88</v>
      </c>
      <c r="C193" s="76">
        <v>0.7</v>
      </c>
      <c r="D193" s="76">
        <v>144.1</v>
      </c>
    </row>
    <row r="194" spans="1:11" x14ac:dyDescent="0.2">
      <c r="B194" s="68" t="s">
        <v>89</v>
      </c>
      <c r="C194" s="76">
        <v>20.399999999999999</v>
      </c>
      <c r="D194" s="76">
        <v>49.79999999999999</v>
      </c>
    </row>
    <row r="195" spans="1:11" x14ac:dyDescent="0.2">
      <c r="B195" s="68" t="s">
        <v>90</v>
      </c>
      <c r="C195" s="76">
        <v>212.19999999999996</v>
      </c>
      <c r="D195" s="76">
        <v>8.6999999999999993</v>
      </c>
    </row>
    <row r="196" spans="1:11" x14ac:dyDescent="0.2">
      <c r="B196" s="68" t="s">
        <v>91</v>
      </c>
      <c r="C196" s="76">
        <v>361.1</v>
      </c>
      <c r="D196" s="76">
        <v>0</v>
      </c>
    </row>
    <row r="197" spans="1:11" x14ac:dyDescent="0.2">
      <c r="B197" s="68" t="s">
        <v>93</v>
      </c>
      <c r="C197" s="76">
        <v>651.50000000000034</v>
      </c>
      <c r="D197" s="76">
        <v>0</v>
      </c>
      <c r="J197" s="68">
        <f>SUM(G186:G197)</f>
        <v>0</v>
      </c>
      <c r="K197" s="68">
        <f>SUM(H186:H197)</f>
        <v>0</v>
      </c>
    </row>
    <row r="198" spans="1:11" x14ac:dyDescent="0.2">
      <c r="A198" s="68">
        <v>2006</v>
      </c>
      <c r="B198" s="68" t="s">
        <v>81</v>
      </c>
      <c r="C198" s="76">
        <v>524.29999999999995</v>
      </c>
      <c r="D198" s="76">
        <v>0</v>
      </c>
      <c r="G198" s="78"/>
      <c r="H198" s="78"/>
    </row>
    <row r="199" spans="1:11" x14ac:dyDescent="0.2">
      <c r="B199" s="68" t="s">
        <v>82</v>
      </c>
      <c r="C199" s="76">
        <v>570.29999999999995</v>
      </c>
      <c r="D199" s="76">
        <v>0</v>
      </c>
    </row>
    <row r="200" spans="1:11" x14ac:dyDescent="0.2">
      <c r="B200" s="68" t="s">
        <v>83</v>
      </c>
      <c r="C200" s="76">
        <v>514.6</v>
      </c>
      <c r="D200" s="76">
        <v>0</v>
      </c>
    </row>
    <row r="201" spans="1:11" x14ac:dyDescent="0.2">
      <c r="B201" s="68" t="s">
        <v>84</v>
      </c>
      <c r="C201" s="76">
        <v>269.99999999999994</v>
      </c>
      <c r="D201" s="76">
        <v>0</v>
      </c>
    </row>
    <row r="202" spans="1:11" x14ac:dyDescent="0.2">
      <c r="B202" s="68" t="s">
        <v>85</v>
      </c>
      <c r="C202" s="76">
        <v>127.30000000000003</v>
      </c>
      <c r="D202" s="76">
        <v>24.3</v>
      </c>
    </row>
    <row r="203" spans="1:11" x14ac:dyDescent="0.2">
      <c r="B203" s="68" t="s">
        <v>86</v>
      </c>
      <c r="C203" s="76">
        <v>18.899999999999999</v>
      </c>
      <c r="D203" s="76">
        <v>69.899999999999977</v>
      </c>
    </row>
    <row r="204" spans="1:11" x14ac:dyDescent="0.2">
      <c r="B204" s="68" t="s">
        <v>87</v>
      </c>
      <c r="C204" s="76">
        <v>1</v>
      </c>
      <c r="D204" s="76">
        <v>161.4</v>
      </c>
    </row>
    <row r="205" spans="1:11" x14ac:dyDescent="0.2">
      <c r="B205" s="68" t="s">
        <v>88</v>
      </c>
      <c r="C205" s="76">
        <v>1.4</v>
      </c>
      <c r="D205" s="76">
        <v>100.1</v>
      </c>
    </row>
    <row r="206" spans="1:11" x14ac:dyDescent="0.2">
      <c r="B206" s="68" t="s">
        <v>89</v>
      </c>
      <c r="C206" s="76">
        <v>68.800000000000011</v>
      </c>
      <c r="D206" s="76">
        <v>17.2</v>
      </c>
    </row>
    <row r="207" spans="1:11" x14ac:dyDescent="0.2">
      <c r="B207" s="68" t="s">
        <v>90</v>
      </c>
      <c r="C207" s="76">
        <v>269.89999999999998</v>
      </c>
      <c r="D207" s="76">
        <v>0</v>
      </c>
    </row>
    <row r="208" spans="1:11" x14ac:dyDescent="0.2">
      <c r="B208" s="68" t="s">
        <v>91</v>
      </c>
      <c r="C208" s="76">
        <v>361.09999999999997</v>
      </c>
      <c r="D208" s="76">
        <v>0</v>
      </c>
    </row>
    <row r="209" spans="1:11" x14ac:dyDescent="0.2">
      <c r="B209" s="68" t="s">
        <v>93</v>
      </c>
      <c r="C209" s="76">
        <v>469.39999999999992</v>
      </c>
      <c r="D209" s="76">
        <v>0</v>
      </c>
      <c r="J209" s="68">
        <f>SUM(G198:G209)</f>
        <v>0</v>
      </c>
      <c r="K209" s="68">
        <f>SUM(H198:H209)</f>
        <v>0</v>
      </c>
    </row>
    <row r="210" spans="1:11" x14ac:dyDescent="0.2">
      <c r="A210" s="68">
        <v>2007</v>
      </c>
      <c r="B210" s="68" t="s">
        <v>81</v>
      </c>
      <c r="C210" s="76">
        <v>625.70000000000005</v>
      </c>
      <c r="D210" s="76">
        <v>0</v>
      </c>
      <c r="G210" s="78"/>
      <c r="H210" s="78"/>
    </row>
    <row r="211" spans="1:11" x14ac:dyDescent="0.2">
      <c r="B211" s="68" t="s">
        <v>82</v>
      </c>
      <c r="C211" s="76">
        <v>739.30000000000018</v>
      </c>
      <c r="D211" s="76">
        <v>0</v>
      </c>
    </row>
    <row r="212" spans="1:11" x14ac:dyDescent="0.2">
      <c r="B212" s="68" t="s">
        <v>83</v>
      </c>
      <c r="C212" s="76">
        <v>538.79999999999984</v>
      </c>
      <c r="D212" s="76">
        <v>0</v>
      </c>
    </row>
    <row r="213" spans="1:11" x14ac:dyDescent="0.2">
      <c r="B213" s="68" t="s">
        <v>84</v>
      </c>
      <c r="C213" s="76">
        <v>376.09999999999997</v>
      </c>
      <c r="D213" s="76">
        <v>0</v>
      </c>
    </row>
    <row r="214" spans="1:11" x14ac:dyDescent="0.2">
      <c r="B214" s="68" t="s">
        <v>85</v>
      </c>
      <c r="C214" s="76">
        <v>144.19999999999999</v>
      </c>
      <c r="D214" s="76">
        <v>15.4</v>
      </c>
    </row>
    <row r="215" spans="1:11" x14ac:dyDescent="0.2">
      <c r="B215" s="68" t="s">
        <v>86</v>
      </c>
      <c r="C215" s="76">
        <v>19.599999999999998</v>
      </c>
      <c r="D215" s="76">
        <v>84.3</v>
      </c>
    </row>
    <row r="216" spans="1:11" x14ac:dyDescent="0.2">
      <c r="B216" s="68" t="s">
        <v>87</v>
      </c>
      <c r="C216" s="76">
        <v>7.3999999999999995</v>
      </c>
      <c r="D216" s="76">
        <v>77.499999999999986</v>
      </c>
    </row>
    <row r="217" spans="1:11" x14ac:dyDescent="0.2">
      <c r="B217" s="68" t="s">
        <v>88</v>
      </c>
      <c r="C217" s="76">
        <v>6</v>
      </c>
      <c r="D217" s="76">
        <v>106.49999999999999</v>
      </c>
    </row>
    <row r="218" spans="1:11" x14ac:dyDescent="0.2">
      <c r="B218" s="68" t="s">
        <v>89</v>
      </c>
      <c r="C218" s="76">
        <v>51.8</v>
      </c>
      <c r="D218" s="76">
        <v>41.800000000000004</v>
      </c>
    </row>
    <row r="219" spans="1:11" x14ac:dyDescent="0.2">
      <c r="B219" s="68" t="s">
        <v>90</v>
      </c>
      <c r="C219" s="76">
        <v>131</v>
      </c>
      <c r="D219" s="76">
        <v>20.200000000000003</v>
      </c>
    </row>
    <row r="220" spans="1:11" x14ac:dyDescent="0.2">
      <c r="B220" s="68" t="s">
        <v>91</v>
      </c>
      <c r="C220" s="76">
        <v>438.2000000000001</v>
      </c>
      <c r="D220" s="76">
        <v>0</v>
      </c>
    </row>
    <row r="221" spans="1:11" x14ac:dyDescent="0.2">
      <c r="B221" s="68" t="s">
        <v>93</v>
      </c>
      <c r="C221" s="76">
        <v>612.80000000000007</v>
      </c>
      <c r="D221" s="76">
        <v>0</v>
      </c>
      <c r="J221" s="68">
        <f>SUM(G210:G221)</f>
        <v>0</v>
      </c>
      <c r="K221" s="68">
        <f>SUM(H210:H221)</f>
        <v>0</v>
      </c>
    </row>
    <row r="222" spans="1:11" x14ac:dyDescent="0.2">
      <c r="A222" s="68">
        <v>2008</v>
      </c>
      <c r="B222" s="68" t="s">
        <v>81</v>
      </c>
      <c r="C222" s="76">
        <v>604.19999999999993</v>
      </c>
      <c r="D222" s="76">
        <v>0</v>
      </c>
      <c r="G222" s="78"/>
      <c r="H222" s="78"/>
    </row>
    <row r="223" spans="1:11" x14ac:dyDescent="0.2">
      <c r="B223" s="68" t="s">
        <v>82</v>
      </c>
      <c r="C223" s="76">
        <v>653.5</v>
      </c>
      <c r="D223" s="76">
        <v>0</v>
      </c>
    </row>
    <row r="224" spans="1:11" x14ac:dyDescent="0.2">
      <c r="B224" s="68" t="s">
        <v>83</v>
      </c>
      <c r="C224" s="76">
        <v>602</v>
      </c>
      <c r="D224" s="76">
        <v>0</v>
      </c>
    </row>
    <row r="225" spans="1:11" x14ac:dyDescent="0.2">
      <c r="B225" s="68" t="s">
        <v>84</v>
      </c>
      <c r="C225" s="76">
        <v>272.8</v>
      </c>
      <c r="D225" s="76">
        <v>0</v>
      </c>
    </row>
    <row r="226" spans="1:11" x14ac:dyDescent="0.2">
      <c r="B226" s="68" t="s">
        <v>85</v>
      </c>
      <c r="C226" s="76">
        <v>216.7</v>
      </c>
      <c r="D226" s="76">
        <v>0</v>
      </c>
    </row>
    <row r="227" spans="1:11" x14ac:dyDescent="0.2">
      <c r="B227" s="68" t="s">
        <v>86</v>
      </c>
      <c r="C227" s="76">
        <v>27.2</v>
      </c>
      <c r="D227" s="76">
        <v>61.499999999999986</v>
      </c>
    </row>
    <row r="228" spans="1:11" x14ac:dyDescent="0.2">
      <c r="B228" s="68" t="s">
        <v>87</v>
      </c>
      <c r="C228" s="76">
        <v>5.2</v>
      </c>
      <c r="D228" s="76">
        <v>90.299999999999983</v>
      </c>
    </row>
    <row r="229" spans="1:11" x14ac:dyDescent="0.2">
      <c r="B229" s="68" t="s">
        <v>88</v>
      </c>
      <c r="C229" s="76">
        <v>19</v>
      </c>
      <c r="D229" s="76">
        <v>42.4</v>
      </c>
    </row>
    <row r="230" spans="1:11" x14ac:dyDescent="0.2">
      <c r="B230" s="68" t="s">
        <v>89</v>
      </c>
      <c r="C230" s="76">
        <v>70.100000000000009</v>
      </c>
      <c r="D230" s="76">
        <v>25.500000000000004</v>
      </c>
    </row>
    <row r="231" spans="1:11" x14ac:dyDescent="0.2">
      <c r="B231" s="68" t="s">
        <v>90</v>
      </c>
      <c r="C231" s="76">
        <v>293.29999999999995</v>
      </c>
      <c r="D231" s="76">
        <v>0</v>
      </c>
    </row>
    <row r="232" spans="1:11" x14ac:dyDescent="0.2">
      <c r="B232" s="68" t="s">
        <v>91</v>
      </c>
      <c r="C232" s="76">
        <v>447.40000000000003</v>
      </c>
      <c r="D232" s="76">
        <v>0</v>
      </c>
    </row>
    <row r="233" spans="1:11" x14ac:dyDescent="0.2">
      <c r="B233" s="68" t="s">
        <v>93</v>
      </c>
      <c r="C233" s="76">
        <v>614.79999999999984</v>
      </c>
      <c r="D233" s="76">
        <v>0</v>
      </c>
      <c r="E233" s="73"/>
      <c r="J233" s="68">
        <f>SUM(G222:G233)</f>
        <v>0</v>
      </c>
      <c r="K233" s="68">
        <f>SUM(H222:H233)</f>
        <v>0</v>
      </c>
    </row>
    <row r="234" spans="1:11" x14ac:dyDescent="0.2">
      <c r="A234" s="68">
        <v>2009</v>
      </c>
      <c r="B234" s="68" t="s">
        <v>81</v>
      </c>
      <c r="C234" s="76">
        <v>829.40000000000009</v>
      </c>
      <c r="D234" s="76">
        <v>0</v>
      </c>
      <c r="E234" s="74"/>
      <c r="G234" s="78"/>
      <c r="H234" s="78"/>
    </row>
    <row r="235" spans="1:11" x14ac:dyDescent="0.2">
      <c r="B235" s="68" t="s">
        <v>82</v>
      </c>
      <c r="C235" s="76">
        <v>605.50000000000011</v>
      </c>
      <c r="D235" s="76">
        <v>0</v>
      </c>
      <c r="E235" s="74"/>
    </row>
    <row r="236" spans="1:11" x14ac:dyDescent="0.2">
      <c r="B236" s="68" t="s">
        <v>83</v>
      </c>
      <c r="C236" s="76">
        <v>528.69999999999993</v>
      </c>
      <c r="D236" s="76">
        <v>0</v>
      </c>
      <c r="E236" s="74"/>
    </row>
    <row r="237" spans="1:11" x14ac:dyDescent="0.2">
      <c r="B237" s="68" t="s">
        <v>84</v>
      </c>
      <c r="C237" s="76">
        <v>316.50000000000006</v>
      </c>
      <c r="D237" s="76">
        <v>2</v>
      </c>
      <c r="E237" s="74"/>
    </row>
    <row r="238" spans="1:11" x14ac:dyDescent="0.2">
      <c r="B238" s="68" t="s">
        <v>85</v>
      </c>
      <c r="C238" s="76">
        <v>157.19999999999996</v>
      </c>
      <c r="D238" s="76">
        <v>1.8</v>
      </c>
      <c r="E238" s="74"/>
    </row>
    <row r="239" spans="1:11" x14ac:dyDescent="0.2">
      <c r="B239" s="68" t="s">
        <v>86</v>
      </c>
      <c r="C239" s="76">
        <v>44.4</v>
      </c>
      <c r="D239" s="76">
        <v>29.999999999999996</v>
      </c>
      <c r="E239" s="74"/>
    </row>
    <row r="240" spans="1:11" x14ac:dyDescent="0.2">
      <c r="B240" s="68" t="s">
        <v>87</v>
      </c>
      <c r="C240" s="76">
        <v>19.600000000000001</v>
      </c>
      <c r="D240" s="76">
        <v>33.1</v>
      </c>
      <c r="E240" s="74"/>
    </row>
    <row r="241" spans="1:11" x14ac:dyDescent="0.2">
      <c r="B241" s="68" t="s">
        <v>88</v>
      </c>
      <c r="C241" s="76">
        <v>14.200000000000001</v>
      </c>
      <c r="D241" s="76">
        <v>74.199999999999974</v>
      </c>
      <c r="E241" s="74"/>
    </row>
    <row r="242" spans="1:11" x14ac:dyDescent="0.2">
      <c r="B242" s="68" t="s">
        <v>89</v>
      </c>
      <c r="C242" s="76">
        <v>70.8</v>
      </c>
      <c r="D242" s="76">
        <v>12</v>
      </c>
      <c r="E242" s="74"/>
    </row>
    <row r="243" spans="1:11" x14ac:dyDescent="0.2">
      <c r="B243" s="68" t="s">
        <v>90</v>
      </c>
      <c r="C243" s="76">
        <v>290</v>
      </c>
      <c r="D243" s="76">
        <v>0</v>
      </c>
      <c r="E243" s="74"/>
    </row>
    <row r="244" spans="1:11" x14ac:dyDescent="0.2">
      <c r="B244" s="68" t="s">
        <v>91</v>
      </c>
      <c r="C244" s="76">
        <v>336.4</v>
      </c>
      <c r="D244" s="76">
        <v>0</v>
      </c>
      <c r="E244" s="74"/>
    </row>
    <row r="245" spans="1:11" x14ac:dyDescent="0.2">
      <c r="B245" s="68" t="s">
        <v>93</v>
      </c>
      <c r="C245" s="76">
        <v>612.29999999999984</v>
      </c>
      <c r="D245" s="76">
        <v>0</v>
      </c>
      <c r="E245" s="74"/>
      <c r="J245" s="68">
        <f>SUM(G234:G245)</f>
        <v>0</v>
      </c>
      <c r="K245" s="68">
        <f>SUM(H234:H245)</f>
        <v>0</v>
      </c>
    </row>
    <row r="246" spans="1:11" x14ac:dyDescent="0.2">
      <c r="A246" s="68">
        <v>2010</v>
      </c>
      <c r="B246" s="68" t="s">
        <v>81</v>
      </c>
      <c r="C246" s="76">
        <v>711.09999999999991</v>
      </c>
      <c r="D246" s="76">
        <v>0</v>
      </c>
      <c r="G246" s="78"/>
      <c r="H246" s="78"/>
    </row>
    <row r="247" spans="1:11" x14ac:dyDescent="0.2">
      <c r="B247" s="68" t="s">
        <v>82</v>
      </c>
      <c r="C247" s="76">
        <v>632.5</v>
      </c>
      <c r="D247" s="76">
        <v>0</v>
      </c>
    </row>
    <row r="248" spans="1:11" x14ac:dyDescent="0.2">
      <c r="B248" s="68" t="s">
        <v>83</v>
      </c>
      <c r="C248" s="76">
        <v>468</v>
      </c>
      <c r="D248" s="76">
        <v>0</v>
      </c>
    </row>
    <row r="249" spans="1:11" x14ac:dyDescent="0.2">
      <c r="B249" s="68" t="s">
        <v>84</v>
      </c>
      <c r="C249" s="76">
        <v>243</v>
      </c>
      <c r="D249" s="76">
        <v>0</v>
      </c>
    </row>
    <row r="250" spans="1:11" x14ac:dyDescent="0.2">
      <c r="B250" s="68" t="s">
        <v>85</v>
      </c>
      <c r="C250" s="76">
        <v>125.40000000000003</v>
      </c>
      <c r="D250" s="76">
        <v>27.5</v>
      </c>
    </row>
    <row r="251" spans="1:11" x14ac:dyDescent="0.2">
      <c r="B251" s="68" t="s">
        <v>86</v>
      </c>
      <c r="C251" s="76">
        <v>23.599999999999994</v>
      </c>
      <c r="D251" s="76">
        <v>51.300000000000011</v>
      </c>
    </row>
    <row r="252" spans="1:11" x14ac:dyDescent="0.2">
      <c r="B252" s="68" t="s">
        <v>87</v>
      </c>
      <c r="C252" s="76">
        <v>4.5999999999999996</v>
      </c>
      <c r="D252" s="76">
        <v>123.99999999999999</v>
      </c>
    </row>
    <row r="253" spans="1:11" x14ac:dyDescent="0.2">
      <c r="A253" s="77"/>
      <c r="B253" s="77" t="s">
        <v>88</v>
      </c>
      <c r="C253" s="76">
        <v>7.6999999999999993</v>
      </c>
      <c r="D253" s="76">
        <v>103.40000000000003</v>
      </c>
    </row>
    <row r="254" spans="1:11" x14ac:dyDescent="0.2">
      <c r="A254" s="77"/>
      <c r="B254" s="77" t="s">
        <v>89</v>
      </c>
      <c r="C254" s="76">
        <v>69.599999999999994</v>
      </c>
      <c r="D254" s="76">
        <v>13.899999999999999</v>
      </c>
    </row>
    <row r="255" spans="1:11" x14ac:dyDescent="0.2">
      <c r="A255" s="77"/>
      <c r="B255" s="77" t="s">
        <v>90</v>
      </c>
      <c r="C255" s="76">
        <v>247.29999999999998</v>
      </c>
      <c r="D255" s="76">
        <v>0.1</v>
      </c>
    </row>
    <row r="256" spans="1:11" x14ac:dyDescent="0.2">
      <c r="A256" s="77"/>
      <c r="B256" s="77" t="s">
        <v>91</v>
      </c>
      <c r="C256" s="76">
        <v>239.9</v>
      </c>
      <c r="D256" s="76">
        <v>0</v>
      </c>
    </row>
    <row r="257" spans="1:11" x14ac:dyDescent="0.2">
      <c r="A257" s="77"/>
      <c r="B257" s="77" t="s">
        <v>93</v>
      </c>
      <c r="C257" s="76">
        <v>671.3</v>
      </c>
      <c r="D257" s="76">
        <v>0</v>
      </c>
      <c r="J257" s="68">
        <f>SUM(G246:G257)</f>
        <v>0</v>
      </c>
      <c r="K257" s="68">
        <f>SUM(H246:H257)</f>
        <v>0</v>
      </c>
    </row>
    <row r="258" spans="1:11" x14ac:dyDescent="0.2">
      <c r="A258" s="77">
        <v>2011</v>
      </c>
      <c r="B258" s="77" t="s">
        <v>81</v>
      </c>
      <c r="C258" s="76">
        <v>794.6</v>
      </c>
      <c r="D258" s="76">
        <v>0</v>
      </c>
      <c r="G258" s="78"/>
      <c r="H258" s="78"/>
    </row>
    <row r="259" spans="1:11" x14ac:dyDescent="0.2">
      <c r="A259" s="77"/>
      <c r="B259" s="77" t="s">
        <v>82</v>
      </c>
      <c r="C259" s="76">
        <v>645.30000000000007</v>
      </c>
      <c r="D259" s="76">
        <v>0</v>
      </c>
    </row>
    <row r="260" spans="1:11" x14ac:dyDescent="0.2">
      <c r="A260" s="77"/>
      <c r="B260" s="77" t="s">
        <v>83</v>
      </c>
      <c r="C260" s="76">
        <v>550.6</v>
      </c>
      <c r="D260" s="76">
        <v>0</v>
      </c>
    </row>
    <row r="261" spans="1:11" x14ac:dyDescent="0.2">
      <c r="A261" s="77"/>
      <c r="B261" s="77" t="s">
        <v>84</v>
      </c>
      <c r="C261" s="76">
        <v>324.89999999999998</v>
      </c>
      <c r="D261" s="76">
        <v>0.4</v>
      </c>
    </row>
    <row r="262" spans="1:11" x14ac:dyDescent="0.2">
      <c r="A262" s="77"/>
      <c r="B262" s="77" t="s">
        <v>85</v>
      </c>
      <c r="C262" s="76">
        <v>136.00000000000003</v>
      </c>
      <c r="D262" s="76">
        <v>12.5</v>
      </c>
    </row>
    <row r="263" spans="1:11" x14ac:dyDescent="0.2">
      <c r="A263" s="77"/>
      <c r="B263" s="77" t="s">
        <v>86</v>
      </c>
      <c r="C263" s="76">
        <v>22.700000000000003</v>
      </c>
      <c r="D263" s="76">
        <v>40.200000000000003</v>
      </c>
    </row>
    <row r="264" spans="1:11" x14ac:dyDescent="0.2">
      <c r="A264" s="77"/>
      <c r="B264" s="77" t="s">
        <v>87</v>
      </c>
      <c r="C264" s="76">
        <v>0.2</v>
      </c>
      <c r="D264" s="76">
        <v>158.6</v>
      </c>
    </row>
    <row r="265" spans="1:11" x14ac:dyDescent="0.2">
      <c r="A265" s="77"/>
      <c r="B265" s="77" t="s">
        <v>88</v>
      </c>
      <c r="C265" s="76">
        <v>4.0999999999999996</v>
      </c>
      <c r="D265" s="76">
        <v>88.8</v>
      </c>
    </row>
    <row r="266" spans="1:11" x14ac:dyDescent="0.2">
      <c r="A266" s="77"/>
      <c r="B266" s="77" t="s">
        <v>89</v>
      </c>
      <c r="C266" s="76">
        <v>53.8</v>
      </c>
      <c r="D266" s="76">
        <v>24.9</v>
      </c>
    </row>
    <row r="267" spans="1:11" x14ac:dyDescent="0.2">
      <c r="A267" s="77"/>
      <c r="B267" s="77" t="s">
        <v>90</v>
      </c>
      <c r="C267" s="76">
        <v>234.5</v>
      </c>
      <c r="D267" s="76">
        <v>0</v>
      </c>
    </row>
    <row r="268" spans="1:11" x14ac:dyDescent="0.2">
      <c r="A268" s="77"/>
      <c r="B268" s="77" t="s">
        <v>91</v>
      </c>
      <c r="C268" s="76">
        <v>320.00000000000006</v>
      </c>
      <c r="D268" s="76">
        <v>0</v>
      </c>
    </row>
    <row r="269" spans="1:11" x14ac:dyDescent="0.2">
      <c r="A269" s="77"/>
      <c r="B269" s="77" t="s">
        <v>93</v>
      </c>
      <c r="C269" s="76">
        <v>512</v>
      </c>
      <c r="D269" s="76">
        <v>0</v>
      </c>
      <c r="J269" s="68">
        <f>SUM(G258:G269)</f>
        <v>0</v>
      </c>
      <c r="K269" s="68">
        <f>SUM(H258:H269)</f>
        <v>0</v>
      </c>
    </row>
    <row r="270" spans="1:11" x14ac:dyDescent="0.2">
      <c r="A270" s="77">
        <v>2012</v>
      </c>
      <c r="B270" s="77" t="s">
        <v>81</v>
      </c>
      <c r="C270" s="76">
        <v>600.80000000000007</v>
      </c>
      <c r="D270" s="76">
        <v>0</v>
      </c>
    </row>
    <row r="271" spans="1:11" x14ac:dyDescent="0.2">
      <c r="A271" s="77"/>
      <c r="B271" s="77" t="s">
        <v>82</v>
      </c>
      <c r="C271" s="76">
        <v>533.20000000000005</v>
      </c>
      <c r="D271" s="76">
        <v>0</v>
      </c>
    </row>
    <row r="272" spans="1:11" x14ac:dyDescent="0.2">
      <c r="A272" s="77"/>
      <c r="B272" s="77" t="s">
        <v>83</v>
      </c>
      <c r="C272" s="76">
        <v>333.80000000000007</v>
      </c>
      <c r="D272" s="76">
        <v>0</v>
      </c>
    </row>
    <row r="273" spans="1:4" x14ac:dyDescent="0.2">
      <c r="A273" s="77"/>
      <c r="B273" s="77" t="s">
        <v>84</v>
      </c>
      <c r="C273" s="76">
        <v>330.9</v>
      </c>
      <c r="D273" s="76">
        <v>0</v>
      </c>
    </row>
    <row r="274" spans="1:4" x14ac:dyDescent="0.2">
      <c r="A274" s="77"/>
      <c r="B274" s="77" t="s">
        <v>85</v>
      </c>
      <c r="C274" s="76">
        <v>82.300000000000011</v>
      </c>
      <c r="D274" s="76">
        <v>28.9</v>
      </c>
    </row>
    <row r="275" spans="1:4" x14ac:dyDescent="0.2">
      <c r="A275" s="77"/>
      <c r="B275" s="77" t="s">
        <v>86</v>
      </c>
      <c r="C275" s="76">
        <v>31.599999999999998</v>
      </c>
      <c r="D275" s="76">
        <v>58.8</v>
      </c>
    </row>
    <row r="276" spans="1:4" x14ac:dyDescent="0.2">
      <c r="A276" s="77"/>
      <c r="B276" s="77" t="s">
        <v>87</v>
      </c>
      <c r="C276" s="76">
        <v>0</v>
      </c>
      <c r="D276" s="76">
        <v>130.89999999999998</v>
      </c>
    </row>
    <row r="277" spans="1:4" x14ac:dyDescent="0.2">
      <c r="A277" s="77"/>
      <c r="B277" s="77" t="s">
        <v>88</v>
      </c>
      <c r="C277" s="76">
        <v>6</v>
      </c>
      <c r="D277" s="76">
        <v>76.600000000000009</v>
      </c>
    </row>
    <row r="278" spans="1:4" x14ac:dyDescent="0.2">
      <c r="A278" s="77"/>
      <c r="B278" s="77" t="s">
        <v>89</v>
      </c>
      <c r="C278" s="76">
        <v>86.1</v>
      </c>
      <c r="D278" s="76">
        <v>28.900000000000002</v>
      </c>
    </row>
    <row r="279" spans="1:4" x14ac:dyDescent="0.2">
      <c r="A279" s="77"/>
      <c r="B279" s="77" t="s">
        <v>90</v>
      </c>
      <c r="C279" s="76">
        <v>227.39999999999998</v>
      </c>
      <c r="D279" s="76">
        <v>0.8</v>
      </c>
    </row>
    <row r="280" spans="1:4" x14ac:dyDescent="0.2">
      <c r="A280" s="77"/>
      <c r="B280" s="77" t="s">
        <v>91</v>
      </c>
      <c r="C280" s="76">
        <v>415.19999999999993</v>
      </c>
      <c r="D280" s="76">
        <v>0</v>
      </c>
    </row>
    <row r="281" spans="1:4" x14ac:dyDescent="0.2">
      <c r="A281" s="77"/>
      <c r="B281" s="77" t="s">
        <v>93</v>
      </c>
      <c r="C281" s="76">
        <v>505.1</v>
      </c>
      <c r="D281" s="76">
        <v>0</v>
      </c>
    </row>
    <row r="282" spans="1:4" x14ac:dyDescent="0.2">
      <c r="A282" s="77">
        <v>2013</v>
      </c>
      <c r="B282" s="77" t="s">
        <v>81</v>
      </c>
      <c r="C282" s="76">
        <v>617.29999999999995</v>
      </c>
      <c r="D282" s="76">
        <v>0</v>
      </c>
    </row>
    <row r="283" spans="1:4" x14ac:dyDescent="0.2">
      <c r="A283" s="77"/>
      <c r="B283" s="77" t="s">
        <v>82</v>
      </c>
      <c r="C283" s="76">
        <v>640.1</v>
      </c>
      <c r="D283" s="76">
        <v>0</v>
      </c>
    </row>
    <row r="284" spans="1:4" x14ac:dyDescent="0.2">
      <c r="A284" s="77"/>
      <c r="B284" s="77" t="s">
        <v>83</v>
      </c>
      <c r="C284" s="76">
        <v>555.40000000000009</v>
      </c>
      <c r="D284" s="76">
        <v>0</v>
      </c>
    </row>
    <row r="285" spans="1:4" x14ac:dyDescent="0.2">
      <c r="A285" s="77"/>
      <c r="B285" s="77" t="s">
        <v>84</v>
      </c>
      <c r="C285" s="76">
        <v>339.90000000000003</v>
      </c>
      <c r="D285" s="76">
        <v>0</v>
      </c>
    </row>
    <row r="286" spans="1:4" x14ac:dyDescent="0.2">
      <c r="A286" s="77"/>
      <c r="B286" s="77" t="s">
        <v>85</v>
      </c>
      <c r="C286" s="76">
        <v>116.5</v>
      </c>
      <c r="D286" s="76">
        <v>24.200000000000003</v>
      </c>
    </row>
    <row r="287" spans="1:4" x14ac:dyDescent="0.2">
      <c r="A287" s="77"/>
      <c r="B287" s="77" t="s">
        <v>86</v>
      </c>
      <c r="C287" s="76">
        <v>42.8</v>
      </c>
      <c r="D287" s="76">
        <v>48.5</v>
      </c>
    </row>
    <row r="288" spans="1:4" x14ac:dyDescent="0.2">
      <c r="A288" s="77"/>
      <c r="B288" s="77" t="s">
        <v>87</v>
      </c>
      <c r="C288" s="76">
        <v>5.5</v>
      </c>
      <c r="D288" s="76">
        <v>117.00000000000001</v>
      </c>
    </row>
    <row r="289" spans="1:4" x14ac:dyDescent="0.2">
      <c r="A289" s="77"/>
      <c r="B289" s="77" t="s">
        <v>88</v>
      </c>
      <c r="C289" s="76">
        <v>15</v>
      </c>
      <c r="D289" s="76">
        <v>51.900000000000006</v>
      </c>
    </row>
    <row r="290" spans="1:4" x14ac:dyDescent="0.2">
      <c r="A290" s="77"/>
      <c r="B290" s="77" t="s">
        <v>89</v>
      </c>
      <c r="C290" s="76">
        <v>110.40000000000002</v>
      </c>
      <c r="D290" s="76">
        <v>22.9</v>
      </c>
    </row>
    <row r="291" spans="1:4" x14ac:dyDescent="0.2">
      <c r="A291" s="77"/>
      <c r="B291" s="77" t="s">
        <v>90</v>
      </c>
      <c r="C291" s="76">
        <v>197.7</v>
      </c>
      <c r="D291" s="76">
        <v>4.1999999999999993</v>
      </c>
    </row>
    <row r="292" spans="1:4" x14ac:dyDescent="0.2">
      <c r="A292" s="77"/>
      <c r="B292" s="77" t="s">
        <v>91</v>
      </c>
      <c r="C292" s="76">
        <v>450.90000000000003</v>
      </c>
      <c r="D292" s="76">
        <v>0</v>
      </c>
    </row>
    <row r="293" spans="1:4" x14ac:dyDescent="0.2">
      <c r="A293" s="77"/>
      <c r="B293" s="77" t="s">
        <v>93</v>
      </c>
      <c r="C293" s="76">
        <v>640.80000000000007</v>
      </c>
      <c r="D293" s="76">
        <v>0</v>
      </c>
    </row>
    <row r="294" spans="1:4" x14ac:dyDescent="0.2">
      <c r="A294" s="77">
        <v>2014</v>
      </c>
      <c r="B294" s="77" t="s">
        <v>81</v>
      </c>
      <c r="C294" s="76">
        <v>783.19999999999993</v>
      </c>
      <c r="D294" s="76">
        <v>0</v>
      </c>
    </row>
    <row r="295" spans="1:4" x14ac:dyDescent="0.2">
      <c r="A295" s="77"/>
      <c r="B295" s="77" t="s">
        <v>82</v>
      </c>
      <c r="C295" s="76">
        <v>743.69999999999993</v>
      </c>
      <c r="D295" s="76">
        <v>0</v>
      </c>
    </row>
    <row r="296" spans="1:4" x14ac:dyDescent="0.2">
      <c r="A296" s="77"/>
      <c r="B296" s="77" t="s">
        <v>83</v>
      </c>
      <c r="C296" s="76">
        <v>692.30000000000007</v>
      </c>
      <c r="D296" s="76">
        <v>0</v>
      </c>
    </row>
    <row r="297" spans="1:4" x14ac:dyDescent="0.2">
      <c r="A297" s="77"/>
      <c r="B297" s="77" t="s">
        <v>84</v>
      </c>
      <c r="C297" s="76">
        <v>338.40000000000009</v>
      </c>
      <c r="D297" s="76">
        <v>0</v>
      </c>
    </row>
    <row r="298" spans="1:4" x14ac:dyDescent="0.2">
      <c r="A298" s="77"/>
      <c r="B298" s="77" t="s">
        <v>85</v>
      </c>
      <c r="C298" s="76">
        <v>143.89999999999995</v>
      </c>
      <c r="D298" s="76">
        <v>7.3</v>
      </c>
    </row>
    <row r="299" spans="1:4" x14ac:dyDescent="0.2">
      <c r="A299" s="77"/>
      <c r="B299" s="77" t="s">
        <v>86</v>
      </c>
      <c r="C299" s="76">
        <v>21.3</v>
      </c>
      <c r="D299" s="76">
        <v>62.800000000000004</v>
      </c>
    </row>
    <row r="300" spans="1:4" x14ac:dyDescent="0.2">
      <c r="A300" s="77"/>
      <c r="B300" s="77" t="s">
        <v>87</v>
      </c>
      <c r="C300" s="76">
        <v>13.700000000000001</v>
      </c>
      <c r="D300" s="76">
        <v>51</v>
      </c>
    </row>
    <row r="301" spans="1:4" x14ac:dyDescent="0.2">
      <c r="A301" s="77"/>
      <c r="B301" s="77" t="s">
        <v>88</v>
      </c>
      <c r="C301" s="76">
        <v>11.999999999999998</v>
      </c>
      <c r="D301" s="76">
        <v>56.999999999999993</v>
      </c>
    </row>
    <row r="302" spans="1:4" x14ac:dyDescent="0.2">
      <c r="A302" s="77"/>
      <c r="B302" s="77" t="s">
        <v>89</v>
      </c>
      <c r="C302" s="76">
        <v>85.300000000000011</v>
      </c>
      <c r="D302" s="76">
        <v>27.500000000000004</v>
      </c>
    </row>
    <row r="303" spans="1:4" x14ac:dyDescent="0.2">
      <c r="A303" s="77"/>
      <c r="B303" s="77" t="s">
        <v>90</v>
      </c>
      <c r="C303" s="76">
        <v>223.09999999999997</v>
      </c>
      <c r="D303" s="76">
        <v>4.5</v>
      </c>
    </row>
    <row r="304" spans="1:4" x14ac:dyDescent="0.2">
      <c r="A304" s="77"/>
      <c r="B304" s="77" t="s">
        <v>91</v>
      </c>
      <c r="C304" s="76">
        <v>465.7</v>
      </c>
      <c r="D304" s="76">
        <v>0</v>
      </c>
    </row>
    <row r="305" spans="1:4" x14ac:dyDescent="0.2">
      <c r="A305" s="77"/>
      <c r="B305" s="77" t="s">
        <v>93</v>
      </c>
      <c r="C305" s="76">
        <v>540.79999999999995</v>
      </c>
      <c r="D305" s="76">
        <v>0</v>
      </c>
    </row>
    <row r="306" spans="1:4" x14ac:dyDescent="0.2">
      <c r="A306" s="77">
        <v>2015</v>
      </c>
      <c r="B306" s="77" t="s">
        <v>81</v>
      </c>
      <c r="C306" s="76">
        <v>753.1</v>
      </c>
      <c r="D306" s="76">
        <v>0</v>
      </c>
    </row>
    <row r="307" spans="1:4" x14ac:dyDescent="0.2">
      <c r="A307" s="77"/>
      <c r="B307" s="77" t="s">
        <v>82</v>
      </c>
      <c r="C307" s="76">
        <v>871.9</v>
      </c>
      <c r="D307" s="76">
        <v>0</v>
      </c>
    </row>
    <row r="308" spans="1:4" x14ac:dyDescent="0.2">
      <c r="A308" s="77"/>
      <c r="B308" s="77" t="s">
        <v>83</v>
      </c>
      <c r="C308" s="76">
        <v>637</v>
      </c>
      <c r="D308" s="76">
        <v>0</v>
      </c>
    </row>
    <row r="309" spans="1:4" x14ac:dyDescent="0.2">
      <c r="A309" s="77"/>
      <c r="B309" s="77" t="s">
        <v>84</v>
      </c>
      <c r="C309" s="76">
        <v>319.59999999999997</v>
      </c>
      <c r="D309" s="76">
        <v>0</v>
      </c>
    </row>
    <row r="310" spans="1:4" x14ac:dyDescent="0.2">
      <c r="A310" s="77"/>
      <c r="B310" s="77" t="s">
        <v>85</v>
      </c>
      <c r="C310" s="76">
        <v>96.5</v>
      </c>
      <c r="D310" s="76">
        <v>34.200000000000003</v>
      </c>
    </row>
    <row r="311" spans="1:4" x14ac:dyDescent="0.2">
      <c r="A311" s="77"/>
      <c r="B311" s="77" t="s">
        <v>86</v>
      </c>
      <c r="C311" s="76">
        <v>35.9</v>
      </c>
      <c r="D311" s="76">
        <v>28.599999999999998</v>
      </c>
    </row>
    <row r="312" spans="1:4" x14ac:dyDescent="0.2">
      <c r="A312" s="77"/>
      <c r="B312" s="77" t="s">
        <v>87</v>
      </c>
      <c r="C312" s="76">
        <v>7.6</v>
      </c>
      <c r="D312" s="76">
        <v>79.100000000000009</v>
      </c>
    </row>
    <row r="313" spans="1:4" x14ac:dyDescent="0.2">
      <c r="A313" s="77"/>
      <c r="B313" s="77" t="s">
        <v>88</v>
      </c>
      <c r="C313" s="76">
        <v>12</v>
      </c>
      <c r="D313" s="76">
        <v>59</v>
      </c>
    </row>
    <row r="314" spans="1:4" x14ac:dyDescent="0.2">
      <c r="A314" s="77"/>
      <c r="B314" s="77" t="s">
        <v>89</v>
      </c>
      <c r="C314" s="76">
        <v>37</v>
      </c>
      <c r="D314" s="76">
        <v>54.4</v>
      </c>
    </row>
    <row r="315" spans="1:4" x14ac:dyDescent="0.2">
      <c r="A315" s="77"/>
      <c r="B315" s="77" t="s">
        <v>90</v>
      </c>
      <c r="C315" s="76">
        <v>252.3</v>
      </c>
      <c r="D315" s="76">
        <v>0.9</v>
      </c>
    </row>
    <row r="316" spans="1:4" x14ac:dyDescent="0.2">
      <c r="A316" s="77"/>
      <c r="B316" s="77" t="s">
        <v>91</v>
      </c>
      <c r="C316" s="76">
        <v>337</v>
      </c>
      <c r="D316" s="76">
        <v>0</v>
      </c>
    </row>
    <row r="317" spans="1:4" x14ac:dyDescent="0.2">
      <c r="A317" s="77"/>
      <c r="B317" s="77" t="s">
        <v>93</v>
      </c>
      <c r="C317" s="76">
        <v>408.99999999999989</v>
      </c>
      <c r="D317" s="76">
        <v>0</v>
      </c>
    </row>
  </sheetData>
  <mergeCells count="1">
    <mergeCell ref="C3:D3"/>
  </mergeCells>
  <phoneticPr fontId="9" type="noConversion"/>
  <pageMargins left="0.7" right="0.7" top="0.75" bottom="0.75" header="0.3" footer="0.3"/>
  <pageSetup orientation="portrait" verticalDpi="0" r:id="rId1"/>
  <headerFooter alignWithMargins="0"/>
  <cellWatches>
    <cellWatch r="C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Exhibit 3 Tables</vt:lpstr>
      <vt:lpstr>Summary</vt:lpstr>
      <vt:lpstr>Purchased Power Model </vt:lpstr>
      <vt:lpstr>Purchased Power Model WN</vt:lpstr>
      <vt:lpstr>Rate Class Energy Model</vt:lpstr>
      <vt:lpstr>Rate Class Customer Model</vt:lpstr>
      <vt:lpstr>Rate Class Load Model</vt:lpstr>
      <vt:lpstr>CDM Activity</vt:lpstr>
      <vt:lpstr>Historical HDD &amp; CDD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Bruce Bacon</cp:lastModifiedBy>
  <cp:lastPrinted>2012-08-14T01:12:26Z</cp:lastPrinted>
  <dcterms:created xsi:type="dcterms:W3CDTF">2008-02-06T18:24:44Z</dcterms:created>
  <dcterms:modified xsi:type="dcterms:W3CDTF">2017-04-01T00:46:19Z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