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017 Data\2017 COS Application\Settlement\"/>
    </mc:Choice>
  </mc:AlternateContent>
  <bookViews>
    <workbookView xWindow="0" yWindow="0" windowWidth="28800" windowHeight="13020" tabRatio="831" activeTab="1"/>
  </bookViews>
  <sheets>
    <sheet name="Exibit 3 Tables" sheetId="28" r:id="rId1"/>
    <sheet name="Summary" sheetId="11" r:id="rId2"/>
    <sheet name="Purchased Power Model " sheetId="19" r:id="rId3"/>
    <sheet name="Purchased Power Model  WN" sheetId="30" r:id="rId4"/>
    <sheet name="Rate Class Energy Model" sheetId="9" r:id="rId5"/>
    <sheet name="Rate Class Customer Model" sheetId="17" r:id="rId6"/>
    <sheet name="Rate Class Load Model" sheetId="18" r:id="rId7"/>
    <sheet name="Weather Analysis" sheetId="23" r:id="rId8"/>
    <sheet name="Intermediate" sheetId="2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CAP1000" localSheetId="3">#REF!</definedName>
    <definedName name="__CAP1000">#REF!</definedName>
    <definedName name="__OP1000" localSheetId="3">#REF!</definedName>
    <definedName name="__OP1000">#REF!</definedName>
    <definedName name="_110" localSheetId="3">#REF!</definedName>
    <definedName name="_110">#REF!</definedName>
    <definedName name="_110INPT" localSheetId="3">#REF!</definedName>
    <definedName name="_110INPT">#REF!</definedName>
    <definedName name="_115" localSheetId="3">#REF!</definedName>
    <definedName name="_115">#REF!</definedName>
    <definedName name="_115INPT" localSheetId="3">#REF!</definedName>
    <definedName name="_115INPT">#REF!</definedName>
    <definedName name="_120" localSheetId="3">#REF!</definedName>
    <definedName name="_120">#REF!</definedName>
    <definedName name="_140" localSheetId="3">#REF!</definedName>
    <definedName name="_140">#REF!</definedName>
    <definedName name="_140INPT" localSheetId="3">#REF!</definedName>
    <definedName name="_140INPT">#REF!</definedName>
    <definedName name="_CAP1000" localSheetId="3">#REF!</definedName>
    <definedName name="_CAP1000">#REF!</definedName>
    <definedName name="_Fill" hidden="1">'[1]Old MEA Statistics'!$B$250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localSheetId="0" hidden="1">[2]Sheet1!$G$40:$K$40</definedName>
    <definedName name="_Sort" localSheetId="7" hidden="1">[3]Sheet1!$G$40:$K$40</definedName>
    <definedName name="_Sort" hidden="1">[4]Sheet1!$G$40:$K$40</definedName>
    <definedName name="ALL" localSheetId="3">#REF!</definedName>
    <definedName name="ALL">#REF!</definedName>
    <definedName name="ApprovedYr">[5]Z1.ModelVariables!$C$12</definedName>
    <definedName name="CAfile" localSheetId="0">[6]Refs!$B$2</definedName>
    <definedName name="CAfile">[7]Refs!$B$2</definedName>
    <definedName name="CAPCOSTS" localSheetId="3">#REF!</definedName>
    <definedName name="CAPCOSTS">#REF!</definedName>
    <definedName name="CAPITAL" localSheetId="3">#REF!</definedName>
    <definedName name="CAPITAL">#REF!</definedName>
    <definedName name="CapitalExpListing" localSheetId="3">#REF!</definedName>
    <definedName name="CapitalExpListing">#REF!</definedName>
    <definedName name="CArevReq" localSheetId="0">[6]Refs!$B$6</definedName>
    <definedName name="CArevReq">[7]Refs!$B$6</definedName>
    <definedName name="CASHFLOW" localSheetId="3">#REF!</definedName>
    <definedName name="CASHFLOW">#REF!</definedName>
    <definedName name="cc" localSheetId="3">#REF!</definedName>
    <definedName name="cc">#REF!</definedName>
    <definedName name="ClassRange1" localSheetId="0">[6]Refs!$B$3</definedName>
    <definedName name="ClassRange1">[7]Refs!$B$3</definedName>
    <definedName name="ClassRange2" localSheetId="0">[6]Refs!$B$4</definedName>
    <definedName name="ClassRange2">[7]Refs!$B$4</definedName>
    <definedName name="contactf" localSheetId="3">#REF!</definedName>
    <definedName name="contactf">#REF!</definedName>
    <definedName name="_xlnm.Criteria" localSheetId="3">#REF!</definedName>
    <definedName name="_xlnm.Criteria">#REF!</definedName>
    <definedName name="CRLF">[5]Z1.ModelVariables!$C$10</definedName>
    <definedName name="_xlnm.Database" localSheetId="3">#REF!</definedName>
    <definedName name="_xlnm.Database">#REF!</definedName>
    <definedName name="DaysInPreviousYear">'[8]Distribution Revenue by Source'!$B$22</definedName>
    <definedName name="DaysInYear">'[8]Distribution Revenue by Source'!$B$21</definedName>
    <definedName name="DEBTREPAY" localSheetId="3">#REF!</definedName>
    <definedName name="DEBTREPAY">#REF!</definedName>
    <definedName name="DeptDiv" localSheetId="3">#REF!</definedName>
    <definedName name="DeptDiv">#REF!</definedName>
    <definedName name="ExpenseAccountListing" localSheetId="3">#REF!</definedName>
    <definedName name="ExpenseAccountListing">#REF!</definedName>
    <definedName name="_xlnm.Extract" localSheetId="3">#REF!</definedName>
    <definedName name="_xlnm.Extract">#REF!</definedName>
    <definedName name="FakeBlank">[5]Z1.ModelVariables!$C$14</definedName>
    <definedName name="FolderPath" localSheetId="0">[6]Menu!$C$8</definedName>
    <definedName name="FolderPath">[7]Menu!$C$8</definedName>
    <definedName name="histdate">[9]Financials!$E$76</definedName>
    <definedName name="Incr2000" localSheetId="3">#REF!</definedName>
    <definedName name="Incr2000">#REF!</definedName>
    <definedName name="INTERIM" localSheetId="3">#REF!</definedName>
    <definedName name="INTERIM">#REF!</definedName>
    <definedName name="LIMIT" localSheetId="3">#REF!</definedName>
    <definedName name="LIMIT">#REF!</definedName>
    <definedName name="m">'Exibit 3 Tables'!$AD$418</definedName>
    <definedName name="man_beg_bud" localSheetId="3">#REF!</definedName>
    <definedName name="man_beg_bud">#REF!</definedName>
    <definedName name="man_end_bud" localSheetId="3">#REF!</definedName>
    <definedName name="man_end_bud">#REF!</definedName>
    <definedName name="man12ACT" localSheetId="3">#REF!</definedName>
    <definedName name="man12ACT">#REF!</definedName>
    <definedName name="MANBUD" localSheetId="3">#REF!</definedName>
    <definedName name="MANBUD">#REF!</definedName>
    <definedName name="manCYACT" localSheetId="3">#REF!</definedName>
    <definedName name="manCYACT">#REF!</definedName>
    <definedName name="manCYBUD" localSheetId="3">#REF!</definedName>
    <definedName name="manCYBUD">#REF!</definedName>
    <definedName name="manCYF" localSheetId="3">#REF!</definedName>
    <definedName name="manCYF">#REF!</definedName>
    <definedName name="MANEND" localSheetId="3">#REF!</definedName>
    <definedName name="MANEND">#REF!</definedName>
    <definedName name="manNYbud" localSheetId="3">#REF!</definedName>
    <definedName name="manNYbud">#REF!</definedName>
    <definedName name="manpower_costs" localSheetId="3">#REF!</definedName>
    <definedName name="manpower_costs">#REF!</definedName>
    <definedName name="manPYACT" localSheetId="3">#REF!</definedName>
    <definedName name="manPYACT">#REF!</definedName>
    <definedName name="MANSTART" localSheetId="3">#REF!</definedName>
    <definedName name="MANSTART">#REF!</definedName>
    <definedName name="mat_beg_bud" localSheetId="3">#REF!</definedName>
    <definedName name="mat_beg_bud">#REF!</definedName>
    <definedName name="mat_end_bud" localSheetId="3">#REF!</definedName>
    <definedName name="mat_end_bud">#REF!</definedName>
    <definedName name="mat12ACT" localSheetId="3">#REF!</definedName>
    <definedName name="mat12ACT">#REF!</definedName>
    <definedName name="MATBUD" localSheetId="3">#REF!</definedName>
    <definedName name="MATBUD">#REF!</definedName>
    <definedName name="matCYACT" localSheetId="3">#REF!</definedName>
    <definedName name="matCYACT">#REF!</definedName>
    <definedName name="matCYBUD" localSheetId="3">#REF!</definedName>
    <definedName name="matCYBUD">#REF!</definedName>
    <definedName name="matCYF" localSheetId="3">#REF!</definedName>
    <definedName name="matCYF">#REF!</definedName>
    <definedName name="MATEND" localSheetId="3">#REF!</definedName>
    <definedName name="MATEND">#REF!</definedName>
    <definedName name="material_costs" localSheetId="3">#REF!</definedName>
    <definedName name="material_costs">#REF!</definedName>
    <definedName name="matNYbud" localSheetId="3">#REF!</definedName>
    <definedName name="matNYbud">#REF!</definedName>
    <definedName name="matPYACT" localSheetId="3">#REF!</definedName>
    <definedName name="matPYACT">#REF!</definedName>
    <definedName name="MATSTART" localSheetId="3">#REF!</definedName>
    <definedName name="MATSTART">#REF!</definedName>
    <definedName name="mea" localSheetId="3">#REF!</definedName>
    <definedName name="mea">#REF!</definedName>
    <definedName name="MEABAL" localSheetId="3">#REF!</definedName>
    <definedName name="MEABAL">#REF!</definedName>
    <definedName name="MEACASH" localSheetId="3">#REF!</definedName>
    <definedName name="MEACASH">#REF!</definedName>
    <definedName name="MEAEQITY" localSheetId="3">#REF!</definedName>
    <definedName name="MEAEQITY">#REF!</definedName>
    <definedName name="MEAOP" localSheetId="3">#REF!</definedName>
    <definedName name="MEAOP">#REF!</definedName>
    <definedName name="MofF" localSheetId="3">#REF!</definedName>
    <definedName name="MofF">#REF!</definedName>
    <definedName name="NewRevReq" localSheetId="0">[6]Refs!$B$8</definedName>
    <definedName name="NewRevReq">[7]Refs!$B$8</definedName>
    <definedName name="NOTES" localSheetId="3">#REF!</definedName>
    <definedName name="NOTES">#REF!</definedName>
    <definedName name="OPERATING" localSheetId="3">#REF!</definedName>
    <definedName name="OPERATING">#REF!</definedName>
    <definedName name="oth_beg_bud" localSheetId="3">#REF!</definedName>
    <definedName name="oth_beg_bud">#REF!</definedName>
    <definedName name="oth_end_bud" localSheetId="3">#REF!</definedName>
    <definedName name="oth_end_bud">#REF!</definedName>
    <definedName name="oth12ACT" localSheetId="3">#REF!</definedName>
    <definedName name="oth12ACT">#REF!</definedName>
    <definedName name="othCYACT" localSheetId="3">#REF!</definedName>
    <definedName name="othCYACT">#REF!</definedName>
    <definedName name="othCYBUD" localSheetId="3">#REF!</definedName>
    <definedName name="othCYBUD">#REF!</definedName>
    <definedName name="othCYF" localSheetId="3">#REF!</definedName>
    <definedName name="othCYF">#REF!</definedName>
    <definedName name="OTHEND" localSheetId="3">#REF!</definedName>
    <definedName name="OTHEND">#REF!</definedName>
    <definedName name="other_costs" localSheetId="3">#REF!</definedName>
    <definedName name="other_costs">#REF!</definedName>
    <definedName name="OTHERBUD" localSheetId="3">#REF!</definedName>
    <definedName name="OTHERBUD">#REF!</definedName>
    <definedName name="othNYbud" localSheetId="3">#REF!</definedName>
    <definedName name="othNYbud">#REF!</definedName>
    <definedName name="othPYACT" localSheetId="3">#REF!</definedName>
    <definedName name="othPYACT">#REF!</definedName>
    <definedName name="OTHSTART" localSheetId="3">#REF!</definedName>
    <definedName name="OTHSTART">#REF!</definedName>
    <definedName name="PAGE11" localSheetId="0">#REF!</definedName>
    <definedName name="PAGE11" localSheetId="3">#REF!</definedName>
    <definedName name="PAGE11" localSheetId="7">#REF!</definedName>
    <definedName name="PAGE11">#REF!</definedName>
    <definedName name="PAGE2" localSheetId="0">[2]Sheet1!$A$1:$I$40</definedName>
    <definedName name="PAGE2" localSheetId="7">[3]Sheet1!$A$1:$I$40</definedName>
    <definedName name="PAGE2">[4]Sheet1!$A$1:$I$40</definedName>
    <definedName name="PAGE3" localSheetId="0">#REF!</definedName>
    <definedName name="PAGE3" localSheetId="3">#REF!</definedName>
    <definedName name="PAGE3" localSheetId="7">#REF!</definedName>
    <definedName name="PAGE3">#REF!</definedName>
    <definedName name="PAGE4" localSheetId="0">#REF!</definedName>
    <definedName name="PAGE4" localSheetId="3">#REF!</definedName>
    <definedName name="PAGE4" localSheetId="7">#REF!</definedName>
    <definedName name="PAGE4">#REF!</definedName>
    <definedName name="PAGE7" localSheetId="0">#REF!</definedName>
    <definedName name="PAGE7" localSheetId="3">#REF!</definedName>
    <definedName name="PAGE7" localSheetId="7">#REF!</definedName>
    <definedName name="PAGE7">#REF!</definedName>
    <definedName name="PAGE9" localSheetId="0">#REF!</definedName>
    <definedName name="PAGE9" localSheetId="3">#REF!</definedName>
    <definedName name="PAGE9" localSheetId="7">#REF!</definedName>
    <definedName name="PAGE9">#REF!</definedName>
    <definedName name="PageOne" localSheetId="3">#REF!</definedName>
    <definedName name="PageOne">#REF!</definedName>
    <definedName name="PR" localSheetId="3">#REF!</definedName>
    <definedName name="PR">#REF!</definedName>
    <definedName name="_xlnm.Print_Area" localSheetId="2">'Purchased Power Model '!$N$64:$N$87</definedName>
    <definedName name="_xlnm.Print_Area" localSheetId="3">'Purchased Power Model  WN'!$N$64:$N$87</definedName>
    <definedName name="_xlnm.Print_Area" localSheetId="5">'Rate Class Customer Model'!$A$1:$C$2</definedName>
    <definedName name="_xlnm.Print_Area" localSheetId="4">'Rate Class Energy Model'!$A$1:$I$2</definedName>
    <definedName name="_xlnm.Print_Area" localSheetId="6">'Rate Class Load Model'!$A$1:$A$1</definedName>
    <definedName name="Print_Area_MI" localSheetId="3">#REF!</definedName>
    <definedName name="Print_Area_MI">#REF!</definedName>
    <definedName name="print_end" localSheetId="3">#REF!</definedName>
    <definedName name="print_end">#REF!</definedName>
    <definedName name="PRIOR" localSheetId="3">#REF!</definedName>
    <definedName name="PRIOR">#REF!</definedName>
    <definedName name="Ratebase">'[8]Distribution Revenue by Source'!$C$25</definedName>
    <definedName name="RevReqLookupKey" localSheetId="0">[6]Refs!$B$5</definedName>
    <definedName name="RevReqLookupKey">[7]Refs!$B$5</definedName>
    <definedName name="RevReqRange" localSheetId="0">[6]Refs!$B$7</definedName>
    <definedName name="RevReqRange">[7]Refs!$B$7</definedName>
    <definedName name="RVCASHPR" localSheetId="3">#REF!</definedName>
    <definedName name="RVCASHPR">#REF!</definedName>
    <definedName name="SALBENF" localSheetId="3">#REF!</definedName>
    <definedName name="SALBENF">#REF!</definedName>
    <definedName name="salreg" localSheetId="3">#REF!</definedName>
    <definedName name="salreg">#REF!</definedName>
    <definedName name="SALREGF" localSheetId="3">#REF!</definedName>
    <definedName name="SALREGF">#REF!</definedName>
    <definedName name="SOURCEAPP" localSheetId="3">#REF!</definedName>
    <definedName name="SOURCEAPP">#REF!</definedName>
    <definedName name="STATS1" localSheetId="3">#REF!</definedName>
    <definedName name="STATS1">#REF!</definedName>
    <definedName name="STATS2" localSheetId="3">#REF!</definedName>
    <definedName name="STATS2">#REF!</definedName>
    <definedName name="Surtax" localSheetId="3">#REF!</definedName>
    <definedName name="Surtax">#REF!</definedName>
    <definedName name="TEMPA" localSheetId="3">#REF!</definedName>
    <definedName name="TEMPA">#REF!</definedName>
    <definedName name="TestYr">[5]A1.Admin!$C$13</definedName>
    <definedName name="TestYrPL">'[10]Revenue Requirement'!$B$10</definedName>
    <definedName name="total_dept" localSheetId="3">#REF!</definedName>
    <definedName name="total_dept">#REF!</definedName>
    <definedName name="total_manpower" localSheetId="3">#REF!</definedName>
    <definedName name="total_manpower">#REF!</definedName>
    <definedName name="total_material" localSheetId="3">#REF!</definedName>
    <definedName name="total_material">#REF!</definedName>
    <definedName name="total_other" localSheetId="3">#REF!</definedName>
    <definedName name="total_other">#REF!</definedName>
    <definedName name="total_transportation" localSheetId="3">#REF!</definedName>
    <definedName name="total_transportation">#REF!</definedName>
    <definedName name="TOTCAPADDITIONS" localSheetId="3">#REF!</definedName>
    <definedName name="TOTCAPADDITIONS">#REF!</definedName>
    <definedName name="TRANBUD" localSheetId="3">#REF!</definedName>
    <definedName name="TRANBUD">#REF!</definedName>
    <definedName name="TRANEND" localSheetId="3">#REF!</definedName>
    <definedName name="TRANEND">#REF!</definedName>
    <definedName name="TRANSCAP" localSheetId="3">#REF!</definedName>
    <definedName name="TRANSCAP">#REF!</definedName>
    <definedName name="TRANSFER" localSheetId="3">#REF!</definedName>
    <definedName name="TRANSFER">#REF!</definedName>
    <definedName name="transportation_costs" localSheetId="3">#REF!</definedName>
    <definedName name="transportation_costs">#REF!</definedName>
    <definedName name="TRANSTART" localSheetId="3">#REF!</definedName>
    <definedName name="TRANSTART">#REF!</definedName>
    <definedName name="trn_beg_bud" localSheetId="3">#REF!</definedName>
    <definedName name="trn_beg_bud">#REF!</definedName>
    <definedName name="trn_end_bud" localSheetId="3">#REF!</definedName>
    <definedName name="trn_end_bud">#REF!</definedName>
    <definedName name="trn12ACT" localSheetId="3">#REF!</definedName>
    <definedName name="trn12ACT">#REF!</definedName>
    <definedName name="trnCYACT" localSheetId="3">#REF!</definedName>
    <definedName name="trnCYACT">#REF!</definedName>
    <definedName name="trnCYBUD" localSheetId="3">#REF!</definedName>
    <definedName name="trnCYBUD">#REF!</definedName>
    <definedName name="trnCYF" localSheetId="3">#REF!</definedName>
    <definedName name="trnCYF">#REF!</definedName>
    <definedName name="trnNYbud" localSheetId="3">#REF!</definedName>
    <definedName name="trnNYbud">#REF!</definedName>
    <definedName name="trnPYACT" localSheetId="3">#REF!</definedName>
    <definedName name="trnPYACT">#REF!</definedName>
    <definedName name="Utility">[9]Financials!$A$1</definedName>
    <definedName name="utitliy1">[11]Financials!$A$1</definedName>
    <definedName name="WAGBENF" localSheetId="3">#REF!</definedName>
    <definedName name="WAGBENF">#REF!</definedName>
    <definedName name="wagdob" localSheetId="3">#REF!</definedName>
    <definedName name="wagdob">#REF!</definedName>
    <definedName name="wagdobf" localSheetId="3">#REF!</definedName>
    <definedName name="wagdobf">#REF!</definedName>
    <definedName name="wagreg" localSheetId="3">#REF!</definedName>
    <definedName name="wagreg">#REF!</definedName>
    <definedName name="wagregf" localSheetId="3">#REF!</definedName>
    <definedName name="wagregf">#REF!</definedName>
  </definedNames>
  <calcPr calcId="152511" iterate="1"/>
</workbook>
</file>

<file path=xl/calcChain.xml><?xml version="1.0" encoding="utf-8"?>
<calcChain xmlns="http://schemas.openxmlformats.org/spreadsheetml/2006/main">
  <c r="J80" i="9" l="1"/>
  <c r="J81" i="9"/>
  <c r="I85" i="9"/>
  <c r="I86" i="9"/>
  <c r="I84" i="9"/>
  <c r="B283" i="28" s="1"/>
  <c r="G86" i="9"/>
  <c r="G85" i="9"/>
  <c r="G84" i="9"/>
  <c r="H84" i="9" l="1"/>
  <c r="B275" i="28" s="1"/>
  <c r="B267" i="28"/>
  <c r="I81" i="9"/>
  <c r="D283" i="28"/>
  <c r="G80" i="9"/>
  <c r="C267" i="28"/>
  <c r="I80" i="9"/>
  <c r="C283" i="28"/>
  <c r="H86" i="9"/>
  <c r="D267" i="28"/>
  <c r="H85" i="9"/>
  <c r="G81" i="9"/>
  <c r="O44" i="28"/>
  <c r="O94" i="28"/>
  <c r="M101" i="28"/>
  <c r="M100" i="28"/>
  <c r="M99" i="28"/>
  <c r="M98" i="28"/>
  <c r="M97" i="28"/>
  <c r="M96" i="28"/>
  <c r="O96" i="28" s="1"/>
  <c r="M95" i="28"/>
  <c r="M94" i="28"/>
  <c r="L95" i="28"/>
  <c r="L96" i="28"/>
  <c r="L97" i="28"/>
  <c r="L98" i="28"/>
  <c r="N98" i="28" s="1"/>
  <c r="L99" i="28"/>
  <c r="O99" i="28" s="1"/>
  <c r="L101" i="28"/>
  <c r="O101" i="28" s="1"/>
  <c r="L94" i="28"/>
  <c r="N101" i="28"/>
  <c r="O95" i="28"/>
  <c r="O383" i="28"/>
  <c r="O395" i="28"/>
  <c r="AD420" i="28" s="1"/>
  <c r="O390" i="28"/>
  <c r="AD419" i="28" s="1"/>
  <c r="O386" i="28"/>
  <c r="AD418" i="28" s="1"/>
  <c r="O382" i="28"/>
  <c r="AD417" i="28" s="1"/>
  <c r="F91" i="28"/>
  <c r="D91" i="28"/>
  <c r="C91" i="28"/>
  <c r="B91" i="28"/>
  <c r="N99" i="28" l="1"/>
  <c r="N95" i="28"/>
  <c r="H80" i="9"/>
  <c r="C275" i="28"/>
  <c r="H81" i="9"/>
  <c r="D275" i="28"/>
  <c r="N97" i="28"/>
  <c r="M102" i="28"/>
  <c r="N96" i="28"/>
  <c r="O98" i="28"/>
  <c r="O97" i="28"/>
  <c r="N94" i="28"/>
  <c r="M87" i="28" l="1"/>
  <c r="L100" i="28" s="1"/>
  <c r="L87" i="28"/>
  <c r="O87" i="28" s="1"/>
  <c r="L85" i="28"/>
  <c r="N85" i="28" s="1"/>
  <c r="L84" i="28"/>
  <c r="N84" i="28" s="1"/>
  <c r="L81" i="28"/>
  <c r="M74" i="28"/>
  <c r="N74" i="28" s="1"/>
  <c r="M72" i="28"/>
  <c r="M71" i="28"/>
  <c r="M68" i="28"/>
  <c r="L74" i="28"/>
  <c r="L73" i="28"/>
  <c r="N73" i="28" s="1"/>
  <c r="L72" i="28"/>
  <c r="O72" i="28" s="1"/>
  <c r="L71" i="28"/>
  <c r="L68" i="28"/>
  <c r="M62" i="28"/>
  <c r="M61" i="28"/>
  <c r="M60" i="28"/>
  <c r="M59" i="28"/>
  <c r="M56" i="28"/>
  <c r="O56" i="28" s="1"/>
  <c r="L62" i="28"/>
  <c r="O62" i="28" s="1"/>
  <c r="L61" i="28"/>
  <c r="O61" i="28" s="1"/>
  <c r="L60" i="28"/>
  <c r="L59" i="28"/>
  <c r="N59" i="28" s="1"/>
  <c r="M50" i="28"/>
  <c r="N50" i="28" s="1"/>
  <c r="M48" i="28"/>
  <c r="M47" i="28"/>
  <c r="O47" i="28" s="1"/>
  <c r="M89" i="28"/>
  <c r="O88" i="28"/>
  <c r="N88" i="28"/>
  <c r="O86" i="28"/>
  <c r="N86" i="28"/>
  <c r="O83" i="28"/>
  <c r="N83" i="28"/>
  <c r="O82" i="28"/>
  <c r="N82" i="28"/>
  <c r="O75" i="28"/>
  <c r="N75" i="28"/>
  <c r="O70" i="28"/>
  <c r="N70" i="28"/>
  <c r="O69" i="28"/>
  <c r="N69" i="28"/>
  <c r="O63" i="28"/>
  <c r="N63" i="28"/>
  <c r="O58" i="28"/>
  <c r="N58" i="28"/>
  <c r="O57" i="28"/>
  <c r="N57" i="28"/>
  <c r="O51" i="28"/>
  <c r="N51" i="28"/>
  <c r="O49" i="28"/>
  <c r="N49" i="28"/>
  <c r="O48" i="28"/>
  <c r="N48" i="28"/>
  <c r="O46" i="28"/>
  <c r="N46" i="28"/>
  <c r="O45" i="28"/>
  <c r="N45" i="28"/>
  <c r="L52" i="28"/>
  <c r="O34" i="28"/>
  <c r="O37" i="28"/>
  <c r="O39" i="28"/>
  <c r="O33" i="28"/>
  <c r="N34" i="28"/>
  <c r="N37" i="28"/>
  <c r="N39" i="28"/>
  <c r="M18" i="28"/>
  <c r="M40" i="28"/>
  <c r="L38" i="28"/>
  <c r="O38" i="28" s="1"/>
  <c r="L36" i="28"/>
  <c r="N36" i="28" s="1"/>
  <c r="L35" i="28"/>
  <c r="N35" i="28" s="1"/>
  <c r="L32" i="28"/>
  <c r="O32" i="28" s="1"/>
  <c r="N81" i="28" l="1"/>
  <c r="O81" i="28"/>
  <c r="N47" i="28"/>
  <c r="O68" i="28"/>
  <c r="O100" i="28"/>
  <c r="L102" i="28"/>
  <c r="O102" i="28" s="1"/>
  <c r="N100" i="28"/>
  <c r="N102" i="28" s="1"/>
  <c r="M76" i="28"/>
  <c r="O76" i="28" s="1"/>
  <c r="L76" i="28"/>
  <c r="O50" i="28"/>
  <c r="O84" i="28"/>
  <c r="N38" i="28"/>
  <c r="L40" i="28"/>
  <c r="O40" i="28" s="1"/>
  <c r="N60" i="28"/>
  <c r="N32" i="28"/>
  <c r="N40" i="28" s="1"/>
  <c r="M64" i="28"/>
  <c r="O36" i="28"/>
  <c r="O35" i="28"/>
  <c r="N87" i="28"/>
  <c r="O71" i="28"/>
  <c r="O73" i="28"/>
  <c r="O59" i="28"/>
  <c r="N62" i="28"/>
  <c r="L64" i="28"/>
  <c r="O60" i="28"/>
  <c r="N61" i="28"/>
  <c r="M52" i="28"/>
  <c r="O52" i="28" s="1"/>
  <c r="O85" i="28"/>
  <c r="L89" i="28"/>
  <c r="O89" i="28" s="1"/>
  <c r="O74" i="28"/>
  <c r="N68" i="28"/>
  <c r="N72" i="28"/>
  <c r="N71" i="28"/>
  <c r="N56" i="28"/>
  <c r="N44" i="28"/>
  <c r="N52" i="28" s="1"/>
  <c r="Y542" i="28"/>
  <c r="Y541" i="28"/>
  <c r="Y540" i="28"/>
  <c r="Y539" i="28"/>
  <c r="N89" i="28" l="1"/>
  <c r="O64" i="28"/>
  <c r="N64" i="28"/>
  <c r="N76" i="28"/>
  <c r="S4" i="28" l="1"/>
  <c r="S7" i="28" l="1"/>
  <c r="S6" i="28"/>
  <c r="S5" i="28"/>
  <c r="L7" i="28"/>
  <c r="L6" i="28"/>
  <c r="L5" i="28"/>
  <c r="L4" i="28"/>
  <c r="N5" i="28"/>
  <c r="N4" i="28"/>
  <c r="P5" i="28"/>
  <c r="P4" i="28"/>
  <c r="O4" i="28"/>
  <c r="O6" i="28"/>
  <c r="O7" i="28"/>
  <c r="O5" i="28"/>
  <c r="N6" i="28" l="1"/>
  <c r="S16" i="28" l="1"/>
  <c r="R16" i="28"/>
  <c r="R18" i="28" s="1"/>
  <c r="P10" i="28" l="1"/>
  <c r="P7" i="28"/>
  <c r="P6" i="28"/>
  <c r="Q6" i="28"/>
  <c r="Q5" i="28"/>
  <c r="Q4" i="28"/>
  <c r="R4" i="28"/>
  <c r="N10" i="28" l="1"/>
  <c r="Q7" i="28" l="1"/>
  <c r="O402" i="28" l="1"/>
  <c r="Y520" i="28"/>
  <c r="Y519" i="28"/>
  <c r="R8" i="28" l="1"/>
  <c r="R19" i="28" l="1"/>
  <c r="W11" i="28"/>
  <c r="Q14" i="28"/>
  <c r="L16" i="28" l="1"/>
  <c r="L14" i="28"/>
  <c r="L13" i="28"/>
  <c r="L10" i="28"/>
  <c r="N16" i="28"/>
  <c r="N15" i="28"/>
  <c r="N14" i="28"/>
  <c r="N13" i="28"/>
  <c r="N18" i="28" s="1"/>
  <c r="O16" i="28"/>
  <c r="O15" i="28"/>
  <c r="O14" i="28"/>
  <c r="O13" i="28"/>
  <c r="P16" i="28"/>
  <c r="P15" i="28"/>
  <c r="P14" i="28"/>
  <c r="P13" i="28"/>
  <c r="Q16" i="28"/>
  <c r="Q13" i="28"/>
  <c r="Q10" i="28"/>
  <c r="AD548" i="28" l="1"/>
  <c r="AG548" i="28" s="1"/>
  <c r="AK548" i="28" s="1"/>
  <c r="AH547" i="28"/>
  <c r="X542" i="28"/>
  <c r="Y543" i="28"/>
  <c r="X538" i="28"/>
  <c r="AC548" i="28" s="1"/>
  <c r="AF548" i="28" s="1"/>
  <c r="AJ548" i="28" s="1"/>
  <c r="Y518" i="28"/>
  <c r="Y517" i="28"/>
  <c r="X539" i="28" s="1"/>
  <c r="AD526" i="28"/>
  <c r="AG526" i="28" s="1"/>
  <c r="AK526" i="28" s="1"/>
  <c r="X516" i="28"/>
  <c r="AC526" i="28" s="1"/>
  <c r="AF526" i="28" s="1"/>
  <c r="Y496" i="28"/>
  <c r="X518" i="28" s="1"/>
  <c r="Y497" i="28"/>
  <c r="X519" i="28" s="1"/>
  <c r="Y498" i="28"/>
  <c r="X520" i="28" s="1"/>
  <c r="Y495" i="28"/>
  <c r="X517" i="28" s="1"/>
  <c r="AD504" i="28"/>
  <c r="AG504" i="28" s="1"/>
  <c r="AI504" i="28" s="1"/>
  <c r="AM504" i="28" s="1"/>
  <c r="X494" i="28"/>
  <c r="AC504" i="28" s="1"/>
  <c r="AF504" i="28" s="1"/>
  <c r="Y474" i="28"/>
  <c r="X496" i="28" s="1"/>
  <c r="Y475" i="28"/>
  <c r="X497" i="28" s="1"/>
  <c r="Y476" i="28"/>
  <c r="X498" i="28" s="1"/>
  <c r="Y473" i="28"/>
  <c r="X495" i="28" s="1"/>
  <c r="AD482" i="28"/>
  <c r="AG482" i="28" s="1"/>
  <c r="X472" i="28"/>
  <c r="AC482" i="28" s="1"/>
  <c r="AF482" i="28" s="1"/>
  <c r="Y452" i="28"/>
  <c r="X474" i="28" s="1"/>
  <c r="Y453" i="28"/>
  <c r="X475" i="28" s="1"/>
  <c r="Y454" i="28"/>
  <c r="X476" i="28" s="1"/>
  <c r="Y451" i="28"/>
  <c r="X473" i="28" s="1"/>
  <c r="X450" i="28"/>
  <c r="AC460" i="28" s="1"/>
  <c r="AF460" i="28" s="1"/>
  <c r="AH460" i="28" s="1"/>
  <c r="AL460" i="28" s="1"/>
  <c r="AD460" i="28"/>
  <c r="AG460" i="28" s="1"/>
  <c r="AD438" i="28"/>
  <c r="AG438" i="28" s="1"/>
  <c r="AI438" i="28" s="1"/>
  <c r="AM438" i="28" s="1"/>
  <c r="AC438" i="28"/>
  <c r="AF438" i="28" s="1"/>
  <c r="AH438" i="28" s="1"/>
  <c r="AL438" i="28" s="1"/>
  <c r="X430" i="28"/>
  <c r="X431" i="28"/>
  <c r="X432" i="28"/>
  <c r="X429" i="28"/>
  <c r="AB415" i="28"/>
  <c r="AB437" i="28" s="1"/>
  <c r="AB459" i="28" s="1"/>
  <c r="AB481" i="28" s="1"/>
  <c r="AB503" i="28" s="1"/>
  <c r="AB525" i="28" s="1"/>
  <c r="AB547" i="28" s="1"/>
  <c r="AG420" i="28"/>
  <c r="AI420" i="28" s="1"/>
  <c r="AG419" i="28"/>
  <c r="AD416" i="28"/>
  <c r="AC416" i="28"/>
  <c r="X408" i="28"/>
  <c r="Y430" i="28" s="1"/>
  <c r="X452" i="28" s="1"/>
  <c r="Y408" i="28"/>
  <c r="X409" i="28"/>
  <c r="Y431" i="28" s="1"/>
  <c r="Y409" i="28"/>
  <c r="X410" i="28"/>
  <c r="Y432" i="28" s="1"/>
  <c r="Y410" i="28"/>
  <c r="Y407" i="28"/>
  <c r="X407" i="28"/>
  <c r="Y429" i="28" s="1"/>
  <c r="X451" i="28" s="1"/>
  <c r="Z520" i="28" l="1"/>
  <c r="AA520" i="28" s="1"/>
  <c r="Z498" i="28"/>
  <c r="AA498" i="28" s="1"/>
  <c r="Z497" i="28"/>
  <c r="AA497" i="28" s="1"/>
  <c r="Z474" i="28"/>
  <c r="AA474" i="28" s="1"/>
  <c r="Z519" i="28"/>
  <c r="AA519" i="28" s="1"/>
  <c r="X541" i="28"/>
  <c r="Z541" i="28" s="1"/>
  <c r="AA541" i="28" s="1"/>
  <c r="X521" i="28"/>
  <c r="Y477" i="28"/>
  <c r="X499" i="28"/>
  <c r="Y521" i="28"/>
  <c r="Z476" i="28"/>
  <c r="AA476" i="28" s="1"/>
  <c r="X540" i="28"/>
  <c r="Z540" i="28" s="1"/>
  <c r="AA540" i="28" s="1"/>
  <c r="Z542" i="28"/>
  <c r="AA542" i="28" s="1"/>
  <c r="AH548" i="28"/>
  <c r="AL548" i="28" s="1"/>
  <c r="Z539" i="28"/>
  <c r="AA539" i="28" s="1"/>
  <c r="AI548" i="28"/>
  <c r="AM548" i="28" s="1"/>
  <c r="AJ526" i="28"/>
  <c r="AH526" i="28"/>
  <c r="AL526" i="28" s="1"/>
  <c r="Z517" i="28"/>
  <c r="AA517" i="28" s="1"/>
  <c r="Z518" i="28"/>
  <c r="AA518" i="28" s="1"/>
  <c r="AI526" i="28"/>
  <c r="AM526" i="28" s="1"/>
  <c r="Y499" i="28"/>
  <c r="AJ504" i="28"/>
  <c r="AH504" i="28"/>
  <c r="AL504" i="28" s="1"/>
  <c r="AK504" i="28"/>
  <c r="Z495" i="28"/>
  <c r="AA495" i="28" s="1"/>
  <c r="Z496" i="28"/>
  <c r="AA496" i="28" s="1"/>
  <c r="Z431" i="28"/>
  <c r="AA431" i="28" s="1"/>
  <c r="X453" i="28"/>
  <c r="X477" i="28"/>
  <c r="Z475" i="28"/>
  <c r="AA475" i="28" s="1"/>
  <c r="Z432" i="28"/>
  <c r="AA432" i="28" s="1"/>
  <c r="AJ438" i="28"/>
  <c r="X454" i="28"/>
  <c r="Z454" i="28" s="1"/>
  <c r="AA454" i="28" s="1"/>
  <c r="Z473" i="28"/>
  <c r="AA473" i="28" s="1"/>
  <c r="AK438" i="28"/>
  <c r="Z409" i="28"/>
  <c r="AA409" i="28" s="1"/>
  <c r="AK482" i="28"/>
  <c r="AI482" i="28"/>
  <c r="AM482" i="28" s="1"/>
  <c r="AH482" i="28"/>
  <c r="AL482" i="28" s="1"/>
  <c r="AJ482" i="28"/>
  <c r="Y455" i="28"/>
  <c r="Z452" i="28"/>
  <c r="AA452" i="28" s="1"/>
  <c r="Z451" i="28"/>
  <c r="AA451" i="28" s="1"/>
  <c r="AK460" i="28"/>
  <c r="AI460" i="28"/>
  <c r="AM460" i="28" s="1"/>
  <c r="AJ460" i="28"/>
  <c r="Y433" i="28"/>
  <c r="Z430" i="28"/>
  <c r="AA430" i="28" s="1"/>
  <c r="AI419" i="28"/>
  <c r="X433" i="28"/>
  <c r="Z429" i="28"/>
  <c r="AA429" i="28" s="1"/>
  <c r="Z410" i="28"/>
  <c r="AA410" i="28" s="1"/>
  <c r="Z408" i="28"/>
  <c r="AA408" i="28" s="1"/>
  <c r="X543" i="28" l="1"/>
  <c r="Z543" i="28" s="1"/>
  <c r="AA543" i="28" s="1"/>
  <c r="X455" i="28"/>
  <c r="Z455" i="28" s="1"/>
  <c r="AA455" i="28" s="1"/>
  <c r="Z477" i="28"/>
  <c r="AA477" i="28" s="1"/>
  <c r="Z499" i="28"/>
  <c r="AA499" i="28" s="1"/>
  <c r="Z521" i="28"/>
  <c r="AA521" i="28" s="1"/>
  <c r="Z433" i="28"/>
  <c r="AA433" i="28" s="1"/>
  <c r="Z453" i="28"/>
  <c r="AA453" i="28" s="1"/>
  <c r="D293" i="28" l="1"/>
  <c r="D294" i="28" s="1"/>
  <c r="C292" i="28"/>
  <c r="D292" i="28" s="1"/>
  <c r="B291" i="28"/>
  <c r="B294" i="28" s="1"/>
  <c r="D285" i="28"/>
  <c r="D286" i="28" s="1"/>
  <c r="C284" i="28"/>
  <c r="D284" i="28" s="1"/>
  <c r="B286" i="28"/>
  <c r="D277" i="28"/>
  <c r="D278" i="28" s="1"/>
  <c r="C276" i="28"/>
  <c r="D276" i="28" s="1"/>
  <c r="B278" i="28"/>
  <c r="C268" i="28"/>
  <c r="D268" i="28" s="1"/>
  <c r="D269" i="28"/>
  <c r="D270" i="28" s="1"/>
  <c r="B271" i="28"/>
  <c r="B270" i="28" l="1"/>
  <c r="C294" i="28"/>
  <c r="C291" i="28"/>
  <c r="D299" i="28" s="1"/>
  <c r="D318" i="28" s="1"/>
  <c r="B295" i="28"/>
  <c r="C286" i="28"/>
  <c r="C299" i="28"/>
  <c r="C318" i="28" s="1"/>
  <c r="B287" i="28"/>
  <c r="C278" i="28"/>
  <c r="B299" i="28"/>
  <c r="B318" i="28" s="1"/>
  <c r="B279" i="28"/>
  <c r="D271" i="28"/>
  <c r="C270" i="28"/>
  <c r="E299" i="28" l="1"/>
  <c r="C295" i="28"/>
  <c r="D291" i="28"/>
  <c r="C287" i="28"/>
  <c r="C279" i="28"/>
  <c r="C271" i="28"/>
  <c r="D295" i="28" l="1"/>
  <c r="D304" i="28" s="1"/>
  <c r="D300" i="28"/>
  <c r="D319" i="28" s="1"/>
  <c r="D287" i="28"/>
  <c r="C304" i="28" s="1"/>
  <c r="C300" i="28"/>
  <c r="C319" i="28" s="1"/>
  <c r="D279" i="28"/>
  <c r="B304" i="28" s="1"/>
  <c r="B300" i="28"/>
  <c r="E304" i="28" l="1"/>
  <c r="E300" i="28"/>
  <c r="B319" i="28"/>
  <c r="D263" i="28" l="1"/>
  <c r="E178" i="28"/>
  <c r="A184" i="28"/>
  <c r="A202" i="28" s="1"/>
  <c r="A226" i="28" s="1"/>
  <c r="A245" i="28" s="1"/>
  <c r="A340" i="28" s="1"/>
  <c r="A357" i="28" s="1"/>
  <c r="A180" i="28"/>
  <c r="A198" i="28" s="1"/>
  <c r="A222" i="28" s="1"/>
  <c r="A241" i="28" s="1"/>
  <c r="A336" i="28" s="1"/>
  <c r="A353" i="28" s="1"/>
  <c r="A181" i="28"/>
  <c r="A199" i="28" s="1"/>
  <c r="A223" i="28" s="1"/>
  <c r="A242" i="28" s="1"/>
  <c r="A337" i="28" s="1"/>
  <c r="A354" i="28" s="1"/>
  <c r="A182" i="28"/>
  <c r="A200" i="28" s="1"/>
  <c r="A224" i="28" s="1"/>
  <c r="A243" i="28" s="1"/>
  <c r="A338" i="28" s="1"/>
  <c r="A355" i="28" s="1"/>
  <c r="A183" i="28"/>
  <c r="A201" i="28" s="1"/>
  <c r="A225" i="28" s="1"/>
  <c r="A244" i="28" s="1"/>
  <c r="A339" i="28" s="1"/>
  <c r="A356" i="28" s="1"/>
  <c r="AA39" i="23"/>
  <c r="AA38" i="23"/>
  <c r="AA37" i="23"/>
  <c r="AA36" i="23"/>
  <c r="AA35" i="23"/>
  <c r="AA34" i="23"/>
  <c r="AA33" i="23"/>
  <c r="AA32" i="23"/>
  <c r="AA31" i="23"/>
  <c r="AA30" i="23"/>
  <c r="AA29" i="23"/>
  <c r="AA28" i="23"/>
  <c r="I142" i="28"/>
  <c r="I137" i="28"/>
  <c r="I138" i="28"/>
  <c r="I139" i="28"/>
  <c r="I140" i="28"/>
  <c r="I141" i="28"/>
  <c r="I136" i="28"/>
  <c r="H137" i="28"/>
  <c r="H138" i="28"/>
  <c r="H139" i="28"/>
  <c r="H140" i="28"/>
  <c r="H141" i="28"/>
  <c r="H136" i="28"/>
  <c r="I133" i="28"/>
  <c r="I132" i="28"/>
  <c r="I131" i="28"/>
  <c r="L18" i="28" l="1"/>
  <c r="L8" i="28"/>
  <c r="A106" i="28"/>
  <c r="A107" i="28"/>
  <c r="A108" i="28"/>
  <c r="A109" i="28"/>
  <c r="A110" i="28"/>
  <c r="G80" i="28"/>
  <c r="G170" i="28" s="1"/>
  <c r="A80" i="28"/>
  <c r="A59" i="28"/>
  <c r="A74" i="28" s="1"/>
  <c r="A125" i="28" s="1"/>
  <c r="A48" i="28"/>
  <c r="A62" i="28" s="1"/>
  <c r="A113" i="28" s="1"/>
  <c r="A49" i="28"/>
  <c r="A63" i="28" s="1"/>
  <c r="A114" i="28" s="1"/>
  <c r="A50" i="28"/>
  <c r="A51" i="28"/>
  <c r="A65" i="28" s="1"/>
  <c r="A116" i="28" s="1"/>
  <c r="A52" i="28"/>
  <c r="A66" i="28" s="1"/>
  <c r="A117" i="28" s="1"/>
  <c r="A53" i="28"/>
  <c r="A67" i="28" s="1"/>
  <c r="A118" i="28" s="1"/>
  <c r="A54" i="28"/>
  <c r="A68" i="28" s="1"/>
  <c r="A119" i="28" s="1"/>
  <c r="A55" i="28"/>
  <c r="A69" i="28" s="1"/>
  <c r="A120" i="28" s="1"/>
  <c r="A56" i="28"/>
  <c r="A70" i="28" s="1"/>
  <c r="A121" i="28" s="1"/>
  <c r="A57" i="28"/>
  <c r="A72" i="28" s="1"/>
  <c r="A123" i="28" s="1"/>
  <c r="A58" i="28"/>
  <c r="A73" i="28" s="1"/>
  <c r="A124" i="28" s="1"/>
  <c r="L19" i="28" l="1"/>
  <c r="A88" i="28"/>
  <c r="A92" i="28"/>
  <c r="A83" i="28"/>
  <c r="A94" i="28"/>
  <c r="A89" i="28"/>
  <c r="A85" i="28"/>
  <c r="A93" i="28"/>
  <c r="A84" i="28"/>
  <c r="A87" i="28"/>
  <c r="A90" i="28"/>
  <c r="A86" i="28"/>
  <c r="A82" i="28"/>
  <c r="E219" i="19" l="1"/>
  <c r="E220" i="19"/>
  <c r="E221" i="19"/>
  <c r="E222" i="19"/>
  <c r="E223" i="19"/>
  <c r="E224" i="19"/>
  <c r="E225" i="19"/>
  <c r="E226" i="19"/>
  <c r="E227" i="19"/>
  <c r="E228" i="19"/>
  <c r="E229" i="19"/>
  <c r="E218" i="19"/>
  <c r="E263" i="28" l="1"/>
  <c r="M274" i="30"/>
  <c r="L274" i="30"/>
  <c r="L273" i="30"/>
  <c r="M273" i="30" s="1"/>
  <c r="L272" i="30"/>
  <c r="M272" i="30" s="1"/>
  <c r="L271" i="30"/>
  <c r="M271" i="30" s="1"/>
  <c r="L270" i="30"/>
  <c r="M270" i="30" s="1"/>
  <c r="L269" i="30"/>
  <c r="M269" i="30" s="1"/>
  <c r="H245" i="30"/>
  <c r="G245" i="30"/>
  <c r="F245" i="30"/>
  <c r="E245" i="30"/>
  <c r="H244" i="30"/>
  <c r="G244" i="30"/>
  <c r="F244" i="30"/>
  <c r="E244" i="30"/>
  <c r="H243" i="30"/>
  <c r="G243" i="30"/>
  <c r="F243" i="30"/>
  <c r="E243" i="30"/>
  <c r="H242" i="30"/>
  <c r="G242" i="30"/>
  <c r="F242" i="30"/>
  <c r="E242" i="30"/>
  <c r="H241" i="30"/>
  <c r="G241" i="30"/>
  <c r="F241" i="30"/>
  <c r="E241" i="30"/>
  <c r="H240" i="30"/>
  <c r="G240" i="30"/>
  <c r="F240" i="30"/>
  <c r="E240" i="30"/>
  <c r="H239" i="30"/>
  <c r="G239" i="30"/>
  <c r="F239" i="30"/>
  <c r="E239" i="30"/>
  <c r="H238" i="30"/>
  <c r="G238" i="30"/>
  <c r="F238" i="30"/>
  <c r="E238" i="30"/>
  <c r="H237" i="30"/>
  <c r="G237" i="30"/>
  <c r="F237" i="30"/>
  <c r="E237" i="30"/>
  <c r="H236" i="30"/>
  <c r="G236" i="30"/>
  <c r="F236" i="30"/>
  <c r="E236" i="30"/>
  <c r="H235" i="30"/>
  <c r="G235" i="30"/>
  <c r="F235" i="30"/>
  <c r="E235" i="30"/>
  <c r="H234" i="30"/>
  <c r="G234" i="30"/>
  <c r="F234" i="30"/>
  <c r="E234" i="30"/>
  <c r="D229" i="30"/>
  <c r="D228" i="30"/>
  <c r="D227" i="30"/>
  <c r="D226" i="30"/>
  <c r="D225" i="30"/>
  <c r="D224" i="30"/>
  <c r="D223" i="30"/>
  <c r="D222" i="30"/>
  <c r="D221" i="30"/>
  <c r="D220" i="30"/>
  <c r="D219" i="30"/>
  <c r="D218" i="30"/>
  <c r="B205" i="30"/>
  <c r="F190" i="30"/>
  <c r="F189" i="30"/>
  <c r="F188" i="30"/>
  <c r="F187" i="30"/>
  <c r="F186" i="30"/>
  <c r="F185" i="30"/>
  <c r="F184" i="30"/>
  <c r="F183" i="30"/>
  <c r="F182" i="30"/>
  <c r="F181" i="30"/>
  <c r="F180" i="30"/>
  <c r="F179" i="30"/>
  <c r="F178" i="30"/>
  <c r="F177" i="30"/>
  <c r="F176" i="30"/>
  <c r="F175" i="30"/>
  <c r="F174" i="30"/>
  <c r="F173" i="30"/>
  <c r="F172" i="30"/>
  <c r="F171" i="30"/>
  <c r="F170" i="30"/>
  <c r="F169" i="30"/>
  <c r="F168" i="30"/>
  <c r="F167" i="30"/>
  <c r="F166" i="30"/>
  <c r="B166" i="30"/>
  <c r="F165" i="30"/>
  <c r="B165" i="30"/>
  <c r="F164" i="30"/>
  <c r="B164" i="30"/>
  <c r="F163" i="30"/>
  <c r="B163" i="30"/>
  <c r="F162" i="30"/>
  <c r="B162" i="30"/>
  <c r="F161" i="30"/>
  <c r="B161" i="30"/>
  <c r="F160" i="30"/>
  <c r="B160" i="30"/>
  <c r="F159" i="30"/>
  <c r="B159" i="30"/>
  <c r="F158" i="30"/>
  <c r="B158" i="30"/>
  <c r="F157" i="30"/>
  <c r="B157" i="30"/>
  <c r="F156" i="30"/>
  <c r="B156" i="30"/>
  <c r="F155" i="30"/>
  <c r="B155" i="30"/>
  <c r="F154" i="30"/>
  <c r="B154" i="30"/>
  <c r="F153" i="30"/>
  <c r="B153" i="30"/>
  <c r="F152" i="30"/>
  <c r="B152" i="30"/>
  <c r="F151" i="30"/>
  <c r="B151" i="30"/>
  <c r="F150" i="30"/>
  <c r="B150" i="30"/>
  <c r="F149" i="30"/>
  <c r="B149" i="30"/>
  <c r="F148" i="30"/>
  <c r="B148" i="30"/>
  <c r="F147" i="30"/>
  <c r="B147" i="30"/>
  <c r="F146" i="30"/>
  <c r="F145" i="30"/>
  <c r="F144" i="30"/>
  <c r="F143" i="30"/>
  <c r="F142" i="30"/>
  <c r="F141" i="30"/>
  <c r="F140" i="30"/>
  <c r="F139" i="30"/>
  <c r="F138" i="30"/>
  <c r="F137" i="30"/>
  <c r="F136" i="30"/>
  <c r="F135" i="30"/>
  <c r="F134" i="30"/>
  <c r="F133" i="30"/>
  <c r="F132" i="30"/>
  <c r="F131" i="30"/>
  <c r="F130" i="30"/>
  <c r="B122" i="30"/>
  <c r="B121" i="30"/>
  <c r="B120" i="30"/>
  <c r="B119" i="30"/>
  <c r="B118" i="30"/>
  <c r="B117" i="30"/>
  <c r="B116" i="30"/>
  <c r="B115" i="30"/>
  <c r="B114" i="30"/>
  <c r="B113" i="30"/>
  <c r="B112" i="30"/>
  <c r="B111" i="30"/>
  <c r="F110" i="30"/>
  <c r="B110" i="30"/>
  <c r="F109" i="30"/>
  <c r="B109" i="30"/>
  <c r="F108" i="30"/>
  <c r="B108" i="30"/>
  <c r="F107" i="30"/>
  <c r="B107" i="30"/>
  <c r="F106" i="30"/>
  <c r="B106" i="30"/>
  <c r="F105" i="30"/>
  <c r="B105" i="30"/>
  <c r="F104" i="30"/>
  <c r="B104" i="30"/>
  <c r="F103" i="30"/>
  <c r="B103" i="30"/>
  <c r="F102" i="30"/>
  <c r="B102" i="30"/>
  <c r="F101" i="30"/>
  <c r="B101" i="30"/>
  <c r="F100" i="30"/>
  <c r="B100" i="30"/>
  <c r="F99" i="30"/>
  <c r="B99" i="30"/>
  <c r="F98" i="30"/>
  <c r="B98" i="30"/>
  <c r="F97" i="30"/>
  <c r="B97" i="30"/>
  <c r="F96" i="30"/>
  <c r="B96" i="30"/>
  <c r="F95" i="30"/>
  <c r="B95" i="30"/>
  <c r="F94" i="30"/>
  <c r="B94" i="30"/>
  <c r="F93" i="30"/>
  <c r="B93" i="30"/>
  <c r="F92" i="30"/>
  <c r="B92" i="30"/>
  <c r="F91" i="30"/>
  <c r="B91" i="30"/>
  <c r="F90" i="30"/>
  <c r="B90" i="30"/>
  <c r="F89" i="30"/>
  <c r="B89" i="30"/>
  <c r="F88" i="30"/>
  <c r="B88" i="30"/>
  <c r="F87" i="30"/>
  <c r="B87" i="30"/>
  <c r="F86" i="30"/>
  <c r="B86" i="30"/>
  <c r="F85" i="30"/>
  <c r="B85" i="30"/>
  <c r="F84" i="30"/>
  <c r="B84" i="30"/>
  <c r="F83" i="30"/>
  <c r="B83" i="30"/>
  <c r="F82" i="30"/>
  <c r="B82" i="30"/>
  <c r="F81" i="30"/>
  <c r="B81" i="30"/>
  <c r="F80" i="30"/>
  <c r="B80" i="30"/>
  <c r="F79" i="30"/>
  <c r="B79" i="30"/>
  <c r="F78" i="30"/>
  <c r="B78" i="30"/>
  <c r="F77" i="30"/>
  <c r="B77" i="30"/>
  <c r="F76" i="30"/>
  <c r="B76" i="30"/>
  <c r="F75" i="30"/>
  <c r="B75" i="30"/>
  <c r="F74" i="30"/>
  <c r="B74" i="30"/>
  <c r="F73" i="30"/>
  <c r="B73" i="30"/>
  <c r="F72" i="30"/>
  <c r="B72" i="30"/>
  <c r="F71" i="30"/>
  <c r="B71" i="30"/>
  <c r="F70" i="30"/>
  <c r="B70" i="30"/>
  <c r="B69" i="30"/>
  <c r="B68" i="30"/>
  <c r="B67" i="30"/>
  <c r="F66" i="30"/>
  <c r="B66" i="30"/>
  <c r="F65" i="30"/>
  <c r="B65" i="30"/>
  <c r="F64" i="30"/>
  <c r="B64" i="30"/>
  <c r="F63" i="30"/>
  <c r="B63" i="30"/>
  <c r="F62" i="30"/>
  <c r="B62" i="30"/>
  <c r="F61" i="30"/>
  <c r="B61" i="30"/>
  <c r="F60" i="30"/>
  <c r="B60" i="30"/>
  <c r="F59" i="30"/>
  <c r="B59" i="30"/>
  <c r="F58" i="30"/>
  <c r="B58" i="30"/>
  <c r="F57" i="30"/>
  <c r="B57" i="30"/>
  <c r="F56" i="30"/>
  <c r="B56" i="30"/>
  <c r="F55" i="30"/>
  <c r="B55" i="30"/>
  <c r="F54" i="30"/>
  <c r="B54" i="30"/>
  <c r="F53" i="30"/>
  <c r="B53" i="30"/>
  <c r="F52" i="30"/>
  <c r="B52" i="30"/>
  <c r="F51" i="30"/>
  <c r="B51" i="30"/>
  <c r="F50" i="30"/>
  <c r="B50" i="30"/>
  <c r="F49" i="30"/>
  <c r="B49" i="30"/>
  <c r="F48" i="30"/>
  <c r="B48" i="30"/>
  <c r="F47" i="30"/>
  <c r="B47" i="30"/>
  <c r="F46" i="30"/>
  <c r="B46" i="30"/>
  <c r="F45" i="30"/>
  <c r="B45" i="30"/>
  <c r="F44" i="30"/>
  <c r="B44" i="30"/>
  <c r="F43" i="30"/>
  <c r="B43" i="30"/>
  <c r="F42" i="30"/>
  <c r="B42" i="30"/>
  <c r="F41" i="30"/>
  <c r="B41" i="30"/>
  <c r="F40" i="30"/>
  <c r="B40" i="30"/>
  <c r="F39" i="30"/>
  <c r="B39" i="30"/>
  <c r="F38" i="30"/>
  <c r="B38" i="30"/>
  <c r="F37" i="30"/>
  <c r="B37" i="30"/>
  <c r="F36" i="30"/>
  <c r="B36" i="30"/>
  <c r="F35" i="30"/>
  <c r="B35" i="30"/>
  <c r="F34" i="30"/>
  <c r="B34" i="30"/>
  <c r="F33" i="30"/>
  <c r="B33" i="30"/>
  <c r="F32" i="30"/>
  <c r="B32" i="30"/>
  <c r="F31" i="30"/>
  <c r="B31" i="30"/>
  <c r="F30" i="30"/>
  <c r="B30" i="30"/>
  <c r="F29" i="30"/>
  <c r="B29" i="30"/>
  <c r="F28" i="30"/>
  <c r="B28" i="30"/>
  <c r="F27" i="30"/>
  <c r="B27" i="30"/>
  <c r="F26" i="30"/>
  <c r="B26" i="30"/>
  <c r="F25" i="30"/>
  <c r="B25" i="30"/>
  <c r="F24" i="30"/>
  <c r="B24" i="30"/>
  <c r="F23" i="30"/>
  <c r="B23" i="30"/>
  <c r="F22" i="30"/>
  <c r="B22" i="30"/>
  <c r="F21" i="30"/>
  <c r="B21" i="30"/>
  <c r="F20" i="30"/>
  <c r="B20" i="30"/>
  <c r="F19" i="30"/>
  <c r="B19" i="30"/>
  <c r="B18" i="30"/>
  <c r="F17" i="30"/>
  <c r="B17" i="30"/>
  <c r="F16" i="30"/>
  <c r="B16" i="30"/>
  <c r="F15" i="30"/>
  <c r="B15" i="30"/>
  <c r="F14" i="30"/>
  <c r="B14" i="30"/>
  <c r="F13" i="30"/>
  <c r="B13" i="30"/>
  <c r="F12" i="30"/>
  <c r="B12" i="30"/>
  <c r="F11" i="30"/>
  <c r="B11" i="30"/>
  <c r="F10" i="30"/>
  <c r="B10" i="30"/>
  <c r="F9" i="30"/>
  <c r="B9" i="30"/>
  <c r="F8" i="30"/>
  <c r="B8" i="30"/>
  <c r="F7" i="30"/>
  <c r="B7" i="30"/>
  <c r="F6" i="30"/>
  <c r="B6" i="30"/>
  <c r="F5" i="30"/>
  <c r="B5" i="30"/>
  <c r="F4" i="30"/>
  <c r="B4" i="30"/>
  <c r="F3" i="30"/>
  <c r="B3" i="30"/>
  <c r="B194" i="30" l="1"/>
  <c r="B195" i="30"/>
  <c r="B202" i="30"/>
  <c r="B200" i="30"/>
  <c r="B201" i="30"/>
  <c r="B203" i="30"/>
  <c r="B206" i="30"/>
  <c r="B197" i="30"/>
  <c r="B198" i="30"/>
  <c r="B204" i="30"/>
  <c r="B196" i="30"/>
  <c r="B199" i="30"/>
  <c r="B207" i="30"/>
  <c r="B211" i="30" l="1"/>
  <c r="T18" i="28"/>
  <c r="W410" i="28"/>
  <c r="W409" i="28"/>
  <c r="W408" i="28"/>
  <c r="W407" i="28"/>
  <c r="F319" i="28"/>
  <c r="F318" i="28"/>
  <c r="A246" i="28"/>
  <c r="A179" i="28"/>
  <c r="A197" i="28" s="1"/>
  <c r="A178" i="28"/>
  <c r="A196" i="28" s="1"/>
  <c r="A177" i="28"/>
  <c r="A195" i="28" s="1"/>
  <c r="A176" i="28"/>
  <c r="A194" i="28" s="1"/>
  <c r="A175" i="28"/>
  <c r="A193" i="28" s="1"/>
  <c r="A174" i="28"/>
  <c r="A192" i="28" s="1"/>
  <c r="A173" i="28"/>
  <c r="A191" i="28" s="1"/>
  <c r="A172" i="28"/>
  <c r="A190" i="28" s="1"/>
  <c r="A214" i="28" s="1"/>
  <c r="A233" i="28" s="1"/>
  <c r="A328" i="28" s="1"/>
  <c r="A345" i="28" s="1"/>
  <c r="A105" i="28"/>
  <c r="A104" i="28"/>
  <c r="A103" i="28"/>
  <c r="A102" i="28"/>
  <c r="A101" i="28"/>
  <c r="A100" i="28"/>
  <c r="A99" i="28"/>
  <c r="A98" i="28"/>
  <c r="F206" i="28"/>
  <c r="F255" i="28" s="1"/>
  <c r="F310" i="28" s="1"/>
  <c r="D325" i="28" s="1"/>
  <c r="G325" i="28" s="1"/>
  <c r="A76" i="28"/>
  <c r="A75" i="28"/>
  <c r="A47" i="28"/>
  <c r="A71" i="28"/>
  <c r="Q8" i="28"/>
  <c r="P8" i="28"/>
  <c r="O8" i="28"/>
  <c r="N8" i="28"/>
  <c r="M8" i="28"/>
  <c r="AB419" i="28" l="1"/>
  <c r="W431" i="28"/>
  <c r="W453" i="28" s="1"/>
  <c r="W475" i="28" s="1"/>
  <c r="W497" i="28" s="1"/>
  <c r="W519" i="28" s="1"/>
  <c r="W541" i="28" s="1"/>
  <c r="AB420" i="28"/>
  <c r="AB426" i="28" s="1"/>
  <c r="W432" i="28"/>
  <c r="W454" i="28" s="1"/>
  <c r="W476" i="28" s="1"/>
  <c r="W498" i="28" s="1"/>
  <c r="W520" i="28" s="1"/>
  <c r="W542" i="28" s="1"/>
  <c r="AB418" i="28"/>
  <c r="AB440" i="28" s="1"/>
  <c r="W430" i="28"/>
  <c r="W452" i="28" s="1"/>
  <c r="W474" i="28" s="1"/>
  <c r="W496" i="28" s="1"/>
  <c r="W518" i="28" s="1"/>
  <c r="W540" i="28" s="1"/>
  <c r="AB417" i="28"/>
  <c r="AB423" i="28" s="1"/>
  <c r="W429" i="28"/>
  <c r="W451" i="28" s="1"/>
  <c r="W473" i="28" s="1"/>
  <c r="W495" i="28" s="1"/>
  <c r="W517" i="28" s="1"/>
  <c r="W539" i="28" s="1"/>
  <c r="AB425" i="28"/>
  <c r="AB441" i="28"/>
  <c r="AM419" i="28"/>
  <c r="AK419" i="28"/>
  <c r="A219" i="28"/>
  <c r="A238" i="28" s="1"/>
  <c r="A216" i="28"/>
  <c r="A235" i="28" s="1"/>
  <c r="A217" i="28"/>
  <c r="A236" i="28" s="1"/>
  <c r="A221" i="28"/>
  <c r="A240" i="28" s="1"/>
  <c r="A215" i="28"/>
  <c r="A234" i="28" s="1"/>
  <c r="A220" i="28"/>
  <c r="A239" i="28" s="1"/>
  <c r="A218" i="28"/>
  <c r="A237" i="28" s="1"/>
  <c r="A91" i="28"/>
  <c r="A122" i="28"/>
  <c r="A95" i="28"/>
  <c r="A126" i="28"/>
  <c r="A163" i="28" s="1"/>
  <c r="A208" i="28" s="1"/>
  <c r="A251" i="28" s="1"/>
  <c r="A299" i="28" s="1"/>
  <c r="A312" i="28" s="1"/>
  <c r="A96" i="28"/>
  <c r="A127" i="28"/>
  <c r="A164" i="28" s="1"/>
  <c r="A209" i="28" s="1"/>
  <c r="A252" i="28" s="1"/>
  <c r="A300" i="28" s="1"/>
  <c r="A313" i="28" s="1"/>
  <c r="A81" i="28"/>
  <c r="A61" i="28"/>
  <c r="A112" i="28" s="1"/>
  <c r="X411" i="28"/>
  <c r="S8" i="28"/>
  <c r="T8" i="28"/>
  <c r="T19" i="28" s="1"/>
  <c r="Y411" i="28"/>
  <c r="O18" i="28"/>
  <c r="O19" i="28" s="1"/>
  <c r="M19" i="28"/>
  <c r="N19" i="28"/>
  <c r="P18" i="28"/>
  <c r="P19" i="28" s="1"/>
  <c r="Q18" i="28"/>
  <c r="Q19" i="28" s="1"/>
  <c r="S18" i="28"/>
  <c r="Z407" i="28"/>
  <c r="AB424" i="28" l="1"/>
  <c r="AB442" i="28"/>
  <c r="AB464" i="28" s="1"/>
  <c r="AB439" i="28"/>
  <c r="AB445" i="28" s="1"/>
  <c r="AB447" i="28"/>
  <c r="AB463" i="28"/>
  <c r="AB461" i="28"/>
  <c r="AB446" i="28"/>
  <c r="AB462" i="28"/>
  <c r="Z411" i="28"/>
  <c r="AA411" i="28" s="1"/>
  <c r="A332" i="28"/>
  <c r="A349" i="28" s="1"/>
  <c r="A331" i="28"/>
  <c r="A348" i="28" s="1"/>
  <c r="A334" i="28"/>
  <c r="A351" i="28" s="1"/>
  <c r="A330" i="28"/>
  <c r="A347" i="28" s="1"/>
  <c r="A335" i="28"/>
  <c r="A352" i="28" s="1"/>
  <c r="A329" i="28"/>
  <c r="A346" i="28" s="1"/>
  <c r="A333" i="28"/>
  <c r="A350" i="28" s="1"/>
  <c r="A257" i="28"/>
  <c r="A315" i="28"/>
  <c r="A318" i="28" s="1"/>
  <c r="A321" i="28" s="1"/>
  <c r="A363" i="28" s="1"/>
  <c r="A258" i="28"/>
  <c r="A316" i="28"/>
  <c r="A319" i="28" s="1"/>
  <c r="A322" i="28" s="1"/>
  <c r="A364" i="28" s="1"/>
  <c r="S19" i="28"/>
  <c r="AA407" i="28"/>
  <c r="AB448" i="28" l="1"/>
  <c r="AB468" i="28"/>
  <c r="AB484" i="28"/>
  <c r="AB469" i="28"/>
  <c r="AB485" i="28"/>
  <c r="AB467" i="28"/>
  <c r="AB483" i="28"/>
  <c r="AB486" i="28"/>
  <c r="AB470" i="28"/>
  <c r="AB489" i="28" l="1"/>
  <c r="AB505" i="28"/>
  <c r="AB490" i="28"/>
  <c r="AB506" i="28"/>
  <c r="AB492" i="28"/>
  <c r="AB508" i="28"/>
  <c r="AB491" i="28"/>
  <c r="AB507" i="28"/>
  <c r="AB514" i="28" l="1"/>
  <c r="AB530" i="28"/>
  <c r="AB511" i="28"/>
  <c r="AB527" i="28"/>
  <c r="AB513" i="28"/>
  <c r="AB529" i="28"/>
  <c r="AB512" i="28"/>
  <c r="AB528" i="28"/>
  <c r="D16" i="17"/>
  <c r="D208" i="28" s="1"/>
  <c r="AB534" i="28" l="1"/>
  <c r="AB550" i="28"/>
  <c r="AB556" i="28" s="1"/>
  <c r="AB552" i="28"/>
  <c r="AB558" i="28" s="1"/>
  <c r="AB536" i="28"/>
  <c r="AB535" i="28"/>
  <c r="AB551" i="28"/>
  <c r="AB557" i="28" s="1"/>
  <c r="AB533" i="28"/>
  <c r="AB549" i="28"/>
  <c r="AB555" i="28" s="1"/>
  <c r="E235" i="19"/>
  <c r="F235" i="19"/>
  <c r="H235" i="19"/>
  <c r="E236" i="19"/>
  <c r="F236" i="19"/>
  <c r="H236" i="19"/>
  <c r="E237" i="19"/>
  <c r="F237" i="19"/>
  <c r="H237" i="19"/>
  <c r="E238" i="19"/>
  <c r="F238" i="19"/>
  <c r="H238" i="19"/>
  <c r="E239" i="19"/>
  <c r="F239" i="19"/>
  <c r="H239" i="19"/>
  <c r="E240" i="19"/>
  <c r="F240" i="19"/>
  <c r="H240" i="19"/>
  <c r="E241" i="19"/>
  <c r="F241" i="19"/>
  <c r="H241" i="19"/>
  <c r="E242" i="19"/>
  <c r="F242" i="19"/>
  <c r="H242" i="19"/>
  <c r="E243" i="19"/>
  <c r="F243" i="19"/>
  <c r="H243" i="19"/>
  <c r="E244" i="19"/>
  <c r="F244" i="19"/>
  <c r="H244" i="19"/>
  <c r="E245" i="19"/>
  <c r="F245" i="19"/>
  <c r="H245" i="19"/>
  <c r="F234" i="19"/>
  <c r="H234" i="19"/>
  <c r="H16" i="9" l="1"/>
  <c r="L18" i="9"/>
  <c r="M29" i="11" l="1"/>
  <c r="L29" i="11"/>
  <c r="O30" i="11" l="1"/>
  <c r="P30" i="11"/>
  <c r="D14" i="18"/>
  <c r="D13" i="18"/>
  <c r="D12" i="18"/>
  <c r="D11" i="18"/>
  <c r="C337" i="28" s="1"/>
  <c r="D10" i="18"/>
  <c r="C336" i="28" s="1"/>
  <c r="D9" i="18"/>
  <c r="C335" i="28" s="1"/>
  <c r="D8" i="18"/>
  <c r="C334" i="28" s="1"/>
  <c r="D7" i="18"/>
  <c r="D6" i="18"/>
  <c r="C332" i="28" s="1"/>
  <c r="D5" i="18"/>
  <c r="D4" i="18"/>
  <c r="C330" i="28" s="1"/>
  <c r="D3" i="18"/>
  <c r="C329" i="28" s="1"/>
  <c r="D2" i="18"/>
  <c r="C328" i="28" s="1"/>
  <c r="N30" i="11"/>
  <c r="M30" i="11"/>
  <c r="L30" i="11"/>
  <c r="C7" i="18"/>
  <c r="C6" i="18"/>
  <c r="C5" i="18"/>
  <c r="C4" i="18"/>
  <c r="C3" i="18"/>
  <c r="C2" i="18"/>
  <c r="B14" i="18"/>
  <c r="B340" i="28" s="1"/>
  <c r="B13" i="18"/>
  <c r="B339" i="28" s="1"/>
  <c r="B12" i="18"/>
  <c r="B338" i="28" s="1"/>
  <c r="B11" i="18"/>
  <c r="B337" i="28" s="1"/>
  <c r="D337" i="28" s="1"/>
  <c r="B10" i="18"/>
  <c r="B336" i="28" s="1"/>
  <c r="B9" i="18"/>
  <c r="B335" i="28" s="1"/>
  <c r="B8" i="18"/>
  <c r="B334" i="28" s="1"/>
  <c r="D334" i="28" s="1"/>
  <c r="B7" i="18"/>
  <c r="B6" i="18"/>
  <c r="B332" i="28" s="1"/>
  <c r="B5" i="18"/>
  <c r="B331" i="28" s="1"/>
  <c r="B4" i="18"/>
  <c r="B3" i="18"/>
  <c r="B329" i="28" s="1"/>
  <c r="D329" i="28" s="1"/>
  <c r="B2" i="18"/>
  <c r="B328" i="28" s="1"/>
  <c r="L81" i="9"/>
  <c r="L80" i="9"/>
  <c r="A43" i="9"/>
  <c r="A42" i="9"/>
  <c r="L20" i="9"/>
  <c r="N34" i="11" s="1"/>
  <c r="L19" i="9"/>
  <c r="M34" i="11" s="1"/>
  <c r="L34" i="11"/>
  <c r="L17" i="9"/>
  <c r="K34" i="11" s="1"/>
  <c r="L16" i="9"/>
  <c r="J34" i="11" s="1"/>
  <c r="L15" i="9"/>
  <c r="L14" i="9"/>
  <c r="L13" i="9"/>
  <c r="L12" i="9"/>
  <c r="L11" i="9"/>
  <c r="L10" i="9"/>
  <c r="L9" i="9"/>
  <c r="L8" i="9"/>
  <c r="K13" i="9"/>
  <c r="K12" i="9"/>
  <c r="K11" i="9"/>
  <c r="K10" i="9"/>
  <c r="K9" i="9"/>
  <c r="K8" i="9"/>
  <c r="J20" i="9"/>
  <c r="J19" i="9"/>
  <c r="M24" i="11" s="1"/>
  <c r="L24" i="11"/>
  <c r="J16" i="9"/>
  <c r="J24" i="11" s="1"/>
  <c r="J15" i="9"/>
  <c r="J14" i="9"/>
  <c r="J13" i="9"/>
  <c r="J12" i="9"/>
  <c r="J11" i="9"/>
  <c r="J10" i="9"/>
  <c r="J9" i="9"/>
  <c r="J8" i="9"/>
  <c r="I20" i="9"/>
  <c r="N20" i="11" s="1"/>
  <c r="I19" i="9"/>
  <c r="M20" i="11" s="1"/>
  <c r="L20" i="11"/>
  <c r="K20" i="11"/>
  <c r="I16" i="9"/>
  <c r="J20" i="11" s="1"/>
  <c r="I15" i="9"/>
  <c r="I14" i="9"/>
  <c r="I13" i="9"/>
  <c r="I12" i="9"/>
  <c r="I11" i="9"/>
  <c r="I10" i="9"/>
  <c r="I9" i="9"/>
  <c r="I8" i="9"/>
  <c r="H20" i="9"/>
  <c r="N16" i="11" s="1"/>
  <c r="H19" i="9"/>
  <c r="M16" i="11" s="1"/>
  <c r="L16" i="11"/>
  <c r="J16" i="11"/>
  <c r="H15" i="9"/>
  <c r="H14" i="9"/>
  <c r="H13" i="9"/>
  <c r="H12" i="9"/>
  <c r="H11" i="9"/>
  <c r="H10" i="9"/>
  <c r="H9" i="9"/>
  <c r="H8" i="9"/>
  <c r="A19" i="9"/>
  <c r="A40" i="9" s="1"/>
  <c r="A20" i="9"/>
  <c r="A41" i="9" s="1"/>
  <c r="D332" i="28" l="1"/>
  <c r="N383" i="28"/>
  <c r="B55" i="28"/>
  <c r="Q383" i="28"/>
  <c r="B57" i="28"/>
  <c r="N391" i="28"/>
  <c r="D55" i="28"/>
  <c r="P396" i="28"/>
  <c r="F56" i="28"/>
  <c r="D25" i="11"/>
  <c r="B330" i="28"/>
  <c r="D330" i="28" s="1"/>
  <c r="M39" i="11"/>
  <c r="R383" i="28"/>
  <c r="B58" i="28"/>
  <c r="Q391" i="28"/>
  <c r="D57" i="28"/>
  <c r="Q396" i="28"/>
  <c r="F57" i="28"/>
  <c r="S387" i="28"/>
  <c r="AG506" i="28" s="1"/>
  <c r="C59" i="28"/>
  <c r="N396" i="28"/>
  <c r="F55" i="28"/>
  <c r="S383" i="28"/>
  <c r="B59" i="28"/>
  <c r="N387" i="28"/>
  <c r="AF440" i="28" s="1"/>
  <c r="C55" i="28"/>
  <c r="M35" i="11"/>
  <c r="R397" i="28" s="1"/>
  <c r="AG486" i="28" s="1"/>
  <c r="C339" i="28"/>
  <c r="D339" i="28" s="1"/>
  <c r="P387" i="28"/>
  <c r="AF418" i="28" s="1"/>
  <c r="C56" i="28"/>
  <c r="B23" i="18"/>
  <c r="B349" i="28" s="1"/>
  <c r="N35" i="11"/>
  <c r="S397" i="28" s="1"/>
  <c r="AG508" i="28" s="1"/>
  <c r="C340" i="28"/>
  <c r="S396" i="28"/>
  <c r="F59" i="28"/>
  <c r="B24" i="18"/>
  <c r="B350" i="28" s="1"/>
  <c r="B333" i="28"/>
  <c r="D22" i="18"/>
  <c r="C348" i="28" s="1"/>
  <c r="C331" i="28"/>
  <c r="D331" i="28" s="1"/>
  <c r="Q387" i="28"/>
  <c r="AG462" i="28" s="1"/>
  <c r="C57" i="28"/>
  <c r="D335" i="28"/>
  <c r="C21" i="18"/>
  <c r="D24" i="18"/>
  <c r="C350" i="28" s="1"/>
  <c r="C333" i="28"/>
  <c r="R391" i="28"/>
  <c r="D58" i="28"/>
  <c r="R396" i="28"/>
  <c r="F58" i="28"/>
  <c r="D340" i="28"/>
  <c r="L35" i="11"/>
  <c r="Q397" i="28" s="1"/>
  <c r="AG464" i="28" s="1"/>
  <c r="C338" i="28"/>
  <c r="D338" i="28" s="1"/>
  <c r="R387" i="28"/>
  <c r="AG484" i="28" s="1"/>
  <c r="C58" i="28"/>
  <c r="D328" i="28"/>
  <c r="D336" i="28"/>
  <c r="B26" i="18"/>
  <c r="B352" i="28" s="1"/>
  <c r="I25" i="11"/>
  <c r="K16" i="11"/>
  <c r="G17" i="9"/>
  <c r="L39" i="11"/>
  <c r="C22" i="18"/>
  <c r="B28" i="18"/>
  <c r="B354" i="28" s="1"/>
  <c r="K24" i="11"/>
  <c r="B22" i="18"/>
  <c r="B348" i="28" s="1"/>
  <c r="E25" i="11"/>
  <c r="B30" i="18"/>
  <c r="B356" i="28" s="1"/>
  <c r="E13" i="18"/>
  <c r="M45" i="11" s="1"/>
  <c r="M25" i="11"/>
  <c r="D20" i="18"/>
  <c r="C346" i="28" s="1"/>
  <c r="D28" i="18"/>
  <c r="C354" i="28" s="1"/>
  <c r="B20" i="18"/>
  <c r="B346" i="28" s="1"/>
  <c r="C25" i="11"/>
  <c r="B31" i="18"/>
  <c r="B357" i="28" s="1"/>
  <c r="N24" i="11"/>
  <c r="E12" i="18"/>
  <c r="L45" i="11" s="1"/>
  <c r="L25" i="11"/>
  <c r="E14" i="18"/>
  <c r="N45" i="11" s="1"/>
  <c r="N25" i="11"/>
  <c r="D21" i="18"/>
  <c r="C347" i="28" s="1"/>
  <c r="C19" i="18"/>
  <c r="C23" i="18"/>
  <c r="D26" i="18"/>
  <c r="C352" i="28" s="1"/>
  <c r="D30" i="18"/>
  <c r="C356" i="28" s="1"/>
  <c r="B21" i="18"/>
  <c r="B347" i="28" s="1"/>
  <c r="B25" i="18"/>
  <c r="B351" i="28" s="1"/>
  <c r="B29" i="18"/>
  <c r="B355" i="28" s="1"/>
  <c r="C20" i="18"/>
  <c r="C24" i="18"/>
  <c r="D19" i="18"/>
  <c r="D23" i="18"/>
  <c r="C349" i="28" s="1"/>
  <c r="D27" i="18"/>
  <c r="C353" i="28" s="1"/>
  <c r="D31" i="18"/>
  <c r="B27" i="18"/>
  <c r="B353" i="28" s="1"/>
  <c r="B19" i="18"/>
  <c r="D29" i="18"/>
  <c r="C355" i="28" s="1"/>
  <c r="D25" i="18"/>
  <c r="C351" i="28" s="1"/>
  <c r="G15" i="9"/>
  <c r="G10" i="9"/>
  <c r="G14" i="9"/>
  <c r="G12" i="9"/>
  <c r="G9" i="9"/>
  <c r="G13" i="9"/>
  <c r="G11" i="9"/>
  <c r="G19" i="9"/>
  <c r="G18" i="9"/>
  <c r="G16" i="9"/>
  <c r="G20" i="9"/>
  <c r="B4" i="19"/>
  <c r="B5" i="19"/>
  <c r="B6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78" i="19"/>
  <c r="B79" i="19"/>
  <c r="B80" i="19"/>
  <c r="B81" i="19"/>
  <c r="B82" i="19"/>
  <c r="B83" i="19"/>
  <c r="B84" i="19"/>
  <c r="B85" i="19"/>
  <c r="B86" i="19"/>
  <c r="B87" i="19"/>
  <c r="B88" i="19"/>
  <c r="B89" i="19"/>
  <c r="B90" i="19"/>
  <c r="B91" i="19"/>
  <c r="B92" i="19"/>
  <c r="B93" i="19"/>
  <c r="B94" i="19"/>
  <c r="B95" i="19"/>
  <c r="B96" i="19"/>
  <c r="B97" i="19"/>
  <c r="B98" i="19"/>
  <c r="B99" i="19"/>
  <c r="B100" i="19"/>
  <c r="B101" i="19"/>
  <c r="B102" i="19"/>
  <c r="B103" i="19"/>
  <c r="B104" i="19"/>
  <c r="B105" i="19"/>
  <c r="B106" i="19"/>
  <c r="B107" i="19"/>
  <c r="B108" i="19"/>
  <c r="B109" i="19"/>
  <c r="B110" i="19"/>
  <c r="B111" i="19"/>
  <c r="B112" i="19"/>
  <c r="B113" i="19"/>
  <c r="B114" i="19"/>
  <c r="B115" i="19"/>
  <c r="B116" i="19"/>
  <c r="B117" i="19"/>
  <c r="B118" i="19"/>
  <c r="B119" i="19"/>
  <c r="B120" i="19"/>
  <c r="B121" i="19"/>
  <c r="B122" i="19"/>
  <c r="B147" i="19"/>
  <c r="B148" i="19"/>
  <c r="B149" i="19"/>
  <c r="B150" i="19"/>
  <c r="B151" i="19"/>
  <c r="B152" i="19"/>
  <c r="B153" i="19"/>
  <c r="B154" i="19"/>
  <c r="B155" i="19"/>
  <c r="B156" i="19"/>
  <c r="B157" i="19"/>
  <c r="B158" i="19"/>
  <c r="B159" i="19"/>
  <c r="B160" i="19"/>
  <c r="B161" i="19"/>
  <c r="B162" i="19"/>
  <c r="B163" i="19"/>
  <c r="B164" i="19"/>
  <c r="B165" i="19"/>
  <c r="B166" i="19"/>
  <c r="B3" i="19"/>
  <c r="D333" i="28" l="1"/>
  <c r="AG440" i="28"/>
  <c r="G58" i="28"/>
  <c r="S391" i="28"/>
  <c r="S401" i="28" s="1"/>
  <c r="D59" i="28"/>
  <c r="G59" i="28" s="1"/>
  <c r="P383" i="28"/>
  <c r="B56" i="28"/>
  <c r="AF486" i="28"/>
  <c r="AF508" i="28"/>
  <c r="AF528" i="28"/>
  <c r="AG483" i="28"/>
  <c r="R401" i="28"/>
  <c r="D33" i="18"/>
  <c r="C357" i="28"/>
  <c r="M40" i="11"/>
  <c r="M50" i="11" s="1"/>
  <c r="R392" i="28"/>
  <c r="G57" i="28"/>
  <c r="AG461" i="28"/>
  <c r="Q401" i="28"/>
  <c r="AF506" i="28"/>
  <c r="AF512" i="28" s="1"/>
  <c r="P391" i="28"/>
  <c r="D56" i="28"/>
  <c r="AF484" i="28"/>
  <c r="AF530" i="28"/>
  <c r="G55" i="28"/>
  <c r="L40" i="11"/>
  <c r="L50" i="11" s="1"/>
  <c r="Q392" i="28"/>
  <c r="C345" i="28"/>
  <c r="D35" i="18"/>
  <c r="B345" i="28"/>
  <c r="B358" i="28" s="1"/>
  <c r="D305" i="28" s="1"/>
  <c r="B35" i="18"/>
  <c r="B33" i="18" s="1"/>
  <c r="N40" i="11"/>
  <c r="N50" i="11" s="1"/>
  <c r="S392" i="28"/>
  <c r="AG505" i="28"/>
  <c r="AF439" i="28"/>
  <c r="N401" i="28"/>
  <c r="L11" i="11"/>
  <c r="L44" i="11"/>
  <c r="L49" i="11" s="1"/>
  <c r="M11" i="11"/>
  <c r="M44" i="11"/>
  <c r="M49" i="11" s="1"/>
  <c r="K11" i="11"/>
  <c r="K44" i="11"/>
  <c r="N44" i="11"/>
  <c r="N11" i="11"/>
  <c r="J44" i="11"/>
  <c r="J11" i="11"/>
  <c r="B207" i="19"/>
  <c r="B162" i="28" s="1"/>
  <c r="B205" i="19"/>
  <c r="B160" i="28" s="1"/>
  <c r="B195" i="19"/>
  <c r="B206" i="19"/>
  <c r="B161" i="28" s="1"/>
  <c r="B204" i="19"/>
  <c r="B159" i="28" s="1"/>
  <c r="B203" i="19"/>
  <c r="B158" i="28" s="1"/>
  <c r="F52" i="17"/>
  <c r="F53" i="17" s="1"/>
  <c r="F16" i="17" s="1"/>
  <c r="E208" i="28" s="1"/>
  <c r="E209" i="28" s="1"/>
  <c r="D52" i="17"/>
  <c r="C52" i="17"/>
  <c r="B52" i="17"/>
  <c r="C358" i="28" l="1"/>
  <c r="AG507" i="28"/>
  <c r="S402" i="28"/>
  <c r="AF505" i="28"/>
  <c r="AF511" i="28" s="1"/>
  <c r="E305" i="28"/>
  <c r="D306" i="28"/>
  <c r="E306" i="28" s="1"/>
  <c r="AG485" i="28"/>
  <c r="R402" i="28"/>
  <c r="S378" i="28"/>
  <c r="B40" i="28"/>
  <c r="P378" i="28"/>
  <c r="B37" i="28"/>
  <c r="AF483" i="28"/>
  <c r="AF489" i="28" s="1"/>
  <c r="G56" i="28"/>
  <c r="AF527" i="28"/>
  <c r="AG463" i="28"/>
  <c r="Q402" i="28"/>
  <c r="AF514" i="28"/>
  <c r="AF417" i="28"/>
  <c r="P401" i="28"/>
  <c r="AF462" i="28"/>
  <c r="AF446" i="28"/>
  <c r="N378" i="28"/>
  <c r="B36" i="28"/>
  <c r="Q378" i="28"/>
  <c r="B38" i="28"/>
  <c r="AF490" i="28"/>
  <c r="R378" i="28"/>
  <c r="B39" i="28"/>
  <c r="AF492" i="28"/>
  <c r="B8" i="9"/>
  <c r="B150" i="28"/>
  <c r="B17" i="9"/>
  <c r="K4" i="11"/>
  <c r="P370" i="28" s="1"/>
  <c r="B16" i="9"/>
  <c r="F16" i="9" s="1"/>
  <c r="J4" i="11"/>
  <c r="N370" i="28" s="1"/>
  <c r="B19" i="9"/>
  <c r="F19" i="9" s="1"/>
  <c r="M4" i="11"/>
  <c r="R370" i="28" s="1"/>
  <c r="B18" i="9"/>
  <c r="L4" i="11"/>
  <c r="Q370" i="28" s="1"/>
  <c r="B20" i="9"/>
  <c r="F20" i="9" s="1"/>
  <c r="N4" i="11"/>
  <c r="S370" i="28" s="1"/>
  <c r="F51" i="17"/>
  <c r="F50" i="17"/>
  <c r="D51" i="17"/>
  <c r="C51" i="17"/>
  <c r="B51" i="17"/>
  <c r="D50" i="17"/>
  <c r="C50" i="17"/>
  <c r="B50" i="17"/>
  <c r="C37" i="28" l="1"/>
  <c r="C40" i="28"/>
  <c r="AF468" i="28"/>
  <c r="AF485" i="28"/>
  <c r="AG439" i="28"/>
  <c r="C39" i="28"/>
  <c r="C38" i="28"/>
  <c r="AF507" i="28"/>
  <c r="AF529" i="28"/>
  <c r="F18" i="9"/>
  <c r="F17" i="9"/>
  <c r="D49" i="17"/>
  <c r="D13" i="17" s="1"/>
  <c r="D182" i="28" s="1"/>
  <c r="C49" i="17"/>
  <c r="C13" i="17" s="1"/>
  <c r="C182" i="28" s="1"/>
  <c r="B49" i="17"/>
  <c r="D48" i="17"/>
  <c r="C48" i="17"/>
  <c r="B48" i="17"/>
  <c r="D47" i="17"/>
  <c r="C47" i="17"/>
  <c r="B47" i="17"/>
  <c r="D46" i="17"/>
  <c r="C46" i="17"/>
  <c r="B46" i="17"/>
  <c r="D45" i="17"/>
  <c r="C45" i="17"/>
  <c r="B45" i="17"/>
  <c r="D44" i="17"/>
  <c r="C44" i="17"/>
  <c r="B44" i="17"/>
  <c r="D43" i="17"/>
  <c r="C43" i="17"/>
  <c r="B43" i="17"/>
  <c r="D42" i="17"/>
  <c r="C42" i="17"/>
  <c r="B42" i="17"/>
  <c r="D41" i="17"/>
  <c r="C41" i="17"/>
  <c r="B41" i="17"/>
  <c r="D40" i="17"/>
  <c r="C40" i="17"/>
  <c r="B40" i="17"/>
  <c r="D39" i="17"/>
  <c r="C39" i="17"/>
  <c r="B39" i="17"/>
  <c r="F15" i="17"/>
  <c r="F184" i="28" s="1"/>
  <c r="F49" i="17"/>
  <c r="F13" i="17" s="1"/>
  <c r="F182" i="28" s="1"/>
  <c r="F48" i="17"/>
  <c r="F47" i="17"/>
  <c r="F45" i="17"/>
  <c r="F44" i="17"/>
  <c r="F43" i="17"/>
  <c r="F42" i="17"/>
  <c r="F41" i="17"/>
  <c r="F40" i="17"/>
  <c r="F39" i="17"/>
  <c r="E7" i="17"/>
  <c r="E176" i="28" s="1"/>
  <c r="E8" i="17"/>
  <c r="E10" i="17"/>
  <c r="E179" i="28" s="1"/>
  <c r="E11" i="17"/>
  <c r="E12" i="17"/>
  <c r="E13" i="17"/>
  <c r="E182" i="28" s="1"/>
  <c r="E14" i="17"/>
  <c r="E183" i="28" s="1"/>
  <c r="E15" i="17"/>
  <c r="E184" i="28" s="1"/>
  <c r="C15" i="17"/>
  <c r="C184" i="28" s="1"/>
  <c r="E25" i="17"/>
  <c r="F167" i="19"/>
  <c r="F168" i="19"/>
  <c r="F169" i="19"/>
  <c r="F170" i="19"/>
  <c r="F171" i="19"/>
  <c r="F172" i="19"/>
  <c r="F173" i="19"/>
  <c r="F174" i="19"/>
  <c r="F175" i="19"/>
  <c r="F176" i="19"/>
  <c r="F177" i="19"/>
  <c r="F178" i="19"/>
  <c r="F179" i="19"/>
  <c r="F180" i="19"/>
  <c r="F181" i="19"/>
  <c r="F182" i="19"/>
  <c r="F183" i="19"/>
  <c r="F184" i="19"/>
  <c r="F185" i="19"/>
  <c r="F186" i="19"/>
  <c r="F187" i="19"/>
  <c r="F188" i="19"/>
  <c r="F189" i="19"/>
  <c r="F190" i="19"/>
  <c r="C12" i="17" l="1"/>
  <c r="D8" i="17"/>
  <c r="J34" i="9" s="1"/>
  <c r="K34" i="9"/>
  <c r="E177" i="28"/>
  <c r="K38" i="9"/>
  <c r="E181" i="28"/>
  <c r="AF513" i="28"/>
  <c r="I38" i="9"/>
  <c r="C181" i="28"/>
  <c r="AF491" i="28"/>
  <c r="K37" i="9"/>
  <c r="E180" i="28"/>
  <c r="AF461" i="28"/>
  <c r="AF445" i="28"/>
  <c r="C200" i="28"/>
  <c r="E16" i="17"/>
  <c r="N28" i="11"/>
  <c r="K41" i="9"/>
  <c r="K42" i="9" s="1"/>
  <c r="E26" i="17"/>
  <c r="K36" i="9"/>
  <c r="I41" i="9"/>
  <c r="I42" i="9" s="1"/>
  <c r="C251" i="28" s="1"/>
  <c r="N19" i="11"/>
  <c r="E24" i="17"/>
  <c r="K33" i="9"/>
  <c r="L39" i="9"/>
  <c r="L33" i="11"/>
  <c r="L28" i="11"/>
  <c r="K39" i="9"/>
  <c r="L41" i="9"/>
  <c r="L42" i="9" s="1"/>
  <c r="E251" i="28" s="1"/>
  <c r="E257" i="28" s="1"/>
  <c r="E312" i="28" s="1"/>
  <c r="N33" i="11"/>
  <c r="I39" i="9"/>
  <c r="L19" i="11"/>
  <c r="M28" i="11"/>
  <c r="K40" i="9"/>
  <c r="J39" i="9"/>
  <c r="L23" i="11"/>
  <c r="F11" i="17"/>
  <c r="D12" i="17"/>
  <c r="C5" i="17"/>
  <c r="C4" i="17"/>
  <c r="D4" i="17"/>
  <c r="C7" i="17"/>
  <c r="D9" i="17"/>
  <c r="F4" i="17"/>
  <c r="F8" i="17"/>
  <c r="F12" i="17"/>
  <c r="C11" i="17"/>
  <c r="F5" i="17"/>
  <c r="D6" i="17"/>
  <c r="C10" i="17"/>
  <c r="F7" i="17"/>
  <c r="F176" i="28" s="1"/>
  <c r="D5" i="17"/>
  <c r="C8" i="17"/>
  <c r="B4" i="17"/>
  <c r="D10" i="17"/>
  <c r="D179" i="28" s="1"/>
  <c r="D14" i="17"/>
  <c r="C6" i="17"/>
  <c r="C175" i="28" s="1"/>
  <c r="D7" i="17"/>
  <c r="D176" i="28" s="1"/>
  <c r="D11" i="17"/>
  <c r="C14" i="17"/>
  <c r="D15" i="17"/>
  <c r="F14" i="17"/>
  <c r="F6" i="17"/>
  <c r="F175" i="28" s="1"/>
  <c r="C9" i="17"/>
  <c r="G50" i="17"/>
  <c r="B6" i="17"/>
  <c r="G47" i="17"/>
  <c r="G51" i="17"/>
  <c r="B9" i="17"/>
  <c r="B13" i="17"/>
  <c r="B182" i="28" s="1"/>
  <c r="B10" i="17"/>
  <c r="G43" i="17"/>
  <c r="B7" i="17"/>
  <c r="B11" i="17"/>
  <c r="B15" i="17"/>
  <c r="B184" i="28" s="1"/>
  <c r="B5" i="17"/>
  <c r="B14" i="17"/>
  <c r="B183" i="28" s="1"/>
  <c r="G49" i="17"/>
  <c r="G45" i="17"/>
  <c r="G52" i="17"/>
  <c r="G48" i="17"/>
  <c r="G44" i="17"/>
  <c r="B12" i="17"/>
  <c r="B8" i="17"/>
  <c r="D177" i="28" l="1"/>
  <c r="F21" i="17"/>
  <c r="L21" i="17" s="1"/>
  <c r="K50" i="9"/>
  <c r="K51" i="9"/>
  <c r="K52" i="9" s="1"/>
  <c r="K53" i="9" s="1"/>
  <c r="K54" i="9" s="1"/>
  <c r="K55" i="9" s="1"/>
  <c r="K56" i="9" s="1"/>
  <c r="K57" i="9" s="1"/>
  <c r="F194" i="28"/>
  <c r="M19" i="11"/>
  <c r="C183" i="28"/>
  <c r="S386" i="28"/>
  <c r="AD506" i="28" s="1"/>
  <c r="C94" i="28"/>
  <c r="C110" i="28" s="1"/>
  <c r="C226" i="28" s="1"/>
  <c r="I33" i="9"/>
  <c r="C176" i="28"/>
  <c r="C194" i="28" s="1"/>
  <c r="J32" i="9"/>
  <c r="D175" i="28"/>
  <c r="D194" i="28" s="1"/>
  <c r="J30" i="9"/>
  <c r="D173" i="28"/>
  <c r="AF467" i="28"/>
  <c r="B202" i="28"/>
  <c r="L30" i="9"/>
  <c r="F173" i="28"/>
  <c r="J35" i="9"/>
  <c r="J51" i="9" s="1"/>
  <c r="D178" i="28"/>
  <c r="D196" i="28" s="1"/>
  <c r="H36" i="9"/>
  <c r="B179" i="28"/>
  <c r="M23" i="11"/>
  <c r="D183" i="28"/>
  <c r="D201" i="28" s="1"/>
  <c r="G182" i="28"/>
  <c r="I37" i="9"/>
  <c r="C180" i="28"/>
  <c r="I31" i="9"/>
  <c r="C174" i="28"/>
  <c r="C193" i="28" s="1"/>
  <c r="D195" i="28"/>
  <c r="H38" i="9"/>
  <c r="H54" i="9" s="1"/>
  <c r="B181" i="28"/>
  <c r="J31" i="9"/>
  <c r="J47" i="9" s="1"/>
  <c r="D174" i="28"/>
  <c r="S395" i="28"/>
  <c r="AD508" i="28" s="1"/>
  <c r="F94" i="28"/>
  <c r="F110" i="28" s="1"/>
  <c r="E226" i="28" s="1"/>
  <c r="H37" i="9"/>
  <c r="B180" i="28"/>
  <c r="J37" i="9"/>
  <c r="D180" i="28"/>
  <c r="D198" i="28" s="1"/>
  <c r="H33" i="9"/>
  <c r="H49" i="9" s="1"/>
  <c r="B176" i="28"/>
  <c r="B201" i="28"/>
  <c r="H35" i="9"/>
  <c r="B178" i="28"/>
  <c r="M33" i="11"/>
  <c r="F183" i="28"/>
  <c r="H30" i="9"/>
  <c r="B173" i="28"/>
  <c r="L38" i="9"/>
  <c r="F181" i="28"/>
  <c r="J38" i="9"/>
  <c r="J55" i="9" s="1"/>
  <c r="D181" i="28"/>
  <c r="Q386" i="28"/>
  <c r="AD462" i="28" s="1"/>
  <c r="C92" i="28"/>
  <c r="C108" i="28" s="1"/>
  <c r="C224" i="28" s="1"/>
  <c r="Q390" i="28"/>
  <c r="AD463" i="28" s="1"/>
  <c r="D92" i="28"/>
  <c r="D108" i="28" s="1"/>
  <c r="D224" i="28" s="1"/>
  <c r="H32" i="9"/>
  <c r="B175" i="28"/>
  <c r="I36" i="9"/>
  <c r="C179" i="28"/>
  <c r="C26" i="17"/>
  <c r="I26" i="17" s="1"/>
  <c r="C178" i="28"/>
  <c r="L31" i="9"/>
  <c r="F174" i="28"/>
  <c r="I30" i="9"/>
  <c r="C173" i="28"/>
  <c r="Q395" i="28"/>
  <c r="AD464" i="28" s="1"/>
  <c r="F92" i="28"/>
  <c r="F108" i="28" s="1"/>
  <c r="E224" i="28" s="1"/>
  <c r="H34" i="9"/>
  <c r="B177" i="28"/>
  <c r="H31" i="9"/>
  <c r="H47" i="9" s="1"/>
  <c r="B174" i="28"/>
  <c r="N23" i="11"/>
  <c r="D184" i="28"/>
  <c r="I34" i="9"/>
  <c r="C177" i="28"/>
  <c r="L34" i="9"/>
  <c r="F177" i="28"/>
  <c r="F195" i="28" s="1"/>
  <c r="L37" i="9"/>
  <c r="F180" i="28"/>
  <c r="I55" i="9"/>
  <c r="H40" i="9"/>
  <c r="M15" i="11"/>
  <c r="H41" i="9"/>
  <c r="H42" i="9" s="1"/>
  <c r="B251" i="28" s="1"/>
  <c r="N15" i="11"/>
  <c r="D21" i="17"/>
  <c r="J21" i="17" s="1"/>
  <c r="K43" i="9"/>
  <c r="K64" i="9"/>
  <c r="H39" i="9"/>
  <c r="L15" i="11"/>
  <c r="F17" i="17"/>
  <c r="P33" i="11" s="1"/>
  <c r="O33" i="11"/>
  <c r="E17" i="17"/>
  <c r="P28" i="11" s="1"/>
  <c r="O28" i="11"/>
  <c r="D26" i="17"/>
  <c r="J26" i="17" s="1"/>
  <c r="J36" i="9"/>
  <c r="D25" i="17"/>
  <c r="J25" i="17" s="1"/>
  <c r="F30" i="17"/>
  <c r="L30" i="17" s="1"/>
  <c r="L40" i="9"/>
  <c r="D24" i="17"/>
  <c r="J24" i="17" s="1"/>
  <c r="J33" i="9"/>
  <c r="C24" i="17"/>
  <c r="I24" i="17" s="1"/>
  <c r="D22" i="17"/>
  <c r="J22" i="17" s="1"/>
  <c r="C21" i="17"/>
  <c r="I21" i="17" s="1"/>
  <c r="J41" i="9"/>
  <c r="C22" i="17"/>
  <c r="I22" i="17" s="1"/>
  <c r="I32" i="9"/>
  <c r="F22" i="17"/>
  <c r="L22" i="17" s="1"/>
  <c r="L32" i="9"/>
  <c r="F23" i="17"/>
  <c r="L23" i="17" s="1"/>
  <c r="L33" i="9"/>
  <c r="C25" i="17"/>
  <c r="I25" i="17" s="1"/>
  <c r="I35" i="9"/>
  <c r="C30" i="17"/>
  <c r="I30" i="17" s="1"/>
  <c r="I40" i="9"/>
  <c r="D30" i="17"/>
  <c r="J30" i="17" s="1"/>
  <c r="J40" i="9"/>
  <c r="L64" i="9"/>
  <c r="L43" i="9"/>
  <c r="I43" i="9"/>
  <c r="C252" i="28" s="1"/>
  <c r="I54" i="9"/>
  <c r="C31" i="17"/>
  <c r="I31" i="17" s="1"/>
  <c r="F24" i="17"/>
  <c r="L24" i="17" s="1"/>
  <c r="D23" i="17"/>
  <c r="J23" i="17" s="1"/>
  <c r="C23" i="17"/>
  <c r="I23" i="17" s="1"/>
  <c r="F31" i="17"/>
  <c r="L31" i="17" s="1"/>
  <c r="D31" i="17"/>
  <c r="J31" i="17" s="1"/>
  <c r="B28" i="17"/>
  <c r="H28" i="17" s="1"/>
  <c r="G12" i="17"/>
  <c r="B27" i="17"/>
  <c r="H27" i="17" s="1"/>
  <c r="G11" i="17"/>
  <c r="B22" i="17"/>
  <c r="H22" i="17" s="1"/>
  <c r="B24" i="17"/>
  <c r="H24" i="17" s="1"/>
  <c r="G8" i="17"/>
  <c r="B21" i="17"/>
  <c r="H21" i="17" s="1"/>
  <c r="B31" i="17"/>
  <c r="H31" i="17" s="1"/>
  <c r="G15" i="17"/>
  <c r="G160" i="30" s="1"/>
  <c r="B26" i="17"/>
  <c r="H26" i="17" s="1"/>
  <c r="G13" i="17"/>
  <c r="G136" i="30" s="1"/>
  <c r="B29" i="17"/>
  <c r="H29" i="17" s="1"/>
  <c r="G14" i="17"/>
  <c r="G148" i="30" s="1"/>
  <c r="B30" i="17"/>
  <c r="H30" i="17" s="1"/>
  <c r="B23" i="17"/>
  <c r="H23" i="17" s="1"/>
  <c r="G7" i="17"/>
  <c r="B25" i="17"/>
  <c r="H25" i="17" s="1"/>
  <c r="F166" i="19"/>
  <c r="F165" i="19"/>
  <c r="F164" i="19"/>
  <c r="F163" i="19"/>
  <c r="F162" i="19"/>
  <c r="F161" i="19"/>
  <c r="F160" i="19"/>
  <c r="F159" i="19"/>
  <c r="F158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4" i="19"/>
  <c r="F133" i="19"/>
  <c r="F132" i="19"/>
  <c r="F131" i="19"/>
  <c r="J54" i="9" l="1"/>
  <c r="L50" i="9"/>
  <c r="J48" i="9"/>
  <c r="G137" i="30"/>
  <c r="G138" i="30" s="1"/>
  <c r="G139" i="30" s="1"/>
  <c r="G140" i="30" s="1"/>
  <c r="G141" i="30" s="1"/>
  <c r="G142" i="30" s="1"/>
  <c r="G143" i="30" s="1"/>
  <c r="G144" i="30" s="1"/>
  <c r="G145" i="30" s="1"/>
  <c r="G146" i="30" s="1"/>
  <c r="G147" i="30" s="1"/>
  <c r="I50" i="9"/>
  <c r="L47" i="9"/>
  <c r="H52" i="9"/>
  <c r="I47" i="9"/>
  <c r="H56" i="9"/>
  <c r="J52" i="9"/>
  <c r="H50" i="9"/>
  <c r="I51" i="9"/>
  <c r="H55" i="9"/>
  <c r="H53" i="9"/>
  <c r="H51" i="9"/>
  <c r="H48" i="9"/>
  <c r="L54" i="9"/>
  <c r="I53" i="9"/>
  <c r="F192" i="28"/>
  <c r="D202" i="28"/>
  <c r="D192" i="28"/>
  <c r="G183" i="28"/>
  <c r="C198" i="28"/>
  <c r="D197" i="28"/>
  <c r="B193" i="28"/>
  <c r="G176" i="28"/>
  <c r="B194" i="28"/>
  <c r="G64" i="19"/>
  <c r="G64" i="30"/>
  <c r="B195" i="28"/>
  <c r="G177" i="28"/>
  <c r="C196" i="28"/>
  <c r="AC485" i="28"/>
  <c r="AK463" i="28"/>
  <c r="G112" i="19"/>
  <c r="G112" i="30"/>
  <c r="N38" i="11"/>
  <c r="S382" i="28"/>
  <c r="B94" i="28"/>
  <c r="C199" i="28"/>
  <c r="L38" i="11"/>
  <c r="Q382" i="28"/>
  <c r="B92" i="28"/>
  <c r="F201" i="28"/>
  <c r="F202" i="28"/>
  <c r="G181" i="28"/>
  <c r="B199" i="28"/>
  <c r="G76" i="19"/>
  <c r="G76" i="30"/>
  <c r="M38" i="11"/>
  <c r="R382" i="28"/>
  <c r="B93" i="28"/>
  <c r="C195" i="28"/>
  <c r="C197" i="28"/>
  <c r="AC484" i="28"/>
  <c r="AK462" i="28"/>
  <c r="R395" i="28"/>
  <c r="AD486" i="28" s="1"/>
  <c r="F93" i="28"/>
  <c r="F109" i="28" s="1"/>
  <c r="E225" i="28" s="1"/>
  <c r="E244" i="28" s="1"/>
  <c r="B200" i="28"/>
  <c r="AC528" i="28"/>
  <c r="AK506" i="28"/>
  <c r="R390" i="28"/>
  <c r="AD485" i="28" s="1"/>
  <c r="D93" i="28"/>
  <c r="D109" i="28" s="1"/>
  <c r="D225" i="28" s="1"/>
  <c r="B197" i="28"/>
  <c r="I48" i="9"/>
  <c r="G149" i="30"/>
  <c r="G150" i="30" s="1"/>
  <c r="G151" i="30" s="1"/>
  <c r="G152" i="30" s="1"/>
  <c r="G153" i="30" s="1"/>
  <c r="G154" i="30" s="1"/>
  <c r="G155" i="30" s="1"/>
  <c r="G156" i="30" s="1"/>
  <c r="G157" i="30" s="1"/>
  <c r="G158" i="30" s="1"/>
  <c r="G159" i="30" s="1"/>
  <c r="L48" i="9"/>
  <c r="AC486" i="28"/>
  <c r="AJ486" i="28" s="1"/>
  <c r="AK464" i="28"/>
  <c r="D199" i="28"/>
  <c r="D200" i="28"/>
  <c r="B196" i="28"/>
  <c r="B198" i="28"/>
  <c r="G180" i="28"/>
  <c r="D193" i="28"/>
  <c r="C201" i="28"/>
  <c r="C202" i="28"/>
  <c r="T395" i="28"/>
  <c r="AD530" i="28" s="1"/>
  <c r="AC552" i="28" s="1"/>
  <c r="F95" i="28"/>
  <c r="S390" i="28"/>
  <c r="AD507" i="28" s="1"/>
  <c r="D94" i="28"/>
  <c r="D110" i="28" s="1"/>
  <c r="D226" i="28" s="1"/>
  <c r="F199" i="28"/>
  <c r="F200" i="28"/>
  <c r="U395" i="28"/>
  <c r="AD552" i="28" s="1"/>
  <c r="F96" i="28"/>
  <c r="B192" i="28"/>
  <c r="AC530" i="28"/>
  <c r="AK508" i="28"/>
  <c r="G124" i="19"/>
  <c r="G124" i="30"/>
  <c r="G125" i="30" s="1"/>
  <c r="G126" i="30" s="1"/>
  <c r="G127" i="30" s="1"/>
  <c r="G128" i="30" s="1"/>
  <c r="G129" i="30" s="1"/>
  <c r="G130" i="30" s="1"/>
  <c r="G131" i="30" s="1"/>
  <c r="G132" i="30" s="1"/>
  <c r="G133" i="30" s="1"/>
  <c r="G134" i="30" s="1"/>
  <c r="G135" i="30" s="1"/>
  <c r="L65" i="9"/>
  <c r="E252" i="28"/>
  <c r="E258" i="28" s="1"/>
  <c r="E313" i="28" s="1"/>
  <c r="F193" i="28"/>
  <c r="L55" i="9"/>
  <c r="C192" i="28"/>
  <c r="G184" i="28"/>
  <c r="R386" i="28"/>
  <c r="AD484" i="28" s="1"/>
  <c r="C93" i="28"/>
  <c r="C109" i="28" s="1"/>
  <c r="C225" i="28" s="1"/>
  <c r="C244" i="28" s="1"/>
  <c r="G148" i="19"/>
  <c r="M43" i="11"/>
  <c r="J56" i="9"/>
  <c r="J42" i="9"/>
  <c r="D251" i="28" s="1"/>
  <c r="D257" i="28" s="1"/>
  <c r="D312" i="28" s="1"/>
  <c r="G136" i="19"/>
  <c r="G125" i="19" s="1"/>
  <c r="G126" i="19" s="1"/>
  <c r="G127" i="19" s="1"/>
  <c r="G128" i="19" s="1"/>
  <c r="G129" i="19" s="1"/>
  <c r="G130" i="19" s="1"/>
  <c r="G131" i="19" s="1"/>
  <c r="G132" i="19" s="1"/>
  <c r="G133" i="19" s="1"/>
  <c r="G134" i="19" s="1"/>
  <c r="G135" i="19" s="1"/>
  <c r="L43" i="11"/>
  <c r="F38" i="28" s="1"/>
  <c r="H57" i="9"/>
  <c r="D17" i="17"/>
  <c r="O23" i="11"/>
  <c r="K65" i="9"/>
  <c r="G160" i="19"/>
  <c r="N43" i="11"/>
  <c r="F40" i="28" s="1"/>
  <c r="J57" i="9"/>
  <c r="L49" i="9"/>
  <c r="I49" i="9"/>
  <c r="J49" i="9"/>
  <c r="J50" i="9"/>
  <c r="I52" i="9"/>
  <c r="I56" i="9"/>
  <c r="I57" i="9"/>
  <c r="H43" i="9"/>
  <c r="B252" i="28" s="1"/>
  <c r="L56" i="9"/>
  <c r="L57" i="9"/>
  <c r="J53" i="9"/>
  <c r="D156" i="19"/>
  <c r="D157" i="19"/>
  <c r="D158" i="19"/>
  <c r="D159" i="19"/>
  <c r="D160" i="19"/>
  <c r="D161" i="19"/>
  <c r="D162" i="19"/>
  <c r="D163" i="19"/>
  <c r="D164" i="19"/>
  <c r="D165" i="19"/>
  <c r="D166" i="19"/>
  <c r="D155" i="19"/>
  <c r="D144" i="19"/>
  <c r="D145" i="19"/>
  <c r="D146" i="19"/>
  <c r="D147" i="19"/>
  <c r="D148" i="19"/>
  <c r="D149" i="19"/>
  <c r="D150" i="19"/>
  <c r="D151" i="19"/>
  <c r="D152" i="19"/>
  <c r="D153" i="19"/>
  <c r="D154" i="19"/>
  <c r="D143" i="19"/>
  <c r="D132" i="19"/>
  <c r="D133" i="19"/>
  <c r="D134" i="19"/>
  <c r="D135" i="19"/>
  <c r="D136" i="19"/>
  <c r="D137" i="19"/>
  <c r="D138" i="19"/>
  <c r="D139" i="19"/>
  <c r="D140" i="19"/>
  <c r="D141" i="19"/>
  <c r="D142" i="19"/>
  <c r="D131" i="19"/>
  <c r="G65" i="19" l="1"/>
  <c r="G66" i="19" s="1"/>
  <c r="G67" i="19" s="1"/>
  <c r="G68" i="19" s="1"/>
  <c r="G69" i="19" s="1"/>
  <c r="G70" i="19" s="1"/>
  <c r="G71" i="19" s="1"/>
  <c r="G72" i="19" s="1"/>
  <c r="G73" i="19" s="1"/>
  <c r="G74" i="19" s="1"/>
  <c r="G75" i="19" s="1"/>
  <c r="G113" i="19"/>
  <c r="G114" i="19" s="1"/>
  <c r="G115" i="19" s="1"/>
  <c r="G116" i="19" s="1"/>
  <c r="G117" i="19" s="1"/>
  <c r="G118" i="19" s="1"/>
  <c r="G119" i="19" s="1"/>
  <c r="G120" i="19" s="1"/>
  <c r="G121" i="19" s="1"/>
  <c r="G122" i="19" s="1"/>
  <c r="G123" i="19" s="1"/>
  <c r="AC558" i="28"/>
  <c r="AC491" i="28"/>
  <c r="AJ485" i="28"/>
  <c r="AD505" i="28"/>
  <c r="S400" i="28"/>
  <c r="D245" i="28"/>
  <c r="D244" i="28"/>
  <c r="G93" i="28"/>
  <c r="B109" i="28"/>
  <c r="B225" i="28" s="1"/>
  <c r="AC508" i="28"/>
  <c r="AC492" i="28"/>
  <c r="AK486" i="28"/>
  <c r="AJ492" i="28" s="1"/>
  <c r="G92" i="28"/>
  <c r="B108" i="28"/>
  <c r="B224" i="28" s="1"/>
  <c r="E245" i="28"/>
  <c r="AD461" i="28"/>
  <c r="Q400" i="28"/>
  <c r="G65" i="30"/>
  <c r="G66" i="30" s="1"/>
  <c r="G67" i="30" s="1"/>
  <c r="G68" i="30" s="1"/>
  <c r="G69" i="30" s="1"/>
  <c r="G70" i="30" s="1"/>
  <c r="G71" i="30" s="1"/>
  <c r="G72" i="30" s="1"/>
  <c r="G73" i="30" s="1"/>
  <c r="G74" i="30" s="1"/>
  <c r="G75" i="30" s="1"/>
  <c r="M48" i="11"/>
  <c r="F39" i="28"/>
  <c r="G39" i="28" s="1"/>
  <c r="N48" i="11"/>
  <c r="AC536" i="28"/>
  <c r="AJ530" i="28"/>
  <c r="AC529" i="28"/>
  <c r="AJ529" i="28" s="1"/>
  <c r="AK507" i="28"/>
  <c r="C245" i="28"/>
  <c r="AJ484" i="28"/>
  <c r="AC506" i="28"/>
  <c r="AC490" i="28"/>
  <c r="AK484" i="28"/>
  <c r="G94" i="28"/>
  <c r="B110" i="28"/>
  <c r="B226" i="28" s="1"/>
  <c r="AC507" i="28"/>
  <c r="AJ507" i="28" s="1"/>
  <c r="AK485" i="28"/>
  <c r="AD483" i="28"/>
  <c r="R400" i="28"/>
  <c r="G113" i="30"/>
  <c r="G114" i="30" s="1"/>
  <c r="G115" i="30" s="1"/>
  <c r="G116" i="30" s="1"/>
  <c r="G117" i="30" s="1"/>
  <c r="G118" i="30" s="1"/>
  <c r="G119" i="30" s="1"/>
  <c r="G120" i="30" s="1"/>
  <c r="G121" i="30" s="1"/>
  <c r="G122" i="30" s="1"/>
  <c r="G123" i="30" s="1"/>
  <c r="T390" i="28"/>
  <c r="AD529" i="28" s="1"/>
  <c r="D95" i="28"/>
  <c r="P23" i="11"/>
  <c r="D209" i="28"/>
  <c r="L48" i="11"/>
  <c r="AJ528" i="28"/>
  <c r="G149" i="19"/>
  <c r="G150" i="19" s="1"/>
  <c r="G151" i="19" s="1"/>
  <c r="G152" i="19" s="1"/>
  <c r="G153" i="19" s="1"/>
  <c r="G154" i="19" s="1"/>
  <c r="G155" i="19" s="1"/>
  <c r="G156" i="19" s="1"/>
  <c r="G157" i="19" s="1"/>
  <c r="G158" i="19" s="1"/>
  <c r="G159" i="19" s="1"/>
  <c r="G137" i="19"/>
  <c r="G138" i="19" s="1"/>
  <c r="G139" i="19" s="1"/>
  <c r="G140" i="19" s="1"/>
  <c r="G141" i="19" s="1"/>
  <c r="G142" i="19" s="1"/>
  <c r="G143" i="19" s="1"/>
  <c r="G144" i="19" s="1"/>
  <c r="G145" i="19" s="1"/>
  <c r="G146" i="19" s="1"/>
  <c r="G147" i="19" s="1"/>
  <c r="D109" i="19"/>
  <c r="D110" i="19"/>
  <c r="D111" i="19"/>
  <c r="D112" i="19"/>
  <c r="D113" i="19"/>
  <c r="D114" i="19"/>
  <c r="D115" i="19"/>
  <c r="D116" i="19"/>
  <c r="D117" i="19"/>
  <c r="D118" i="19"/>
  <c r="Z19" i="23"/>
  <c r="C166" i="19" s="1"/>
  <c r="Z18" i="23"/>
  <c r="C165" i="19" s="1"/>
  <c r="Z17" i="23"/>
  <c r="C164" i="19" s="1"/>
  <c r="Z16" i="23"/>
  <c r="C163" i="19" s="1"/>
  <c r="Z15" i="23"/>
  <c r="C162" i="19" s="1"/>
  <c r="Z14" i="23"/>
  <c r="C161" i="19" s="1"/>
  <c r="Z13" i="23"/>
  <c r="C160" i="19" s="1"/>
  <c r="K160" i="19" s="1"/>
  <c r="L160" i="19" s="1"/>
  <c r="M160" i="19" s="1"/>
  <c r="Z12" i="23"/>
  <c r="C159" i="19" s="1"/>
  <c r="Z11" i="23"/>
  <c r="C158" i="19" s="1"/>
  <c r="Z10" i="23"/>
  <c r="C157" i="19" s="1"/>
  <c r="Z9" i="23"/>
  <c r="C156" i="19" s="1"/>
  <c r="Z8" i="23"/>
  <c r="C155" i="19" s="1"/>
  <c r="Y19" i="23"/>
  <c r="C154" i="19" s="1"/>
  <c r="Y18" i="23"/>
  <c r="C153" i="19" s="1"/>
  <c r="Y17" i="23"/>
  <c r="C152" i="19" s="1"/>
  <c r="Y16" i="23"/>
  <c r="C151" i="19" s="1"/>
  <c r="Y15" i="23"/>
  <c r="C150" i="19" s="1"/>
  <c r="Y14" i="23"/>
  <c r="C149" i="19" s="1"/>
  <c r="Y13" i="23"/>
  <c r="C148" i="19" s="1"/>
  <c r="K148" i="19" s="1"/>
  <c r="L148" i="19" s="1"/>
  <c r="M148" i="19" s="1"/>
  <c r="Y12" i="23"/>
  <c r="C147" i="19" s="1"/>
  <c r="Y11" i="23"/>
  <c r="C146" i="19" s="1"/>
  <c r="Y10" i="23"/>
  <c r="C145" i="19" s="1"/>
  <c r="Y9" i="23"/>
  <c r="C144" i="19" s="1"/>
  <c r="Y8" i="23"/>
  <c r="C143" i="19" s="1"/>
  <c r="K153" i="19" l="1"/>
  <c r="L153" i="19" s="1"/>
  <c r="M153" i="19" s="1"/>
  <c r="AJ513" i="28"/>
  <c r="B245" i="28"/>
  <c r="AJ490" i="28"/>
  <c r="K145" i="19"/>
  <c r="L145" i="19" s="1"/>
  <c r="M145" i="19" s="1"/>
  <c r="K149" i="19"/>
  <c r="L149" i="19" s="1"/>
  <c r="M149" i="19" s="1"/>
  <c r="K157" i="19"/>
  <c r="L157" i="19" s="1"/>
  <c r="M157" i="19" s="1"/>
  <c r="AC513" i="28"/>
  <c r="AJ508" i="28"/>
  <c r="AJ514" i="28" s="1"/>
  <c r="AC514" i="28"/>
  <c r="AC527" i="28"/>
  <c r="AD509" i="28"/>
  <c r="AK505" i="28"/>
  <c r="K150" i="19"/>
  <c r="L150" i="19" s="1"/>
  <c r="M150" i="19" s="1"/>
  <c r="AC483" i="28"/>
  <c r="AC489" i="28" s="1"/>
  <c r="AD465" i="28"/>
  <c r="AK461" i="28"/>
  <c r="G40" i="28"/>
  <c r="AJ491" i="28"/>
  <c r="AC535" i="28"/>
  <c r="AC551" i="28"/>
  <c r="AC505" i="28"/>
  <c r="AD487" i="28"/>
  <c r="AK483" i="28"/>
  <c r="AJ506" i="28"/>
  <c r="AJ512" i="28" s="1"/>
  <c r="AC512" i="28"/>
  <c r="U390" i="28"/>
  <c r="AD551" i="28" s="1"/>
  <c r="D96" i="28"/>
  <c r="B244" i="28"/>
  <c r="K154" i="19"/>
  <c r="L154" i="19" s="1"/>
  <c r="M154" i="19" s="1"/>
  <c r="K158" i="19"/>
  <c r="L158" i="19" s="1"/>
  <c r="M158" i="19" s="1"/>
  <c r="K144" i="19"/>
  <c r="L144" i="19" s="1"/>
  <c r="M144" i="19" s="1"/>
  <c r="K152" i="19"/>
  <c r="L152" i="19" s="1"/>
  <c r="M152" i="19" s="1"/>
  <c r="K156" i="19"/>
  <c r="L156" i="19" s="1"/>
  <c r="M156" i="19" s="1"/>
  <c r="K143" i="19"/>
  <c r="L143" i="19" s="1"/>
  <c r="M143" i="19" s="1"/>
  <c r="K147" i="19"/>
  <c r="L147" i="19" s="1"/>
  <c r="M147" i="19" s="1"/>
  <c r="K151" i="19"/>
  <c r="L151" i="19" s="1"/>
  <c r="M151" i="19" s="1"/>
  <c r="K155" i="19"/>
  <c r="L155" i="19" s="1"/>
  <c r="M155" i="19" s="1"/>
  <c r="K159" i="19"/>
  <c r="L159" i="19" s="1"/>
  <c r="M159" i="19" s="1"/>
  <c r="K146" i="19"/>
  <c r="L146" i="19" s="1"/>
  <c r="M146" i="19" s="1"/>
  <c r="Z41" i="23"/>
  <c r="Y41" i="23"/>
  <c r="X41" i="23"/>
  <c r="X19" i="23"/>
  <c r="C142" i="19" s="1"/>
  <c r="K142" i="19" s="1"/>
  <c r="L142" i="19" s="1"/>
  <c r="M142" i="19" s="1"/>
  <c r="X18" i="23"/>
  <c r="C141" i="19" s="1"/>
  <c r="K141" i="19" s="1"/>
  <c r="L141" i="19" s="1"/>
  <c r="M141" i="19" s="1"/>
  <c r="X17" i="23"/>
  <c r="C140" i="19" s="1"/>
  <c r="K140" i="19" s="1"/>
  <c r="L140" i="19" s="1"/>
  <c r="M140" i="19" s="1"/>
  <c r="X16" i="23"/>
  <c r="C139" i="19" s="1"/>
  <c r="K139" i="19" s="1"/>
  <c r="L139" i="19" s="1"/>
  <c r="M139" i="19" s="1"/>
  <c r="X15" i="23"/>
  <c r="C138" i="19" s="1"/>
  <c r="K138" i="19" s="1"/>
  <c r="L138" i="19" s="1"/>
  <c r="M138" i="19" s="1"/>
  <c r="X14" i="23"/>
  <c r="C137" i="19" s="1"/>
  <c r="K137" i="19" s="1"/>
  <c r="L137" i="19" s="1"/>
  <c r="M137" i="19" s="1"/>
  <c r="X13" i="23"/>
  <c r="C136" i="19" s="1"/>
  <c r="K136" i="19" s="1"/>
  <c r="L136" i="19" s="1"/>
  <c r="M136" i="19" s="1"/>
  <c r="X12" i="23"/>
  <c r="C135" i="19" s="1"/>
  <c r="K135" i="19" s="1"/>
  <c r="L135" i="19" s="1"/>
  <c r="M135" i="19" s="1"/>
  <c r="X11" i="23"/>
  <c r="C134" i="19" s="1"/>
  <c r="K134" i="19" s="1"/>
  <c r="L134" i="19" s="1"/>
  <c r="M134" i="19" s="1"/>
  <c r="X10" i="23"/>
  <c r="C133" i="19" s="1"/>
  <c r="K133" i="19" s="1"/>
  <c r="L133" i="19" s="1"/>
  <c r="M133" i="19" s="1"/>
  <c r="X9" i="23"/>
  <c r="C132" i="19" s="1"/>
  <c r="K132" i="19" s="1"/>
  <c r="L132" i="19" s="1"/>
  <c r="M132" i="19" s="1"/>
  <c r="X8" i="23"/>
  <c r="C131" i="19" s="1"/>
  <c r="K131" i="19" s="1"/>
  <c r="L131" i="19" s="1"/>
  <c r="M131" i="19" s="1"/>
  <c r="Y21" i="23"/>
  <c r="Z21" i="23"/>
  <c r="W41" i="23"/>
  <c r="W19" i="23"/>
  <c r="C130" i="19" s="1"/>
  <c r="W18" i="23"/>
  <c r="C129" i="19" s="1"/>
  <c r="W17" i="23"/>
  <c r="C128" i="19" s="1"/>
  <c r="W16" i="23"/>
  <c r="C127" i="19" s="1"/>
  <c r="W15" i="23"/>
  <c r="C126" i="19" s="1"/>
  <c r="W14" i="23"/>
  <c r="C125" i="19" s="1"/>
  <c r="W13" i="23"/>
  <c r="C124" i="19" s="1"/>
  <c r="W12" i="23"/>
  <c r="C123" i="19" s="1"/>
  <c r="W11" i="23"/>
  <c r="C122" i="19" s="1"/>
  <c r="W10" i="23"/>
  <c r="C121" i="19" s="1"/>
  <c r="W9" i="23"/>
  <c r="C120" i="19" s="1"/>
  <c r="W8" i="23"/>
  <c r="C119" i="19" s="1"/>
  <c r="V19" i="23"/>
  <c r="V18" i="23"/>
  <c r="V17" i="23"/>
  <c r="V16" i="23"/>
  <c r="V15" i="23"/>
  <c r="V14" i="23"/>
  <c r="V13" i="23"/>
  <c r="V12" i="23"/>
  <c r="V11" i="23"/>
  <c r="V10" i="23"/>
  <c r="V9" i="23"/>
  <c r="V8" i="23"/>
  <c r="W5" i="23"/>
  <c r="X5" i="23"/>
  <c r="Y5" i="23"/>
  <c r="Z5" i="23"/>
  <c r="C117" i="19" l="1"/>
  <c r="K117" i="19" s="1"/>
  <c r="L117" i="19" s="1"/>
  <c r="M117" i="19" s="1"/>
  <c r="AA18" i="23"/>
  <c r="C228" i="30" s="1"/>
  <c r="K228" i="30" s="1"/>
  <c r="C110" i="19"/>
  <c r="AA11" i="23"/>
  <c r="C221" i="30" s="1"/>
  <c r="K221" i="30" s="1"/>
  <c r="C112" i="19"/>
  <c r="K112" i="19" s="1"/>
  <c r="L112" i="19" s="1"/>
  <c r="M112" i="19" s="1"/>
  <c r="AA13" i="23"/>
  <c r="C223" i="30" s="1"/>
  <c r="K223" i="30" s="1"/>
  <c r="AC509" i="28"/>
  <c r="AJ505" i="28"/>
  <c r="AJ511" i="28" s="1"/>
  <c r="AJ483" i="28"/>
  <c r="AJ489" i="28" s="1"/>
  <c r="AC487" i="28"/>
  <c r="C114" i="19"/>
  <c r="K114" i="19" s="1"/>
  <c r="L114" i="19" s="1"/>
  <c r="M114" i="19" s="1"/>
  <c r="AA15" i="23"/>
  <c r="C225" i="30" s="1"/>
  <c r="K225" i="30" s="1"/>
  <c r="AC557" i="28"/>
  <c r="C111" i="19"/>
  <c r="AA12" i="23"/>
  <c r="C222" i="30" s="1"/>
  <c r="K222" i="30" s="1"/>
  <c r="AA8" i="23"/>
  <c r="C218" i="30" s="1"/>
  <c r="K218" i="30" s="1"/>
  <c r="C115" i="19"/>
  <c r="K115" i="19" s="1"/>
  <c r="L115" i="19" s="1"/>
  <c r="M115" i="19" s="1"/>
  <c r="AA16" i="23"/>
  <c r="C226" i="30" s="1"/>
  <c r="K226" i="30" s="1"/>
  <c r="AC511" i="28"/>
  <c r="C109" i="19"/>
  <c r="AA10" i="23"/>
  <c r="C220" i="30" s="1"/>
  <c r="K220" i="30" s="1"/>
  <c r="AJ527" i="28"/>
  <c r="AC531" i="28"/>
  <c r="C118" i="19"/>
  <c r="K118" i="19" s="1"/>
  <c r="L118" i="19" s="1"/>
  <c r="M118" i="19" s="1"/>
  <c r="AA19" i="23"/>
  <c r="C229" i="30" s="1"/>
  <c r="K229" i="30" s="1"/>
  <c r="C113" i="19"/>
  <c r="K113" i="19" s="1"/>
  <c r="L113" i="19" s="1"/>
  <c r="M113" i="19" s="1"/>
  <c r="AA14" i="23"/>
  <c r="C224" i="30" s="1"/>
  <c r="K224" i="30" s="1"/>
  <c r="AA9" i="23"/>
  <c r="C219" i="30" s="1"/>
  <c r="K219" i="30" s="1"/>
  <c r="C116" i="19"/>
  <c r="K116" i="19" s="1"/>
  <c r="L116" i="19" s="1"/>
  <c r="M116" i="19" s="1"/>
  <c r="AA17" i="23"/>
  <c r="C227" i="30" s="1"/>
  <c r="K227" i="30" s="1"/>
  <c r="K206" i="19"/>
  <c r="K205" i="19"/>
  <c r="W21" i="23"/>
  <c r="X21" i="23"/>
  <c r="L229" i="30" l="1"/>
  <c r="M5" i="11"/>
  <c r="C161" i="28"/>
  <c r="L5" i="11"/>
  <c r="C160" i="28"/>
  <c r="C19" i="9"/>
  <c r="D19" i="9" s="1"/>
  <c r="E19" i="9" s="1"/>
  <c r="L206" i="19"/>
  <c r="M206" i="19" s="1"/>
  <c r="L205" i="19"/>
  <c r="M205" i="19" s="1"/>
  <c r="C18" i="9"/>
  <c r="C4" i="19"/>
  <c r="D4" i="19"/>
  <c r="F4" i="19"/>
  <c r="C5" i="19"/>
  <c r="D5" i="19"/>
  <c r="F5" i="19"/>
  <c r="C6" i="19"/>
  <c r="D6" i="19"/>
  <c r="F6" i="19"/>
  <c r="C7" i="19"/>
  <c r="D7" i="19"/>
  <c r="F7" i="19"/>
  <c r="C8" i="19"/>
  <c r="D8" i="19"/>
  <c r="F8" i="19"/>
  <c r="C9" i="19"/>
  <c r="D9" i="19"/>
  <c r="F9" i="19"/>
  <c r="C10" i="19"/>
  <c r="D10" i="19"/>
  <c r="F10" i="19"/>
  <c r="C11" i="19"/>
  <c r="D11" i="19"/>
  <c r="F11" i="19"/>
  <c r="C12" i="19"/>
  <c r="D12" i="19"/>
  <c r="F12" i="19"/>
  <c r="C13" i="19"/>
  <c r="D13" i="19"/>
  <c r="F13" i="19"/>
  <c r="C14" i="19"/>
  <c r="D14" i="19"/>
  <c r="F14" i="19"/>
  <c r="C15" i="19"/>
  <c r="D15" i="19"/>
  <c r="F15" i="19"/>
  <c r="C16" i="19"/>
  <c r="D16" i="19"/>
  <c r="F16" i="19"/>
  <c r="C17" i="19"/>
  <c r="D17" i="19"/>
  <c r="F17" i="19"/>
  <c r="C18" i="19"/>
  <c r="D18" i="19"/>
  <c r="C19" i="19"/>
  <c r="D19" i="19"/>
  <c r="F19" i="19"/>
  <c r="C20" i="19"/>
  <c r="D20" i="19"/>
  <c r="F20" i="19"/>
  <c r="C21" i="19"/>
  <c r="D21" i="19"/>
  <c r="F21" i="19"/>
  <c r="C22" i="19"/>
  <c r="D22" i="19"/>
  <c r="F22" i="19"/>
  <c r="C23" i="19"/>
  <c r="D23" i="19"/>
  <c r="F23" i="19"/>
  <c r="C24" i="19"/>
  <c r="D24" i="19"/>
  <c r="F24" i="19"/>
  <c r="C25" i="19"/>
  <c r="D25" i="19"/>
  <c r="F25" i="19"/>
  <c r="C26" i="19"/>
  <c r="D26" i="19"/>
  <c r="F26" i="19"/>
  <c r="C27" i="19"/>
  <c r="D27" i="19"/>
  <c r="F27" i="19"/>
  <c r="C28" i="19"/>
  <c r="D28" i="19"/>
  <c r="F28" i="19"/>
  <c r="C29" i="19"/>
  <c r="D29" i="19"/>
  <c r="F29" i="19"/>
  <c r="C30" i="19"/>
  <c r="D30" i="19"/>
  <c r="F30" i="19"/>
  <c r="C31" i="19"/>
  <c r="D31" i="19"/>
  <c r="F31" i="19"/>
  <c r="C32" i="19"/>
  <c r="D32" i="19"/>
  <c r="F32" i="19"/>
  <c r="C33" i="19"/>
  <c r="D33" i="19"/>
  <c r="F33" i="19"/>
  <c r="C34" i="19"/>
  <c r="D34" i="19"/>
  <c r="F34" i="19"/>
  <c r="C35" i="19"/>
  <c r="D35" i="19"/>
  <c r="F35" i="19"/>
  <c r="C36" i="19"/>
  <c r="D36" i="19"/>
  <c r="F36" i="19"/>
  <c r="C37" i="19"/>
  <c r="D37" i="19"/>
  <c r="F37" i="19"/>
  <c r="C38" i="19"/>
  <c r="D38" i="19"/>
  <c r="F38" i="19"/>
  <c r="C39" i="19"/>
  <c r="D39" i="19"/>
  <c r="F39" i="19"/>
  <c r="C40" i="19"/>
  <c r="D40" i="19"/>
  <c r="F40" i="19"/>
  <c r="C41" i="19"/>
  <c r="D41" i="19"/>
  <c r="F41" i="19"/>
  <c r="C42" i="19"/>
  <c r="D42" i="19"/>
  <c r="F42" i="19"/>
  <c r="C43" i="19"/>
  <c r="D43" i="19"/>
  <c r="F43" i="19"/>
  <c r="C44" i="19"/>
  <c r="D44" i="19"/>
  <c r="F44" i="19"/>
  <c r="C45" i="19"/>
  <c r="D45" i="19"/>
  <c r="F45" i="19"/>
  <c r="C46" i="19"/>
  <c r="D46" i="19"/>
  <c r="F46" i="19"/>
  <c r="C47" i="19"/>
  <c r="D47" i="19"/>
  <c r="F47" i="19"/>
  <c r="C48" i="19"/>
  <c r="D48" i="19"/>
  <c r="F48" i="19"/>
  <c r="C49" i="19"/>
  <c r="D49" i="19"/>
  <c r="F49" i="19"/>
  <c r="C50" i="19"/>
  <c r="D50" i="19"/>
  <c r="F50" i="19"/>
  <c r="C51" i="19"/>
  <c r="D51" i="19"/>
  <c r="F51" i="19"/>
  <c r="C52" i="19"/>
  <c r="D52" i="19"/>
  <c r="F52" i="19"/>
  <c r="C53" i="19"/>
  <c r="D53" i="19"/>
  <c r="F53" i="19"/>
  <c r="C54" i="19"/>
  <c r="D54" i="19"/>
  <c r="F54" i="19"/>
  <c r="C55" i="19"/>
  <c r="D55" i="19"/>
  <c r="F55" i="19"/>
  <c r="C56" i="19"/>
  <c r="D56" i="19"/>
  <c r="F56" i="19"/>
  <c r="C57" i="19"/>
  <c r="D57" i="19"/>
  <c r="F57" i="19"/>
  <c r="C58" i="19"/>
  <c r="D58" i="19"/>
  <c r="F58" i="19"/>
  <c r="C59" i="19"/>
  <c r="D59" i="19"/>
  <c r="F59" i="19"/>
  <c r="C60" i="19"/>
  <c r="D60" i="19"/>
  <c r="F60" i="19"/>
  <c r="C61" i="19"/>
  <c r="D61" i="19"/>
  <c r="F61" i="19"/>
  <c r="C62" i="19"/>
  <c r="D62" i="19"/>
  <c r="F62" i="19"/>
  <c r="C63" i="19"/>
  <c r="D63" i="19"/>
  <c r="F63" i="19"/>
  <c r="C64" i="19"/>
  <c r="D64" i="19"/>
  <c r="F64" i="19"/>
  <c r="C65" i="19"/>
  <c r="D65" i="19"/>
  <c r="F65" i="19"/>
  <c r="C66" i="19"/>
  <c r="D66" i="19"/>
  <c r="F66" i="19"/>
  <c r="C67" i="19"/>
  <c r="D67" i="19"/>
  <c r="C68" i="19"/>
  <c r="D68" i="19"/>
  <c r="C69" i="19"/>
  <c r="D69" i="19"/>
  <c r="C70" i="19"/>
  <c r="D70" i="19"/>
  <c r="F70" i="19"/>
  <c r="C71" i="19"/>
  <c r="D71" i="19"/>
  <c r="F71" i="19"/>
  <c r="C72" i="19"/>
  <c r="D72" i="19"/>
  <c r="F72" i="19"/>
  <c r="C73" i="19"/>
  <c r="D73" i="19"/>
  <c r="F73" i="19"/>
  <c r="C74" i="19"/>
  <c r="D74" i="19"/>
  <c r="F74" i="19"/>
  <c r="C75" i="19"/>
  <c r="D75" i="19"/>
  <c r="F75" i="19"/>
  <c r="C76" i="19"/>
  <c r="D76" i="19"/>
  <c r="F76" i="19"/>
  <c r="C77" i="19"/>
  <c r="D77" i="19"/>
  <c r="F77" i="19"/>
  <c r="C78" i="19"/>
  <c r="D78" i="19"/>
  <c r="F78" i="19"/>
  <c r="C79" i="19"/>
  <c r="D79" i="19"/>
  <c r="F79" i="19"/>
  <c r="C80" i="19"/>
  <c r="D80" i="19"/>
  <c r="F80" i="19"/>
  <c r="C81" i="19"/>
  <c r="D81" i="19"/>
  <c r="F81" i="19"/>
  <c r="C82" i="19"/>
  <c r="D82" i="19"/>
  <c r="F82" i="19"/>
  <c r="C83" i="19"/>
  <c r="D83" i="19"/>
  <c r="F83" i="19"/>
  <c r="C84" i="19"/>
  <c r="D84" i="19"/>
  <c r="F84" i="19"/>
  <c r="C85" i="19"/>
  <c r="D85" i="19"/>
  <c r="F85" i="19"/>
  <c r="C86" i="19"/>
  <c r="D86" i="19"/>
  <c r="F86" i="19"/>
  <c r="C87" i="19"/>
  <c r="D87" i="19"/>
  <c r="F87" i="19"/>
  <c r="C88" i="19"/>
  <c r="D88" i="19"/>
  <c r="F88" i="19"/>
  <c r="C89" i="19"/>
  <c r="D89" i="19"/>
  <c r="F89" i="19"/>
  <c r="C90" i="19"/>
  <c r="D90" i="19"/>
  <c r="F90" i="19"/>
  <c r="C91" i="19"/>
  <c r="D91" i="19"/>
  <c r="F91" i="19"/>
  <c r="C92" i="19"/>
  <c r="D92" i="19"/>
  <c r="F92" i="19"/>
  <c r="C93" i="19"/>
  <c r="D93" i="19"/>
  <c r="F93" i="19"/>
  <c r="C94" i="19"/>
  <c r="D94" i="19"/>
  <c r="F94" i="19"/>
  <c r="C95" i="19"/>
  <c r="D95" i="19"/>
  <c r="F95" i="19"/>
  <c r="C96" i="19"/>
  <c r="F96" i="19"/>
  <c r="C97" i="19"/>
  <c r="F97" i="19"/>
  <c r="C98" i="19"/>
  <c r="F98" i="19"/>
  <c r="C99" i="19"/>
  <c r="F99" i="19"/>
  <c r="C100" i="19"/>
  <c r="F100" i="19"/>
  <c r="C101" i="19"/>
  <c r="F101" i="19"/>
  <c r="C102" i="19"/>
  <c r="F102" i="19"/>
  <c r="C103" i="19"/>
  <c r="F103" i="19"/>
  <c r="C104" i="19"/>
  <c r="F104" i="19"/>
  <c r="C105" i="19"/>
  <c r="F105" i="19"/>
  <c r="C106" i="19"/>
  <c r="F106" i="19"/>
  <c r="C107" i="19"/>
  <c r="D107" i="19"/>
  <c r="F107" i="19"/>
  <c r="C108" i="19"/>
  <c r="D108" i="19"/>
  <c r="F108" i="19"/>
  <c r="F109" i="19"/>
  <c r="F110" i="19"/>
  <c r="C3" i="19"/>
  <c r="D3" i="19"/>
  <c r="F130" i="19"/>
  <c r="E234" i="19"/>
  <c r="I24" i="11"/>
  <c r="D54" i="28" s="1"/>
  <c r="C23" i="11"/>
  <c r="D82" i="28" s="1"/>
  <c r="G23" i="11"/>
  <c r="D86" i="28" s="1"/>
  <c r="C16" i="11"/>
  <c r="B48" i="28" s="1"/>
  <c r="B16" i="11"/>
  <c r="B47" i="28" s="1"/>
  <c r="D16" i="11"/>
  <c r="B49" i="28" s="1"/>
  <c r="E16" i="11"/>
  <c r="B50" i="28" s="1"/>
  <c r="G16" i="11"/>
  <c r="B52" i="28" s="1"/>
  <c r="H71" i="9"/>
  <c r="C20" i="11"/>
  <c r="C48" i="28" s="1"/>
  <c r="C3" i="17"/>
  <c r="D19" i="11"/>
  <c r="C83" i="28" s="1"/>
  <c r="F20" i="11"/>
  <c r="C51" i="28" s="1"/>
  <c r="H20" i="11"/>
  <c r="C53" i="28" s="1"/>
  <c r="D24" i="11"/>
  <c r="D49" i="28" s="1"/>
  <c r="E24" i="11"/>
  <c r="D50" i="28" s="1"/>
  <c r="F24" i="11"/>
  <c r="D51" i="28" s="1"/>
  <c r="I28" i="11"/>
  <c r="E6" i="17"/>
  <c r="F28" i="11"/>
  <c r="E85" i="28" s="1"/>
  <c r="E34" i="11"/>
  <c r="F50" i="28" s="1"/>
  <c r="G34" i="11"/>
  <c r="F52" i="28" s="1"/>
  <c r="E29" i="11"/>
  <c r="E50" i="28" s="1"/>
  <c r="E20" i="11"/>
  <c r="C50" i="28" s="1"/>
  <c r="F16" i="11"/>
  <c r="B51" i="28" s="1"/>
  <c r="A22" i="11"/>
  <c r="A18" i="11"/>
  <c r="C45" i="28" s="1"/>
  <c r="C80" i="28" s="1"/>
  <c r="C170" i="28" s="1"/>
  <c r="A27" i="11"/>
  <c r="E45" i="28" s="1"/>
  <c r="E80" i="28" s="1"/>
  <c r="E170" i="28" s="1"/>
  <c r="E188" i="28" s="1"/>
  <c r="E3" i="18"/>
  <c r="C45" i="11" s="1"/>
  <c r="F3" i="19"/>
  <c r="A17" i="9"/>
  <c r="A37" i="9" s="1"/>
  <c r="M86" i="25"/>
  <c r="O85" i="25" s="1"/>
  <c r="M87" i="25"/>
  <c r="O87" i="25" s="1"/>
  <c r="M75" i="25"/>
  <c r="O74" i="25" s="1"/>
  <c r="D63" i="25"/>
  <c r="M68" i="25" s="1"/>
  <c r="O33" i="25"/>
  <c r="O34" i="25"/>
  <c r="O35" i="25"/>
  <c r="O36" i="25"/>
  <c r="O37" i="25"/>
  <c r="O38" i="25"/>
  <c r="O39" i="25"/>
  <c r="O40" i="25"/>
  <c r="O41" i="25"/>
  <c r="O32" i="25"/>
  <c r="M88" i="25"/>
  <c r="O88" i="25" s="1"/>
  <c r="M89" i="25"/>
  <c r="O89" i="25" s="1"/>
  <c r="M90" i="25"/>
  <c r="O90" i="25" s="1"/>
  <c r="M91" i="25"/>
  <c r="O91" i="25" s="1"/>
  <c r="M92" i="25"/>
  <c r="O92" i="25" s="1"/>
  <c r="M93" i="25"/>
  <c r="O93" i="25" s="1"/>
  <c r="M94" i="25"/>
  <c r="O94" i="25" s="1"/>
  <c r="M95" i="25"/>
  <c r="O95" i="25" s="1"/>
  <c r="M96" i="25"/>
  <c r="O96" i="25" s="1"/>
  <c r="M97" i="25"/>
  <c r="O97" i="25"/>
  <c r="M98" i="25"/>
  <c r="O98" i="25" s="1"/>
  <c r="M99" i="25"/>
  <c r="O99" i="25" s="1"/>
  <c r="M100" i="25"/>
  <c r="O100" i="25" s="1"/>
  <c r="M101" i="25"/>
  <c r="O101" i="25" s="1"/>
  <c r="M102" i="25"/>
  <c r="O102" i="25" s="1"/>
  <c r="M103" i="25"/>
  <c r="O103" i="25" s="1"/>
  <c r="M104" i="25"/>
  <c r="O104" i="25" s="1"/>
  <c r="M105" i="25"/>
  <c r="O105" i="25" s="1"/>
  <c r="M106" i="25"/>
  <c r="O106" i="25" s="1"/>
  <c r="M107" i="25"/>
  <c r="O107" i="25" s="1"/>
  <c r="M108" i="25"/>
  <c r="O108" i="25" s="1"/>
  <c r="M109" i="25"/>
  <c r="O109" i="25" s="1"/>
  <c r="M110" i="25"/>
  <c r="O110" i="25" s="1"/>
  <c r="M111" i="25"/>
  <c r="O111" i="25"/>
  <c r="M112" i="25"/>
  <c r="O112" i="25" s="1"/>
  <c r="M113" i="25"/>
  <c r="O113" i="25" s="1"/>
  <c r="M114" i="25"/>
  <c r="O114" i="25" s="1"/>
  <c r="M76" i="25"/>
  <c r="O75" i="25" s="1"/>
  <c r="M77" i="25"/>
  <c r="O76" i="25" s="1"/>
  <c r="M78" i="25"/>
  <c r="O77" i="25"/>
  <c r="M79" i="25"/>
  <c r="O78" i="25" s="1"/>
  <c r="M80" i="25"/>
  <c r="O79" i="25"/>
  <c r="M81" i="25"/>
  <c r="O80" i="25" s="1"/>
  <c r="M82" i="25"/>
  <c r="O81" i="25" s="1"/>
  <c r="M83" i="25"/>
  <c r="O82" i="25" s="1"/>
  <c r="M84" i="25"/>
  <c r="O83" i="25" s="1"/>
  <c r="M85" i="25"/>
  <c r="O84" i="25" s="1"/>
  <c r="D138" i="25"/>
  <c r="M43" i="25" s="1"/>
  <c r="O43" i="25" s="1"/>
  <c r="D135" i="25"/>
  <c r="M44" i="25" s="1"/>
  <c r="O44" i="25" s="1"/>
  <c r="D132" i="25"/>
  <c r="G132" i="25" s="1"/>
  <c r="M45" i="25"/>
  <c r="O45" i="25" s="1"/>
  <c r="D129" i="25"/>
  <c r="G129" i="25" s="1"/>
  <c r="D126" i="25"/>
  <c r="M47" i="25" s="1"/>
  <c r="O47" i="25" s="1"/>
  <c r="D123" i="25"/>
  <c r="M48" i="25" s="1"/>
  <c r="O48" i="25"/>
  <c r="D120" i="25"/>
  <c r="M49" i="25" s="1"/>
  <c r="O49" i="25" s="1"/>
  <c r="D117" i="25"/>
  <c r="G117" i="25" s="1"/>
  <c r="M50" i="25"/>
  <c r="O50" i="25" s="1"/>
  <c r="D114" i="25"/>
  <c r="M51" i="25" s="1"/>
  <c r="O51" i="25" s="1"/>
  <c r="D111" i="25"/>
  <c r="M52" i="25" s="1"/>
  <c r="O52" i="25" s="1"/>
  <c r="D108" i="25"/>
  <c r="G108" i="25" s="1"/>
  <c r="D105" i="25"/>
  <c r="M54" i="25" s="1"/>
  <c r="O54" i="25" s="1"/>
  <c r="D102" i="25"/>
  <c r="M55" i="25" s="1"/>
  <c r="O55" i="25" s="1"/>
  <c r="D99" i="25"/>
  <c r="M56" i="25" s="1"/>
  <c r="O56" i="25"/>
  <c r="D96" i="25"/>
  <c r="M57" i="25" s="1"/>
  <c r="O57" i="25" s="1"/>
  <c r="D93" i="25"/>
  <c r="G93" i="25" s="1"/>
  <c r="D90" i="25"/>
  <c r="G90" i="25" s="1"/>
  <c r="D87" i="25"/>
  <c r="M60" i="25" s="1"/>
  <c r="O60" i="25" s="1"/>
  <c r="D84" i="25"/>
  <c r="G84" i="25" s="1"/>
  <c r="D81" i="25"/>
  <c r="M62" i="25" s="1"/>
  <c r="O62" i="25" s="1"/>
  <c r="D78" i="25"/>
  <c r="G78" i="25" s="1"/>
  <c r="D75" i="25"/>
  <c r="M64" i="25" s="1"/>
  <c r="O64" i="25" s="1"/>
  <c r="D72" i="25"/>
  <c r="G72" i="25" s="1"/>
  <c r="D69" i="25"/>
  <c r="G69" i="25" s="1"/>
  <c r="D66" i="25"/>
  <c r="M67" i="25" s="1"/>
  <c r="O67" i="25" s="1"/>
  <c r="M42" i="25"/>
  <c r="O42" i="25" s="1"/>
  <c r="M31" i="25"/>
  <c r="O31" i="25" s="1"/>
  <c r="M27" i="25"/>
  <c r="M28" i="25"/>
  <c r="M29" i="25"/>
  <c r="M30" i="25"/>
  <c r="M26" i="25"/>
  <c r="M13" i="25"/>
  <c r="M14" i="25"/>
  <c r="O14" i="25" s="1"/>
  <c r="M15" i="25"/>
  <c r="M16" i="25"/>
  <c r="O15" i="25"/>
  <c r="M17" i="25"/>
  <c r="O17" i="25" s="1"/>
  <c r="M18" i="25"/>
  <c r="M19" i="25"/>
  <c r="O18" i="25"/>
  <c r="M20" i="25"/>
  <c r="M21" i="25"/>
  <c r="M22" i="25"/>
  <c r="M23" i="25"/>
  <c r="O23" i="25" s="1"/>
  <c r="M24" i="25"/>
  <c r="M25" i="25"/>
  <c r="M3" i="25"/>
  <c r="M4" i="25"/>
  <c r="M5" i="25"/>
  <c r="O5" i="25" s="1"/>
  <c r="M6" i="25"/>
  <c r="M7" i="25"/>
  <c r="M8" i="25"/>
  <c r="O7" i="25" s="1"/>
  <c r="M9" i="25"/>
  <c r="O9" i="25" s="1"/>
  <c r="M10" i="25"/>
  <c r="M12" i="25"/>
  <c r="M11" i="25"/>
  <c r="O11" i="25" s="1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5" i="25"/>
  <c r="G66" i="25"/>
  <c r="J66" i="25"/>
  <c r="J67" i="25"/>
  <c r="J68" i="25"/>
  <c r="L73" i="25"/>
  <c r="J75" i="25"/>
  <c r="J76" i="25"/>
  <c r="J77" i="25"/>
  <c r="J78" i="25"/>
  <c r="J79" i="25"/>
  <c r="J80" i="25"/>
  <c r="J81" i="25"/>
  <c r="J82" i="25"/>
  <c r="J83" i="25"/>
  <c r="J84" i="25"/>
  <c r="J85" i="25"/>
  <c r="J86" i="25"/>
  <c r="J87" i="25"/>
  <c r="J88" i="25"/>
  <c r="J89" i="25"/>
  <c r="J90" i="25"/>
  <c r="J91" i="25"/>
  <c r="J92" i="25"/>
  <c r="J93" i="25"/>
  <c r="J94" i="25"/>
  <c r="J95" i="25"/>
  <c r="J96" i="25"/>
  <c r="J97" i="25"/>
  <c r="J98" i="25"/>
  <c r="J99" i="25"/>
  <c r="J100" i="25"/>
  <c r="J101" i="25"/>
  <c r="G102" i="25"/>
  <c r="J102" i="25"/>
  <c r="J103" i="25"/>
  <c r="J104" i="25"/>
  <c r="J105" i="25"/>
  <c r="J106" i="25"/>
  <c r="J107" i="25"/>
  <c r="J108" i="25"/>
  <c r="J109" i="25"/>
  <c r="J110" i="25"/>
  <c r="J111" i="25"/>
  <c r="J112" i="25"/>
  <c r="J113" i="25"/>
  <c r="G114" i="25"/>
  <c r="J114" i="25"/>
  <c r="G120" i="25"/>
  <c r="G126" i="25"/>
  <c r="G135" i="25"/>
  <c r="G139" i="25"/>
  <c r="B5" i="23"/>
  <c r="C5" i="23"/>
  <c r="D5" i="23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C218" i="19"/>
  <c r="C219" i="19"/>
  <c r="C220" i="19"/>
  <c r="C221" i="19"/>
  <c r="C222" i="19"/>
  <c r="C223" i="19"/>
  <c r="C224" i="19"/>
  <c r="C225" i="19"/>
  <c r="C226" i="19"/>
  <c r="C227" i="19"/>
  <c r="C228" i="19"/>
  <c r="C229" i="19"/>
  <c r="B21" i="23"/>
  <c r="C21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D218" i="19"/>
  <c r="D219" i="19"/>
  <c r="D220" i="19"/>
  <c r="D221" i="19"/>
  <c r="D222" i="19"/>
  <c r="D223" i="19"/>
  <c r="D224" i="19"/>
  <c r="D225" i="19"/>
  <c r="D226" i="19"/>
  <c r="D227" i="19"/>
  <c r="D228" i="19"/>
  <c r="D229" i="19"/>
  <c r="B41" i="23"/>
  <c r="C41" i="23"/>
  <c r="D41" i="23"/>
  <c r="E41" i="23"/>
  <c r="F41" i="23"/>
  <c r="G41" i="23"/>
  <c r="H41" i="23"/>
  <c r="I41" i="23"/>
  <c r="J41" i="23"/>
  <c r="K41" i="23"/>
  <c r="L41" i="23"/>
  <c r="M41" i="23"/>
  <c r="N41" i="23"/>
  <c r="O41" i="23"/>
  <c r="P41" i="23"/>
  <c r="Q41" i="23"/>
  <c r="R41" i="23"/>
  <c r="S41" i="23"/>
  <c r="T41" i="23"/>
  <c r="U41" i="23"/>
  <c r="V41" i="23"/>
  <c r="F30" i="11"/>
  <c r="F35" i="11"/>
  <c r="G30" i="11"/>
  <c r="G35" i="11"/>
  <c r="H30" i="11"/>
  <c r="H35" i="11"/>
  <c r="I30" i="11"/>
  <c r="I35" i="11"/>
  <c r="H29" i="11"/>
  <c r="I29" i="11"/>
  <c r="A18" i="9"/>
  <c r="A7" i="9"/>
  <c r="A8" i="9"/>
  <c r="A29" i="9" s="1"/>
  <c r="A9" i="9"/>
  <c r="A30" i="9" s="1"/>
  <c r="A10" i="9"/>
  <c r="A31" i="9" s="1"/>
  <c r="A11" i="9"/>
  <c r="A32" i="9" s="1"/>
  <c r="A12" i="9"/>
  <c r="A33" i="9" s="1"/>
  <c r="A13" i="9"/>
  <c r="A34" i="9" s="1"/>
  <c r="A14" i="9"/>
  <c r="A35" i="9" s="1"/>
  <c r="A15" i="9"/>
  <c r="A36" i="9" s="1"/>
  <c r="A16" i="9"/>
  <c r="L270" i="19"/>
  <c r="M270" i="19" s="1"/>
  <c r="L271" i="19"/>
  <c r="M271" i="19" s="1"/>
  <c r="L272" i="19"/>
  <c r="M272" i="19" s="1"/>
  <c r="L273" i="19"/>
  <c r="M273" i="19" s="1"/>
  <c r="L274" i="19"/>
  <c r="M274" i="19" s="1"/>
  <c r="C30" i="11"/>
  <c r="C35" i="11"/>
  <c r="D30" i="11"/>
  <c r="D35" i="11"/>
  <c r="E30" i="11"/>
  <c r="E35" i="11"/>
  <c r="B30" i="11"/>
  <c r="B35" i="11"/>
  <c r="E2" i="17"/>
  <c r="C1" i="18" s="1"/>
  <c r="L269" i="19"/>
  <c r="M269" i="19" s="1"/>
  <c r="A14" i="11"/>
  <c r="B45" i="28" s="1"/>
  <c r="B80" i="28" s="1"/>
  <c r="B170" i="28" s="1"/>
  <c r="C2" i="17"/>
  <c r="D2" i="17"/>
  <c r="B1" i="18" s="1"/>
  <c r="F2" i="17"/>
  <c r="D1" i="18" s="1"/>
  <c r="B2" i="17"/>
  <c r="A32" i="11"/>
  <c r="F45" i="28" s="1"/>
  <c r="O22" i="25" l="1"/>
  <c r="O6" i="25"/>
  <c r="O19" i="25"/>
  <c r="M59" i="25"/>
  <c r="O59" i="25" s="1"/>
  <c r="O30" i="25"/>
  <c r="O28" i="25"/>
  <c r="O16" i="25"/>
  <c r="C188" i="28"/>
  <c r="C206" i="28"/>
  <c r="C212" i="28" s="1"/>
  <c r="C231" i="28" s="1"/>
  <c r="K32" i="9"/>
  <c r="E175" i="28"/>
  <c r="G175" i="28" s="1"/>
  <c r="C20" i="17"/>
  <c r="I20" i="17" s="1"/>
  <c r="C172" i="28"/>
  <c r="C191" i="28" s="1"/>
  <c r="G138" i="25"/>
  <c r="O10" i="25"/>
  <c r="O3" i="25"/>
  <c r="O27" i="25"/>
  <c r="M63" i="25"/>
  <c r="O63" i="25" s="1"/>
  <c r="M389" i="28"/>
  <c r="D45" i="28"/>
  <c r="D80" i="28" s="1"/>
  <c r="D170" i="28" s="1"/>
  <c r="O4" i="25"/>
  <c r="O86" i="25"/>
  <c r="O21" i="25"/>
  <c r="AB39" i="23"/>
  <c r="AB31" i="23"/>
  <c r="AB13" i="23"/>
  <c r="AB34" i="23"/>
  <c r="AB38" i="23"/>
  <c r="AB30" i="23"/>
  <c r="AB14" i="23"/>
  <c r="AB36" i="23"/>
  <c r="AB28" i="23"/>
  <c r="AB35" i="23"/>
  <c r="AB9" i="23"/>
  <c r="AB37" i="23"/>
  <c r="AB29" i="23"/>
  <c r="AB15" i="23"/>
  <c r="AB16" i="23"/>
  <c r="AB17" i="23"/>
  <c r="AB10" i="23"/>
  <c r="AB33" i="23"/>
  <c r="AB11" i="23"/>
  <c r="AB19" i="23"/>
  <c r="AB32" i="23"/>
  <c r="AB12" i="23"/>
  <c r="AB8" i="23"/>
  <c r="AB18" i="23"/>
  <c r="B188" i="28"/>
  <c r="B206" i="28"/>
  <c r="B212" i="28" s="1"/>
  <c r="B231" i="28" s="1"/>
  <c r="O24" i="25"/>
  <c r="G50" i="28"/>
  <c r="O20" i="25"/>
  <c r="I71" i="9"/>
  <c r="C263" i="28" s="1"/>
  <c r="B263" i="28"/>
  <c r="D40" i="11"/>
  <c r="K69" i="19"/>
  <c r="L69" i="19" s="1"/>
  <c r="M69" i="19" s="1"/>
  <c r="K67" i="19"/>
  <c r="L67" i="19" s="1"/>
  <c r="M67" i="19" s="1"/>
  <c r="K76" i="19"/>
  <c r="L76" i="19" s="1"/>
  <c r="M76" i="19" s="1"/>
  <c r="K72" i="19"/>
  <c r="L72" i="19" s="1"/>
  <c r="M72" i="19" s="1"/>
  <c r="K73" i="19"/>
  <c r="L73" i="19" s="1"/>
  <c r="M73" i="19" s="1"/>
  <c r="K75" i="19"/>
  <c r="L75" i="19" s="1"/>
  <c r="M75" i="19" s="1"/>
  <c r="K71" i="19"/>
  <c r="L71" i="19" s="1"/>
  <c r="M71" i="19" s="1"/>
  <c r="K66" i="19"/>
  <c r="L66" i="19" s="1"/>
  <c r="M66" i="19" s="1"/>
  <c r="C167" i="19"/>
  <c r="C11" i="30" s="1"/>
  <c r="L6" i="11"/>
  <c r="Q372" i="28" s="1"/>
  <c r="Q371" i="28"/>
  <c r="K64" i="19"/>
  <c r="L64" i="19" s="1"/>
  <c r="M64" i="19" s="1"/>
  <c r="K74" i="19"/>
  <c r="L74" i="19" s="1"/>
  <c r="M74" i="19" s="1"/>
  <c r="K70" i="19"/>
  <c r="L70" i="19" s="1"/>
  <c r="M70" i="19" s="1"/>
  <c r="K68" i="19"/>
  <c r="L68" i="19" s="1"/>
  <c r="M68" i="19" s="1"/>
  <c r="K65" i="19"/>
  <c r="L65" i="19" s="1"/>
  <c r="M65" i="19" s="1"/>
  <c r="M6" i="11"/>
  <c r="R372" i="28" s="1"/>
  <c r="R371" i="28"/>
  <c r="F80" i="28"/>
  <c r="F170" i="28" s="1"/>
  <c r="F188" i="28" s="1"/>
  <c r="E206" i="28" s="1"/>
  <c r="E212" i="28" s="1"/>
  <c r="E231" i="28" s="1"/>
  <c r="E249" i="28" s="1"/>
  <c r="E255" i="28" s="1"/>
  <c r="E261" i="28" s="1"/>
  <c r="E310" i="28" s="1"/>
  <c r="C325" i="28" s="1"/>
  <c r="F325" i="28" s="1"/>
  <c r="D161" i="28"/>
  <c r="D160" i="28"/>
  <c r="D18" i="9"/>
  <c r="E18" i="9" s="1"/>
  <c r="O68" i="25"/>
  <c r="M69" i="25"/>
  <c r="M70" i="25" s="1"/>
  <c r="M71" i="25" s="1"/>
  <c r="M72" i="25" s="1"/>
  <c r="M73" i="25" s="1"/>
  <c r="M74" i="25" s="1"/>
  <c r="E40" i="11"/>
  <c r="I40" i="11"/>
  <c r="O13" i="25"/>
  <c r="G63" i="25"/>
  <c r="O26" i="25"/>
  <c r="C40" i="11"/>
  <c r="O8" i="25"/>
  <c r="M58" i="25"/>
  <c r="O58" i="25" s="1"/>
  <c r="M53" i="25"/>
  <c r="O53" i="25" s="1"/>
  <c r="O29" i="25"/>
  <c r="M66" i="25"/>
  <c r="O66" i="25" s="1"/>
  <c r="M61" i="25"/>
  <c r="O61" i="25" s="1"/>
  <c r="E39" i="11"/>
  <c r="E6" i="18"/>
  <c r="F45" i="11" s="1"/>
  <c r="K49" i="9"/>
  <c r="A38" i="9"/>
  <c r="A39" i="9"/>
  <c r="D29" i="11"/>
  <c r="E49" i="28" s="1"/>
  <c r="F29" i="11"/>
  <c r="E51" i="28" s="1"/>
  <c r="E102" i="28" s="1"/>
  <c r="C169" i="19"/>
  <c r="C174" i="19"/>
  <c r="C178" i="19"/>
  <c r="C171" i="19"/>
  <c r="C176" i="19"/>
  <c r="C173" i="19"/>
  <c r="C177" i="19"/>
  <c r="C170" i="19"/>
  <c r="C175" i="19"/>
  <c r="C172" i="19"/>
  <c r="C168" i="19"/>
  <c r="G41" i="17"/>
  <c r="E5" i="17"/>
  <c r="E23" i="17"/>
  <c r="G6" i="17"/>
  <c r="G40" i="17"/>
  <c r="E4" i="17"/>
  <c r="F25" i="11"/>
  <c r="F40" i="11" s="1"/>
  <c r="E7" i="18"/>
  <c r="G45" i="11" s="1"/>
  <c r="G42" i="17"/>
  <c r="C11" i="11"/>
  <c r="B29" i="28" s="1"/>
  <c r="G28" i="11"/>
  <c r="E86" i="28" s="1"/>
  <c r="F23" i="11"/>
  <c r="D85" i="28" s="1"/>
  <c r="D102" i="28" s="1"/>
  <c r="D218" i="28" s="1"/>
  <c r="F3" i="17"/>
  <c r="F172" i="28" s="1"/>
  <c r="F191" i="28" s="1"/>
  <c r="E33" i="11"/>
  <c r="F84" i="28" s="1"/>
  <c r="F101" i="28" s="1"/>
  <c r="E217" i="28" s="1"/>
  <c r="C33" i="11"/>
  <c r="F82" i="28" s="1"/>
  <c r="G19" i="11"/>
  <c r="C86" i="28" s="1"/>
  <c r="E3" i="17"/>
  <c r="C19" i="11"/>
  <c r="C82" i="28" s="1"/>
  <c r="C99" i="28" s="1"/>
  <c r="C215" i="28" s="1"/>
  <c r="I23" i="11"/>
  <c r="D88" i="28" s="1"/>
  <c r="D105" i="28" s="1"/>
  <c r="D221" i="28" s="1"/>
  <c r="D124" i="19"/>
  <c r="D123" i="19"/>
  <c r="D127" i="19"/>
  <c r="B200" i="19"/>
  <c r="B155" i="28" s="1"/>
  <c r="D125" i="19"/>
  <c r="E2" i="18"/>
  <c r="B45" i="11" s="1"/>
  <c r="B29" i="11"/>
  <c r="E47" i="28" s="1"/>
  <c r="E9" i="18"/>
  <c r="I45" i="11" s="1"/>
  <c r="H25" i="11"/>
  <c r="H40" i="11" s="1"/>
  <c r="H34" i="11"/>
  <c r="F53" i="28" s="1"/>
  <c r="I16" i="11"/>
  <c r="F34" i="11"/>
  <c r="F51" i="28" s="1"/>
  <c r="E8" i="18"/>
  <c r="H45" i="11" s="1"/>
  <c r="G25" i="11"/>
  <c r="G40" i="11" s="1"/>
  <c r="O69" i="25"/>
  <c r="O70" i="25" s="1"/>
  <c r="O71" i="25" s="1"/>
  <c r="O72" i="25" s="1"/>
  <c r="O73" i="25" s="1"/>
  <c r="E5" i="18"/>
  <c r="E45" i="11" s="1"/>
  <c r="D34" i="11"/>
  <c r="F49" i="28" s="1"/>
  <c r="C15" i="11"/>
  <c r="B82" i="28" s="1"/>
  <c r="B99" i="28" s="1"/>
  <c r="B215" i="28" s="1"/>
  <c r="B19" i="11"/>
  <c r="C81" i="28" s="1"/>
  <c r="N26" i="25"/>
  <c r="O12" i="25"/>
  <c r="G20" i="11"/>
  <c r="B198" i="19"/>
  <c r="G123" i="25"/>
  <c r="H139" i="25" s="1"/>
  <c r="G111" i="25"/>
  <c r="G105" i="25"/>
  <c r="G99" i="25"/>
  <c r="G96" i="25"/>
  <c r="G87" i="25"/>
  <c r="G81" i="25"/>
  <c r="G75" i="25"/>
  <c r="O25" i="25"/>
  <c r="M65" i="25"/>
  <c r="O65" i="25" s="1"/>
  <c r="M46" i="25"/>
  <c r="O46" i="25" s="1"/>
  <c r="E4" i="18"/>
  <c r="D45" i="11" s="1"/>
  <c r="B34" i="11"/>
  <c r="F47" i="28" s="1"/>
  <c r="G29" i="11"/>
  <c r="E52" i="28" s="1"/>
  <c r="F15" i="11"/>
  <c r="B85" i="28" s="1"/>
  <c r="C29" i="11"/>
  <c r="E48" i="28" s="1"/>
  <c r="C34" i="11"/>
  <c r="F48" i="28" s="1"/>
  <c r="B197" i="19"/>
  <c r="H24" i="11"/>
  <c r="D53" i="28" s="1"/>
  <c r="I20" i="11"/>
  <c r="C54" i="28" s="1"/>
  <c r="B194" i="19"/>
  <c r="B25" i="11"/>
  <c r="B201" i="19"/>
  <c r="B3" i="17"/>
  <c r="B172" i="28" s="1"/>
  <c r="D3" i="17"/>
  <c r="G39" i="17"/>
  <c r="I34" i="11"/>
  <c r="F54" i="28" s="1"/>
  <c r="G24" i="11"/>
  <c r="D52" i="28" s="1"/>
  <c r="D103" i="28" s="1"/>
  <c r="D219" i="28" s="1"/>
  <c r="C24" i="11"/>
  <c r="B199" i="19"/>
  <c r="B196" i="19"/>
  <c r="B202" i="19"/>
  <c r="D121" i="19"/>
  <c r="D120" i="19"/>
  <c r="D129" i="19"/>
  <c r="D119" i="19"/>
  <c r="D122" i="19"/>
  <c r="D130" i="19"/>
  <c r="D126" i="19"/>
  <c r="D128" i="19"/>
  <c r="G50" i="11" l="1"/>
  <c r="D238" i="28"/>
  <c r="E103" i="28"/>
  <c r="G51" i="28"/>
  <c r="D238" i="30"/>
  <c r="D238" i="19"/>
  <c r="D188" i="28"/>
  <c r="D206" i="28"/>
  <c r="D212" i="28" s="1"/>
  <c r="D231" i="28" s="1"/>
  <c r="D240" i="30"/>
  <c r="D240" i="19"/>
  <c r="C239" i="30"/>
  <c r="C239" i="19"/>
  <c r="C39" i="11"/>
  <c r="D48" i="28"/>
  <c r="D239" i="30"/>
  <c r="D239" i="19"/>
  <c r="D241" i="30"/>
  <c r="D241" i="19"/>
  <c r="D237" i="30"/>
  <c r="D237" i="19"/>
  <c r="C249" i="28"/>
  <c r="C255" i="28" s="1"/>
  <c r="C261" i="28" s="1"/>
  <c r="C310" i="28" s="1"/>
  <c r="M385" i="28" s="1"/>
  <c r="C298" i="28"/>
  <c r="C303" i="28" s="1"/>
  <c r="K31" i="9"/>
  <c r="K48" i="9" s="1"/>
  <c r="E174" i="28"/>
  <c r="G174" i="28" s="1"/>
  <c r="C245" i="30"/>
  <c r="C245" i="19"/>
  <c r="C235" i="30"/>
  <c r="C235" i="19"/>
  <c r="K30" i="9"/>
  <c r="E173" i="28"/>
  <c r="G173" i="28" s="1"/>
  <c r="D234" i="30"/>
  <c r="D234" i="19"/>
  <c r="C244" i="30"/>
  <c r="C244" i="19"/>
  <c r="C243" i="30"/>
  <c r="C243" i="19"/>
  <c r="D242" i="30"/>
  <c r="D242" i="19"/>
  <c r="D235" i="30"/>
  <c r="D235" i="19"/>
  <c r="G39" i="11"/>
  <c r="C52" i="28"/>
  <c r="D243" i="30"/>
  <c r="D243" i="19"/>
  <c r="B249" i="28"/>
  <c r="B255" i="28" s="1"/>
  <c r="B261" i="28" s="1"/>
  <c r="B310" i="28" s="1"/>
  <c r="B298" i="28"/>
  <c r="B303" i="28" s="1"/>
  <c r="I39" i="11"/>
  <c r="B54" i="28"/>
  <c r="D245" i="30"/>
  <c r="D245" i="19"/>
  <c r="H50" i="11"/>
  <c r="G52" i="19"/>
  <c r="G53" i="19" s="1"/>
  <c r="G54" i="19" s="1"/>
  <c r="G55" i="19" s="1"/>
  <c r="G56" i="19" s="1"/>
  <c r="G57" i="19" s="1"/>
  <c r="G58" i="19" s="1"/>
  <c r="G59" i="19" s="1"/>
  <c r="G60" i="19" s="1"/>
  <c r="G61" i="19" s="1"/>
  <c r="G62" i="19" s="1"/>
  <c r="G63" i="19" s="1"/>
  <c r="K63" i="19" s="1"/>
  <c r="L63" i="19" s="1"/>
  <c r="M63" i="19" s="1"/>
  <c r="G52" i="30"/>
  <c r="G53" i="30" s="1"/>
  <c r="G54" i="30" s="1"/>
  <c r="G55" i="30" s="1"/>
  <c r="G56" i="30" s="1"/>
  <c r="G57" i="30" s="1"/>
  <c r="G58" i="30" s="1"/>
  <c r="G59" i="30" s="1"/>
  <c r="G60" i="30" s="1"/>
  <c r="G61" i="30" s="1"/>
  <c r="G62" i="30" s="1"/>
  <c r="G63" i="30" s="1"/>
  <c r="C234" i="30"/>
  <c r="K234" i="30" s="1"/>
  <c r="C234" i="19"/>
  <c r="C242" i="30"/>
  <c r="C242" i="19"/>
  <c r="C240" i="30"/>
  <c r="C240" i="19"/>
  <c r="B191" i="28"/>
  <c r="D244" i="30"/>
  <c r="D244" i="19"/>
  <c r="K29" i="9"/>
  <c r="E172" i="28"/>
  <c r="B102" i="28"/>
  <c r="B218" i="28" s="1"/>
  <c r="C237" i="30"/>
  <c r="K237" i="30" s="1"/>
  <c r="C237" i="19"/>
  <c r="C236" i="30"/>
  <c r="K236" i="30" s="1"/>
  <c r="C236" i="19"/>
  <c r="D20" i="17"/>
  <c r="J20" i="17" s="1"/>
  <c r="D172" i="28"/>
  <c r="D191" i="28" s="1"/>
  <c r="F99" i="28"/>
  <c r="E215" i="28" s="1"/>
  <c r="F39" i="11"/>
  <c r="C238" i="30"/>
  <c r="C238" i="19"/>
  <c r="C241" i="30"/>
  <c r="C241" i="19"/>
  <c r="D236" i="30"/>
  <c r="D236" i="19"/>
  <c r="D177" i="19"/>
  <c r="K129" i="19"/>
  <c r="L129" i="19" s="1"/>
  <c r="M129" i="19" s="1"/>
  <c r="B14" i="9"/>
  <c r="F14" i="9" s="1"/>
  <c r="B156" i="28"/>
  <c r="C187" i="19"/>
  <c r="C19" i="30"/>
  <c r="C186" i="19"/>
  <c r="C18" i="30"/>
  <c r="C23" i="30"/>
  <c r="D168" i="19"/>
  <c r="K120" i="19"/>
  <c r="L120" i="19" s="1"/>
  <c r="M120" i="19" s="1"/>
  <c r="B10" i="9"/>
  <c r="F10" i="9" s="1"/>
  <c r="B152" i="28"/>
  <c r="D172" i="19"/>
  <c r="K124" i="19"/>
  <c r="L124" i="19" s="1"/>
  <c r="M124" i="19" s="1"/>
  <c r="C182" i="19"/>
  <c r="C14" i="30"/>
  <c r="C179" i="19"/>
  <c r="D170" i="19"/>
  <c r="K122" i="19"/>
  <c r="L122" i="19" s="1"/>
  <c r="M122" i="19" s="1"/>
  <c r="C180" i="19"/>
  <c r="C12" i="30"/>
  <c r="C183" i="19"/>
  <c r="C15" i="30"/>
  <c r="D176" i="19"/>
  <c r="K128" i="19"/>
  <c r="L128" i="19" s="1"/>
  <c r="M128" i="19" s="1"/>
  <c r="D167" i="19"/>
  <c r="K119" i="19"/>
  <c r="B15" i="9"/>
  <c r="F15" i="9" s="1"/>
  <c r="B157" i="28"/>
  <c r="B11" i="9"/>
  <c r="F11" i="9" s="1"/>
  <c r="B153" i="28"/>
  <c r="D175" i="19"/>
  <c r="K127" i="19"/>
  <c r="L127" i="19" s="1"/>
  <c r="M127" i="19" s="1"/>
  <c r="C184" i="19"/>
  <c r="C16" i="30"/>
  <c r="C185" i="19"/>
  <c r="C17" i="30"/>
  <c r="C190" i="19"/>
  <c r="C22" i="30"/>
  <c r="D174" i="19"/>
  <c r="K126" i="19"/>
  <c r="L126" i="19" s="1"/>
  <c r="M126" i="19" s="1"/>
  <c r="B9" i="9"/>
  <c r="F9" i="9" s="1"/>
  <c r="B151" i="28"/>
  <c r="D171" i="19"/>
  <c r="K123" i="19"/>
  <c r="L123" i="19" s="1"/>
  <c r="M123" i="19" s="1"/>
  <c r="C188" i="19"/>
  <c r="C20" i="30"/>
  <c r="D178" i="19"/>
  <c r="K130" i="19"/>
  <c r="L130" i="19" s="1"/>
  <c r="M130" i="19" s="1"/>
  <c r="B12" i="9"/>
  <c r="F12" i="9" s="1"/>
  <c r="B154" i="28"/>
  <c r="D173" i="19"/>
  <c r="K125" i="19"/>
  <c r="L125" i="19" s="1"/>
  <c r="M125" i="19" s="1"/>
  <c r="C181" i="19"/>
  <c r="C13" i="30"/>
  <c r="D169" i="19"/>
  <c r="K121" i="19"/>
  <c r="L121" i="19" s="1"/>
  <c r="M121" i="19" s="1"/>
  <c r="C189" i="19"/>
  <c r="C21" i="30"/>
  <c r="C361" i="28"/>
  <c r="C343" i="28"/>
  <c r="C50" i="11"/>
  <c r="B40" i="11"/>
  <c r="B50" i="11" s="1"/>
  <c r="I50" i="11"/>
  <c r="B13" i="9"/>
  <c r="F13" i="9" s="1"/>
  <c r="F50" i="11"/>
  <c r="E22" i="17"/>
  <c r="C28" i="11"/>
  <c r="C44" i="11"/>
  <c r="E20" i="17"/>
  <c r="G4" i="17"/>
  <c r="E21" i="17"/>
  <c r="G5" i="17"/>
  <c r="B211" i="19"/>
  <c r="B33" i="11"/>
  <c r="F81" i="28" s="1"/>
  <c r="F98" i="28" s="1"/>
  <c r="E214" i="28" s="1"/>
  <c r="F20" i="17"/>
  <c r="L20" i="17" s="1"/>
  <c r="B20" i="17"/>
  <c r="G3" i="17"/>
  <c r="E28" i="11"/>
  <c r="E84" i="28" s="1"/>
  <c r="E101" i="28" s="1"/>
  <c r="D50" i="11"/>
  <c r="B28" i="11"/>
  <c r="E81" i="28" s="1"/>
  <c r="E98" i="28" s="1"/>
  <c r="H19" i="11"/>
  <c r="C87" i="28" s="1"/>
  <c r="C104" i="28" s="1"/>
  <c r="C220" i="28" s="1"/>
  <c r="D33" i="11"/>
  <c r="F83" i="28" s="1"/>
  <c r="F100" i="28" s="1"/>
  <c r="E216" i="28" s="1"/>
  <c r="L29" i="9"/>
  <c r="D28" i="11"/>
  <c r="E83" i="28" s="1"/>
  <c r="E100" i="28" s="1"/>
  <c r="G33" i="11"/>
  <c r="F86" i="28" s="1"/>
  <c r="F103" i="28" s="1"/>
  <c r="E219" i="28" s="1"/>
  <c r="I19" i="11"/>
  <c r="C88" i="28" s="1"/>
  <c r="C105" i="28" s="1"/>
  <c r="C221" i="28" s="1"/>
  <c r="F33" i="11"/>
  <c r="F85" i="28" s="1"/>
  <c r="F102" i="28" s="1"/>
  <c r="E218" i="28" s="1"/>
  <c r="E237" i="28" s="1"/>
  <c r="H29" i="9"/>
  <c r="G4" i="11"/>
  <c r="H4" i="11"/>
  <c r="I4" i="11"/>
  <c r="B4" i="11"/>
  <c r="D44" i="11"/>
  <c r="D11" i="11"/>
  <c r="B30" i="28" s="1"/>
  <c r="C30" i="28" s="1"/>
  <c r="D23" i="11"/>
  <c r="D83" i="28" s="1"/>
  <c r="D100" i="28" s="1"/>
  <c r="D216" i="28" s="1"/>
  <c r="E11" i="11"/>
  <c r="B31" i="28" s="1"/>
  <c r="E44" i="11"/>
  <c r="E49" i="11" s="1"/>
  <c r="C4" i="11"/>
  <c r="H23" i="11"/>
  <c r="D87" i="28" s="1"/>
  <c r="D104" i="28" s="1"/>
  <c r="D220" i="28" s="1"/>
  <c r="D4" i="11"/>
  <c r="E19" i="11"/>
  <c r="C84" i="28" s="1"/>
  <c r="C101" i="28" s="1"/>
  <c r="C217" i="28" s="1"/>
  <c r="I15" i="11"/>
  <c r="B88" i="28" s="1"/>
  <c r="E15" i="11"/>
  <c r="B84" i="28" s="1"/>
  <c r="D15" i="11"/>
  <c r="D20" i="11"/>
  <c r="B7" i="9"/>
  <c r="H114" i="25"/>
  <c r="E50" i="11"/>
  <c r="B23" i="11"/>
  <c r="D81" i="28" s="1"/>
  <c r="H16" i="11"/>
  <c r="F19" i="11"/>
  <c r="G44" i="11"/>
  <c r="G11" i="11"/>
  <c r="B33" i="28" s="1"/>
  <c r="F4" i="11"/>
  <c r="H15" i="11"/>
  <c r="B87" i="28" s="1"/>
  <c r="J29" i="9"/>
  <c r="B24" i="11"/>
  <c r="D47" i="28" s="1"/>
  <c r="D98" i="28" s="1"/>
  <c r="D214" i="28" s="1"/>
  <c r="B15" i="11"/>
  <c r="B81" i="28" s="1"/>
  <c r="E23" i="11"/>
  <c r="D84" i="28" s="1"/>
  <c r="D101" i="28" s="1"/>
  <c r="D217" i="28" s="1"/>
  <c r="G15" i="11"/>
  <c r="E4" i="11"/>
  <c r="F11" i="11"/>
  <c r="B32" i="28" s="1"/>
  <c r="F44" i="11"/>
  <c r="I44" i="11"/>
  <c r="I11" i="11"/>
  <c r="B35" i="28" s="1"/>
  <c r="I29" i="9"/>
  <c r="G8" i="9"/>
  <c r="B20" i="11"/>
  <c r="K238" i="30" l="1"/>
  <c r="K239" i="30"/>
  <c r="K55" i="19"/>
  <c r="L55" i="19" s="1"/>
  <c r="M55" i="19" s="1"/>
  <c r="G49" i="11"/>
  <c r="C31" i="28"/>
  <c r="I49" i="11"/>
  <c r="K61" i="19"/>
  <c r="L61" i="19" s="1"/>
  <c r="M61" i="19" s="1"/>
  <c r="K62" i="19"/>
  <c r="L62" i="19" s="1"/>
  <c r="M62" i="19" s="1"/>
  <c r="K59" i="19"/>
  <c r="L59" i="19" s="1"/>
  <c r="M59" i="19" s="1"/>
  <c r="K47" i="9"/>
  <c r="C49" i="11"/>
  <c r="C240" i="28"/>
  <c r="G172" i="28"/>
  <c r="C32" i="28"/>
  <c r="E236" i="28"/>
  <c r="E235" i="28"/>
  <c r="D239" i="28"/>
  <c r="D240" i="28"/>
  <c r="D236" i="28"/>
  <c r="F38" i="11"/>
  <c r="C85" i="28"/>
  <c r="D38" i="11"/>
  <c r="B83" i="28"/>
  <c r="G40" i="19"/>
  <c r="K40" i="19" s="1"/>
  <c r="L40" i="19" s="1"/>
  <c r="M40" i="19" s="1"/>
  <c r="G40" i="30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K52" i="19"/>
  <c r="L52" i="19" s="1"/>
  <c r="M52" i="19" s="1"/>
  <c r="K240" i="30"/>
  <c r="K235" i="30"/>
  <c r="D249" i="28"/>
  <c r="D255" i="28" s="1"/>
  <c r="D261" i="28" s="1"/>
  <c r="D310" i="28" s="1"/>
  <c r="B325" i="28" s="1"/>
  <c r="D298" i="28"/>
  <c r="D303" i="28" s="1"/>
  <c r="C38" i="11"/>
  <c r="E82" i="28"/>
  <c r="H39" i="11"/>
  <c r="B53" i="28"/>
  <c r="G28" i="19"/>
  <c r="K28" i="19" s="1"/>
  <c r="L28" i="19" s="1"/>
  <c r="M28" i="19" s="1"/>
  <c r="G28" i="30"/>
  <c r="K56" i="19"/>
  <c r="L56" i="19" s="1"/>
  <c r="M56" i="19" s="1"/>
  <c r="K242" i="30"/>
  <c r="C103" i="28"/>
  <c r="C219" i="28" s="1"/>
  <c r="G52" i="28"/>
  <c r="K243" i="30"/>
  <c r="K245" i="30"/>
  <c r="D99" i="28"/>
  <c r="D215" i="28" s="1"/>
  <c r="D234" i="28" s="1"/>
  <c r="G48" i="28"/>
  <c r="C33" i="28"/>
  <c r="B39" i="11"/>
  <c r="C47" i="28"/>
  <c r="G81" i="28"/>
  <c r="B98" i="28"/>
  <c r="B214" i="28" s="1"/>
  <c r="B234" i="28" s="1"/>
  <c r="G84" i="28"/>
  <c r="B101" i="28"/>
  <c r="B217" i="28" s="1"/>
  <c r="B237" i="28" s="1"/>
  <c r="K58" i="19"/>
  <c r="L58" i="19" s="1"/>
  <c r="M58" i="19" s="1"/>
  <c r="C36" i="28"/>
  <c r="E238" i="28"/>
  <c r="G16" i="19"/>
  <c r="K16" i="19" s="1"/>
  <c r="L16" i="19" s="1"/>
  <c r="M16" i="19" s="1"/>
  <c r="G16" i="30"/>
  <c r="K57" i="19"/>
  <c r="L57" i="19" s="1"/>
  <c r="M57" i="19" s="1"/>
  <c r="K241" i="30"/>
  <c r="D237" i="28"/>
  <c r="D39" i="11"/>
  <c r="D49" i="11" s="1"/>
  <c r="C49" i="28"/>
  <c r="G38" i="11"/>
  <c r="B86" i="28"/>
  <c r="E234" i="28"/>
  <c r="K54" i="19"/>
  <c r="L54" i="19" s="1"/>
  <c r="M54" i="19" s="1"/>
  <c r="K53" i="19"/>
  <c r="L53" i="19" s="1"/>
  <c r="M53" i="19" s="1"/>
  <c r="B35" i="17"/>
  <c r="H20" i="17"/>
  <c r="K60" i="19"/>
  <c r="L60" i="19" s="1"/>
  <c r="M60" i="19" s="1"/>
  <c r="B105" i="28"/>
  <c r="B221" i="28" s="1"/>
  <c r="G54" i="28"/>
  <c r="K244" i="30"/>
  <c r="D185" i="19"/>
  <c r="D17" i="30"/>
  <c r="D183" i="19"/>
  <c r="D15" i="30"/>
  <c r="C29" i="30"/>
  <c r="C41" i="30" s="1"/>
  <c r="C53" i="30" s="1"/>
  <c r="C65" i="30" s="1"/>
  <c r="C77" i="30" s="1"/>
  <c r="C5" i="30"/>
  <c r="D184" i="19"/>
  <c r="D16" i="30"/>
  <c r="C33" i="30"/>
  <c r="C9" i="30"/>
  <c r="C25" i="30"/>
  <c r="C32" i="30"/>
  <c r="C8" i="30"/>
  <c r="D188" i="19"/>
  <c r="D20" i="30"/>
  <c r="C26" i="30"/>
  <c r="C31" i="30"/>
  <c r="C7" i="30"/>
  <c r="D179" i="19"/>
  <c r="D11" i="30"/>
  <c r="D182" i="19"/>
  <c r="D14" i="30"/>
  <c r="D26" i="30" s="1"/>
  <c r="D38" i="30" s="1"/>
  <c r="D50" i="30" s="1"/>
  <c r="D62" i="30" s="1"/>
  <c r="D74" i="30" s="1"/>
  <c r="D86" i="30" s="1"/>
  <c r="D98" i="30" s="1"/>
  <c r="D110" i="30" s="1"/>
  <c r="D122" i="30" s="1"/>
  <c r="D134" i="30" s="1"/>
  <c r="D146" i="30" s="1"/>
  <c r="D158" i="30" s="1"/>
  <c r="D170" i="30" s="1"/>
  <c r="D182" i="30" s="1"/>
  <c r="C6" i="30"/>
  <c r="C30" i="30"/>
  <c r="D181" i="19"/>
  <c r="D13" i="30"/>
  <c r="D25" i="30" s="1"/>
  <c r="D37" i="30" s="1"/>
  <c r="D49" i="30" s="1"/>
  <c r="D61" i="30" s="1"/>
  <c r="D73" i="30" s="1"/>
  <c r="D85" i="30" s="1"/>
  <c r="D97" i="30" s="1"/>
  <c r="D109" i="30" s="1"/>
  <c r="D121" i="30" s="1"/>
  <c r="D133" i="30" s="1"/>
  <c r="D145" i="30" s="1"/>
  <c r="D157" i="30" s="1"/>
  <c r="D169" i="30" s="1"/>
  <c r="D181" i="30" s="1"/>
  <c r="D190" i="19"/>
  <c r="D22" i="30"/>
  <c r="D186" i="19"/>
  <c r="D18" i="30"/>
  <c r="C24" i="30"/>
  <c r="D180" i="19"/>
  <c r="D12" i="30"/>
  <c r="D24" i="30" s="1"/>
  <c r="D36" i="30" s="1"/>
  <c r="D48" i="30" s="1"/>
  <c r="D60" i="30" s="1"/>
  <c r="D72" i="30" s="1"/>
  <c r="D84" i="30" s="1"/>
  <c r="D96" i="30" s="1"/>
  <c r="D108" i="30" s="1"/>
  <c r="D120" i="30" s="1"/>
  <c r="D132" i="30" s="1"/>
  <c r="D144" i="30" s="1"/>
  <c r="D156" i="30" s="1"/>
  <c r="D168" i="30" s="1"/>
  <c r="D180" i="30" s="1"/>
  <c r="D187" i="19"/>
  <c r="D19" i="30"/>
  <c r="C10" i="30"/>
  <c r="C34" i="30"/>
  <c r="C28" i="30"/>
  <c r="C4" i="30"/>
  <c r="L119" i="19"/>
  <c r="M119" i="19" s="1"/>
  <c r="K204" i="19"/>
  <c r="C3" i="30"/>
  <c r="C27" i="30"/>
  <c r="C35" i="30"/>
  <c r="D189" i="19"/>
  <c r="D21" i="30"/>
  <c r="B38" i="11"/>
  <c r="E38" i="11"/>
  <c r="J43" i="9"/>
  <c r="J64" i="9"/>
  <c r="F49" i="11"/>
  <c r="C43" i="11"/>
  <c r="F29" i="28" s="1"/>
  <c r="L46" i="9"/>
  <c r="K46" i="9"/>
  <c r="D27" i="17"/>
  <c r="J27" i="17" s="1"/>
  <c r="H46" i="9"/>
  <c r="H61" i="9" s="1"/>
  <c r="B246" i="28" s="1"/>
  <c r="B11" i="11"/>
  <c r="B28" i="28" s="1"/>
  <c r="C29" i="28" s="1"/>
  <c r="B44" i="11"/>
  <c r="G43" i="11"/>
  <c r="I46" i="9"/>
  <c r="I61" i="9" s="1"/>
  <c r="C246" i="28" s="1"/>
  <c r="D43" i="11"/>
  <c r="F30" i="28" s="1"/>
  <c r="F8" i="9"/>
  <c r="J15" i="11"/>
  <c r="B43" i="11"/>
  <c r="F28" i="28" s="1"/>
  <c r="J46" i="9"/>
  <c r="J61" i="9" s="1"/>
  <c r="D246" i="28" s="1"/>
  <c r="F43" i="11"/>
  <c r="F32" i="28" s="1"/>
  <c r="H11" i="11"/>
  <c r="B34" i="28" s="1"/>
  <c r="C34" i="28" s="1"/>
  <c r="H44" i="11"/>
  <c r="E43" i="11"/>
  <c r="F31" i="28" s="1"/>
  <c r="G31" i="28" l="1"/>
  <c r="G41" i="19"/>
  <c r="K41" i="19" s="1"/>
  <c r="L41" i="19" s="1"/>
  <c r="M41" i="19" s="1"/>
  <c r="L245" i="30"/>
  <c r="G29" i="30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H49" i="11"/>
  <c r="F24" i="9"/>
  <c r="T374" i="28" s="1"/>
  <c r="U374" i="28" s="1"/>
  <c r="K199" i="19"/>
  <c r="C154" i="28" s="1"/>
  <c r="G29" i="28"/>
  <c r="G32" i="28"/>
  <c r="D235" i="28"/>
  <c r="G15" i="30"/>
  <c r="G14" i="30" s="1"/>
  <c r="G13" i="30" s="1"/>
  <c r="G12" i="30" s="1"/>
  <c r="G11" i="30" s="1"/>
  <c r="G10" i="30" s="1"/>
  <c r="G9" i="30" s="1"/>
  <c r="G8" i="30" s="1"/>
  <c r="G7" i="30" s="1"/>
  <c r="G6" i="30" s="1"/>
  <c r="G5" i="30" s="1"/>
  <c r="G4" i="30" s="1"/>
  <c r="G3" i="30" s="1"/>
  <c r="G17" i="30"/>
  <c r="G18" i="30" s="1"/>
  <c r="G19" i="30" s="1"/>
  <c r="G20" i="30" s="1"/>
  <c r="G21" i="30" s="1"/>
  <c r="G22" i="30" s="1"/>
  <c r="G23" i="30" s="1"/>
  <c r="G24" i="30" s="1"/>
  <c r="G25" i="30" s="1"/>
  <c r="G26" i="30" s="1"/>
  <c r="G27" i="30" s="1"/>
  <c r="G17" i="19"/>
  <c r="K17" i="19" s="1"/>
  <c r="L17" i="19" s="1"/>
  <c r="M17" i="19" s="1"/>
  <c r="B33" i="17"/>
  <c r="B16" i="17" s="1"/>
  <c r="B203" i="28"/>
  <c r="J65" i="9"/>
  <c r="D252" i="28"/>
  <c r="D258" i="28" s="1"/>
  <c r="D313" i="28" s="1"/>
  <c r="G48" i="11"/>
  <c r="F33" i="28"/>
  <c r="G33" i="28" s="1"/>
  <c r="N382" i="28"/>
  <c r="B89" i="28"/>
  <c r="G15" i="19"/>
  <c r="K15" i="19" s="1"/>
  <c r="L15" i="19" s="1"/>
  <c r="M15" i="19" s="1"/>
  <c r="E99" i="28"/>
  <c r="G82" i="28"/>
  <c r="K16" i="30"/>
  <c r="C98" i="28"/>
  <c r="C214" i="28" s="1"/>
  <c r="C234" i="28" s="1"/>
  <c r="G47" i="28"/>
  <c r="B361" i="28"/>
  <c r="E325" i="28"/>
  <c r="B343" i="28"/>
  <c r="K15" i="30"/>
  <c r="G30" i="28"/>
  <c r="G29" i="19"/>
  <c r="K29" i="19" s="1"/>
  <c r="L29" i="19" s="1"/>
  <c r="M29" i="19" s="1"/>
  <c r="C239" i="28"/>
  <c r="C102" i="28"/>
  <c r="C218" i="28" s="1"/>
  <c r="C237" i="28" s="1"/>
  <c r="G85" i="28"/>
  <c r="G86" i="28"/>
  <c r="B103" i="28"/>
  <c r="B219" i="28" s="1"/>
  <c r="B238" i="28" s="1"/>
  <c r="B104" i="28"/>
  <c r="B220" i="28" s="1"/>
  <c r="G53" i="28"/>
  <c r="C100" i="28"/>
  <c r="C216" i="28" s="1"/>
  <c r="G49" i="28"/>
  <c r="C35" i="28"/>
  <c r="G83" i="28"/>
  <c r="B100" i="28"/>
  <c r="B216" i="28" s="1"/>
  <c r="B235" i="28" s="1"/>
  <c r="C17" i="9"/>
  <c r="D17" i="9" s="1"/>
  <c r="E17" i="9" s="1"/>
  <c r="K5" i="11"/>
  <c r="C159" i="28"/>
  <c r="D159" i="28" s="1"/>
  <c r="L204" i="19"/>
  <c r="M204" i="19" s="1"/>
  <c r="D32" i="30"/>
  <c r="D44" i="30" s="1"/>
  <c r="D56" i="30" s="1"/>
  <c r="D68" i="30" s="1"/>
  <c r="D80" i="30" s="1"/>
  <c r="D92" i="30" s="1"/>
  <c r="D104" i="30" s="1"/>
  <c r="D116" i="30" s="1"/>
  <c r="D128" i="30" s="1"/>
  <c r="D140" i="30" s="1"/>
  <c r="D152" i="30" s="1"/>
  <c r="D164" i="30" s="1"/>
  <c r="D176" i="30" s="1"/>
  <c r="D188" i="30" s="1"/>
  <c r="D8" i="30"/>
  <c r="C44" i="30"/>
  <c r="D9" i="30"/>
  <c r="D33" i="30"/>
  <c r="D45" i="30" s="1"/>
  <c r="C45" i="30"/>
  <c r="C57" i="30" s="1"/>
  <c r="D29" i="30"/>
  <c r="D5" i="30"/>
  <c r="K5" i="30" s="1"/>
  <c r="C39" i="30"/>
  <c r="C46" i="30"/>
  <c r="C38" i="30"/>
  <c r="D27" i="30"/>
  <c r="D39" i="30" s="1"/>
  <c r="D51" i="30" s="1"/>
  <c r="D63" i="30" s="1"/>
  <c r="D75" i="30" s="1"/>
  <c r="D87" i="30" s="1"/>
  <c r="D99" i="30" s="1"/>
  <c r="D111" i="30" s="1"/>
  <c r="D123" i="30" s="1"/>
  <c r="D135" i="30" s="1"/>
  <c r="D147" i="30" s="1"/>
  <c r="D159" i="30" s="1"/>
  <c r="D171" i="30" s="1"/>
  <c r="D183" i="30" s="1"/>
  <c r="D3" i="30"/>
  <c r="C47" i="30"/>
  <c r="C40" i="30"/>
  <c r="D31" i="30"/>
  <c r="D43" i="30" s="1"/>
  <c r="D55" i="30" s="1"/>
  <c r="D67" i="30" s="1"/>
  <c r="D79" i="30" s="1"/>
  <c r="D91" i="30" s="1"/>
  <c r="D103" i="30" s="1"/>
  <c r="D115" i="30" s="1"/>
  <c r="D127" i="30" s="1"/>
  <c r="D139" i="30" s="1"/>
  <c r="D151" i="30" s="1"/>
  <c r="D163" i="30" s="1"/>
  <c r="D175" i="30" s="1"/>
  <c r="D187" i="30" s="1"/>
  <c r="D7" i="30"/>
  <c r="K7" i="30" s="1"/>
  <c r="D10" i="30"/>
  <c r="D34" i="30"/>
  <c r="D46" i="30" s="1"/>
  <c r="D58" i="30" s="1"/>
  <c r="D70" i="30" s="1"/>
  <c r="D82" i="30" s="1"/>
  <c r="D94" i="30" s="1"/>
  <c r="D106" i="30" s="1"/>
  <c r="D118" i="30" s="1"/>
  <c r="D130" i="30" s="1"/>
  <c r="D142" i="30" s="1"/>
  <c r="D154" i="30" s="1"/>
  <c r="D166" i="30" s="1"/>
  <c r="D178" i="30" s="1"/>
  <c r="D190" i="30" s="1"/>
  <c r="C36" i="30"/>
  <c r="C42" i="30"/>
  <c r="D23" i="30"/>
  <c r="K11" i="30"/>
  <c r="C43" i="30"/>
  <c r="D6" i="30"/>
  <c r="K6" i="30" s="1"/>
  <c r="D30" i="30"/>
  <c r="D42" i="30" s="1"/>
  <c r="D54" i="30" s="1"/>
  <c r="D66" i="30" s="1"/>
  <c r="D78" i="30" s="1"/>
  <c r="D90" i="30" s="1"/>
  <c r="D102" i="30" s="1"/>
  <c r="D114" i="30" s="1"/>
  <c r="D126" i="30" s="1"/>
  <c r="D138" i="30" s="1"/>
  <c r="D150" i="30" s="1"/>
  <c r="D162" i="30" s="1"/>
  <c r="D174" i="30" s="1"/>
  <c r="D186" i="30" s="1"/>
  <c r="C37" i="30"/>
  <c r="K25" i="30"/>
  <c r="D28" i="30"/>
  <c r="D40" i="30" s="1"/>
  <c r="D52" i="30" s="1"/>
  <c r="D64" i="30" s="1"/>
  <c r="D76" i="30" s="1"/>
  <c r="D88" i="30" s="1"/>
  <c r="D100" i="30" s="1"/>
  <c r="D112" i="30" s="1"/>
  <c r="D124" i="30" s="1"/>
  <c r="D136" i="30" s="1"/>
  <c r="D148" i="30" s="1"/>
  <c r="D160" i="30" s="1"/>
  <c r="D172" i="30" s="1"/>
  <c r="D184" i="30" s="1"/>
  <c r="D4" i="30"/>
  <c r="K4" i="30" s="1"/>
  <c r="C89" i="30"/>
  <c r="C12" i="9"/>
  <c r="D12" i="9" s="1"/>
  <c r="E12" i="9" s="1"/>
  <c r="G42" i="19"/>
  <c r="K42" i="19" s="1"/>
  <c r="L42" i="19" s="1"/>
  <c r="M42" i="19" s="1"/>
  <c r="G14" i="19"/>
  <c r="K14" i="19" s="1"/>
  <c r="L14" i="19" s="1"/>
  <c r="M14" i="19" s="1"/>
  <c r="E27" i="17"/>
  <c r="J28" i="11"/>
  <c r="K72" i="9"/>
  <c r="C48" i="11"/>
  <c r="F48" i="11"/>
  <c r="K73" i="9"/>
  <c r="B48" i="11"/>
  <c r="K15" i="11"/>
  <c r="D48" i="11"/>
  <c r="B49" i="11"/>
  <c r="E48" i="11"/>
  <c r="J23" i="11"/>
  <c r="K3" i="30" l="1"/>
  <c r="K21" i="30"/>
  <c r="K9" i="30"/>
  <c r="K13" i="30"/>
  <c r="K10" i="30"/>
  <c r="K12" i="30"/>
  <c r="K20" i="30"/>
  <c r="K24" i="30"/>
  <c r="K19" i="30"/>
  <c r="K17" i="30"/>
  <c r="K8" i="30"/>
  <c r="K14" i="30"/>
  <c r="K18" i="30"/>
  <c r="K26" i="30"/>
  <c r="B239" i="28"/>
  <c r="G30" i="19"/>
  <c r="K30" i="19" s="1"/>
  <c r="L30" i="19" s="1"/>
  <c r="M30" i="19" s="1"/>
  <c r="B236" i="28"/>
  <c r="C238" i="28"/>
  <c r="B240" i="28"/>
  <c r="B208" i="28"/>
  <c r="H64" i="9"/>
  <c r="O15" i="11"/>
  <c r="B17" i="17"/>
  <c r="P382" i="28"/>
  <c r="B90" i="28"/>
  <c r="G18" i="19"/>
  <c r="K18" i="19" s="1"/>
  <c r="L18" i="19" s="1"/>
  <c r="M18" i="19" s="1"/>
  <c r="B106" i="28"/>
  <c r="B222" i="28" s="1"/>
  <c r="B241" i="28" s="1"/>
  <c r="C235" i="28"/>
  <c r="C236" i="28"/>
  <c r="AC439" i="28"/>
  <c r="N390" i="28"/>
  <c r="AC441" i="28" s="1"/>
  <c r="D89" i="28"/>
  <c r="D106" i="28" s="1"/>
  <c r="D222" i="28" s="1"/>
  <c r="D241" i="28" s="1"/>
  <c r="K22" i="30"/>
  <c r="K34" i="30"/>
  <c r="K32" i="30"/>
  <c r="K31" i="30"/>
  <c r="K194" i="30"/>
  <c r="K43" i="30"/>
  <c r="C55" i="30"/>
  <c r="C54" i="30"/>
  <c r="K42" i="30"/>
  <c r="C52" i="30"/>
  <c r="K40" i="30"/>
  <c r="C50" i="30"/>
  <c r="K38" i="30"/>
  <c r="K45" i="30"/>
  <c r="D57" i="30"/>
  <c r="D69" i="30" s="1"/>
  <c r="D81" i="30" s="1"/>
  <c r="D93" i="30" s="1"/>
  <c r="D105" i="30" s="1"/>
  <c r="D117" i="30" s="1"/>
  <c r="D129" i="30" s="1"/>
  <c r="D141" i="30" s="1"/>
  <c r="D153" i="30" s="1"/>
  <c r="K44" i="30"/>
  <c r="C56" i="30"/>
  <c r="C101" i="30"/>
  <c r="C113" i="30" s="1"/>
  <c r="C49" i="30"/>
  <c r="K37" i="30"/>
  <c r="C58" i="30"/>
  <c r="K46" i="30"/>
  <c r="K29" i="30"/>
  <c r="D41" i="30"/>
  <c r="D35" i="30"/>
  <c r="K23" i="30"/>
  <c r="C48" i="30"/>
  <c r="K36" i="30"/>
  <c r="C59" i="30"/>
  <c r="K27" i="30"/>
  <c r="K33" i="30"/>
  <c r="P371" i="28"/>
  <c r="K6" i="11"/>
  <c r="P372" i="28" s="1"/>
  <c r="K30" i="30"/>
  <c r="K28" i="30"/>
  <c r="C51" i="30"/>
  <c r="K39" i="30"/>
  <c r="C69" i="30"/>
  <c r="D154" i="28"/>
  <c r="G31" i="19"/>
  <c r="K31" i="19" s="1"/>
  <c r="L31" i="19" s="1"/>
  <c r="M31" i="19" s="1"/>
  <c r="G43" i="19"/>
  <c r="K43" i="19" s="1"/>
  <c r="L43" i="19" s="1"/>
  <c r="M43" i="19" s="1"/>
  <c r="G13" i="19"/>
  <c r="K13" i="19" s="1"/>
  <c r="L13" i="19" s="1"/>
  <c r="M13" i="19" s="1"/>
  <c r="J19" i="11"/>
  <c r="C27" i="17"/>
  <c r="I27" i="17" s="1"/>
  <c r="K28" i="11"/>
  <c r="E28" i="17"/>
  <c r="K23" i="11"/>
  <c r="D28" i="17"/>
  <c r="J28" i="17" s="1"/>
  <c r="D29" i="17"/>
  <c r="J29" i="17" s="1"/>
  <c r="K29" i="11"/>
  <c r="K39" i="11" s="1"/>
  <c r="K49" i="11" s="1"/>
  <c r="J33" i="11"/>
  <c r="K195" i="30" l="1"/>
  <c r="N195" i="19" s="1"/>
  <c r="E150" i="28" s="1"/>
  <c r="N395" i="28"/>
  <c r="AC442" i="28" s="1"/>
  <c r="F89" i="28"/>
  <c r="F106" i="28" s="1"/>
  <c r="E222" i="28" s="1"/>
  <c r="N386" i="28"/>
  <c r="C89" i="28"/>
  <c r="B107" i="28"/>
  <c r="B223" i="28" s="1"/>
  <c r="G19" i="19"/>
  <c r="K19" i="19" s="1"/>
  <c r="L19" i="19" s="1"/>
  <c r="M19" i="19" s="1"/>
  <c r="AC417" i="28"/>
  <c r="AJ439" i="28"/>
  <c r="T382" i="28"/>
  <c r="B95" i="28"/>
  <c r="B209" i="28"/>
  <c r="P15" i="11"/>
  <c r="H65" i="9"/>
  <c r="H73" i="9" s="1"/>
  <c r="P390" i="28"/>
  <c r="AC419" i="28" s="1"/>
  <c r="D90" i="28"/>
  <c r="D107" i="28" s="1"/>
  <c r="D223" i="28" s="1"/>
  <c r="B257" i="28"/>
  <c r="C81" i="30"/>
  <c r="K69" i="30"/>
  <c r="C60" i="30"/>
  <c r="K48" i="30"/>
  <c r="D165" i="30"/>
  <c r="D177" i="30" s="1"/>
  <c r="D189" i="30" s="1"/>
  <c r="C67" i="30"/>
  <c r="K55" i="30"/>
  <c r="C71" i="30"/>
  <c r="K196" i="30"/>
  <c r="C125" i="30"/>
  <c r="C137" i="30" s="1"/>
  <c r="K52" i="30"/>
  <c r="C64" i="30"/>
  <c r="C63" i="30"/>
  <c r="K51" i="30"/>
  <c r="D47" i="30"/>
  <c r="K35" i="30"/>
  <c r="C70" i="30"/>
  <c r="K58" i="30"/>
  <c r="C68" i="30"/>
  <c r="K56" i="30"/>
  <c r="K57" i="30"/>
  <c r="K41" i="30"/>
  <c r="D53" i="30"/>
  <c r="C61" i="30"/>
  <c r="K49" i="30"/>
  <c r="C62" i="30"/>
  <c r="K50" i="30"/>
  <c r="C66" i="30"/>
  <c r="K54" i="30"/>
  <c r="N194" i="19"/>
  <c r="L275" i="30"/>
  <c r="M275" i="30" s="1"/>
  <c r="L194" i="30"/>
  <c r="M194" i="30" s="1"/>
  <c r="J38" i="11"/>
  <c r="G44" i="19"/>
  <c r="K44" i="19" s="1"/>
  <c r="L44" i="19" s="1"/>
  <c r="M44" i="19" s="1"/>
  <c r="G32" i="19"/>
  <c r="K32" i="19" s="1"/>
  <c r="L32" i="19" s="1"/>
  <c r="M32" i="19" s="1"/>
  <c r="G12" i="19"/>
  <c r="K12" i="19" s="1"/>
  <c r="L12" i="19" s="1"/>
  <c r="M12" i="19" s="1"/>
  <c r="D35" i="17"/>
  <c r="D203" i="28" s="1"/>
  <c r="G20" i="19"/>
  <c r="K20" i="19" s="1"/>
  <c r="L20" i="19" s="1"/>
  <c r="M20" i="19" s="1"/>
  <c r="K19" i="11"/>
  <c r="C28" i="17"/>
  <c r="I28" i="17" s="1"/>
  <c r="C29" i="17"/>
  <c r="I29" i="17" s="1"/>
  <c r="K43" i="11"/>
  <c r="F37" i="28" s="1"/>
  <c r="J43" i="11"/>
  <c r="F36" i="28" s="1"/>
  <c r="H72" i="9"/>
  <c r="L195" i="30" l="1"/>
  <c r="M195" i="30" s="1"/>
  <c r="L276" i="30"/>
  <c r="M276" i="30" s="1"/>
  <c r="K197" i="30"/>
  <c r="N197" i="19" s="1"/>
  <c r="E152" i="28" s="1"/>
  <c r="B312" i="28"/>
  <c r="D242" i="28"/>
  <c r="D243" i="28"/>
  <c r="AC440" i="28"/>
  <c r="N400" i="28"/>
  <c r="AD441" i="28"/>
  <c r="AC425" i="28"/>
  <c r="U382" i="28"/>
  <c r="B96" i="28"/>
  <c r="AD439" i="28"/>
  <c r="AC423" i="28"/>
  <c r="AJ417" i="28"/>
  <c r="P386" i="28"/>
  <c r="C90" i="28"/>
  <c r="C106" i="28"/>
  <c r="C222" i="28" s="1"/>
  <c r="C241" i="28" s="1"/>
  <c r="G89" i="28"/>
  <c r="B258" i="28"/>
  <c r="AD527" i="28"/>
  <c r="G37" i="28"/>
  <c r="G38" i="28"/>
  <c r="B242" i="28"/>
  <c r="B243" i="28"/>
  <c r="K53" i="30"/>
  <c r="D65" i="30"/>
  <c r="C76" i="30"/>
  <c r="K64" i="30"/>
  <c r="L277" i="30"/>
  <c r="M277" i="30" s="1"/>
  <c r="L196" i="30"/>
  <c r="M196" i="30" s="1"/>
  <c r="N196" i="19"/>
  <c r="E151" i="28" s="1"/>
  <c r="K67" i="30"/>
  <c r="C79" i="30"/>
  <c r="C72" i="30"/>
  <c r="K60" i="30"/>
  <c r="C80" i="30"/>
  <c r="K68" i="30"/>
  <c r="D59" i="30"/>
  <c r="K47" i="30"/>
  <c r="C78" i="30"/>
  <c r="K66" i="30"/>
  <c r="C73" i="30"/>
  <c r="K61" i="30"/>
  <c r="C82" i="30"/>
  <c r="K70" i="30"/>
  <c r="C75" i="30"/>
  <c r="K63" i="30"/>
  <c r="C149" i="30"/>
  <c r="C74" i="30"/>
  <c r="K62" i="30"/>
  <c r="C83" i="30"/>
  <c r="C93" i="30"/>
  <c r="J48" i="11"/>
  <c r="G33" i="19"/>
  <c r="K33" i="19" s="1"/>
  <c r="L33" i="19" s="1"/>
  <c r="M33" i="19" s="1"/>
  <c r="G45" i="19"/>
  <c r="K45" i="19" s="1"/>
  <c r="L45" i="19" s="1"/>
  <c r="M45" i="19" s="1"/>
  <c r="G11" i="19"/>
  <c r="K11" i="19" s="1"/>
  <c r="L11" i="19" s="1"/>
  <c r="M11" i="19" s="1"/>
  <c r="G21" i="19"/>
  <c r="K21" i="19" s="1"/>
  <c r="L21" i="19" s="1"/>
  <c r="M21" i="19" s="1"/>
  <c r="C35" i="17"/>
  <c r="K33" i="11"/>
  <c r="F28" i="17"/>
  <c r="L28" i="17" s="1"/>
  <c r="F29" i="17"/>
  <c r="L29" i="17" s="1"/>
  <c r="J73" i="9"/>
  <c r="J72" i="9"/>
  <c r="L197" i="30" l="1"/>
  <c r="M197" i="30" s="1"/>
  <c r="L278" i="30"/>
  <c r="M278" i="30" s="1"/>
  <c r="K198" i="30"/>
  <c r="L279" i="30" s="1"/>
  <c r="M279" i="30" s="1"/>
  <c r="AC463" i="28"/>
  <c r="AC469" i="28" s="1"/>
  <c r="AC447" i="28"/>
  <c r="AC549" i="28"/>
  <c r="AC533" i="28"/>
  <c r="K38" i="11"/>
  <c r="K48" i="11" s="1"/>
  <c r="P395" i="28"/>
  <c r="AC420" i="28" s="1"/>
  <c r="AD442" i="28" s="1"/>
  <c r="F90" i="28"/>
  <c r="F107" i="28" s="1"/>
  <c r="E223" i="28" s="1"/>
  <c r="C33" i="17"/>
  <c r="C16" i="17" s="1"/>
  <c r="C208" i="28" s="1"/>
  <c r="C203" i="28"/>
  <c r="AC418" i="28"/>
  <c r="AJ440" i="28"/>
  <c r="AC443" i="28"/>
  <c r="AD549" i="28"/>
  <c r="B313" i="28"/>
  <c r="AC461" i="28"/>
  <c r="AK439" i="28"/>
  <c r="AJ445" i="28" s="1"/>
  <c r="AC445" i="28"/>
  <c r="C107" i="28"/>
  <c r="C223" i="28" s="1"/>
  <c r="C95" i="30"/>
  <c r="C161" i="30"/>
  <c r="C94" i="30"/>
  <c r="D71" i="30"/>
  <c r="K59" i="30"/>
  <c r="C84" i="30"/>
  <c r="K72" i="30"/>
  <c r="C88" i="30"/>
  <c r="K76" i="30"/>
  <c r="K65" i="30"/>
  <c r="D77" i="30"/>
  <c r="C91" i="30"/>
  <c r="C105" i="30"/>
  <c r="C86" i="30"/>
  <c r="K74" i="30"/>
  <c r="C87" i="30"/>
  <c r="K75" i="30"/>
  <c r="C92" i="30"/>
  <c r="C85" i="30"/>
  <c r="K73" i="30"/>
  <c r="C90" i="30"/>
  <c r="G34" i="19"/>
  <c r="K34" i="19" s="1"/>
  <c r="L34" i="19" s="1"/>
  <c r="M34" i="19" s="1"/>
  <c r="G46" i="19"/>
  <c r="K46" i="19" s="1"/>
  <c r="L46" i="19" s="1"/>
  <c r="M46" i="19" s="1"/>
  <c r="G10" i="19"/>
  <c r="K10" i="19" s="1"/>
  <c r="L10" i="19" s="1"/>
  <c r="M10" i="19" s="1"/>
  <c r="G22" i="19"/>
  <c r="K22" i="19" s="1"/>
  <c r="L22" i="19" s="1"/>
  <c r="M22" i="19" s="1"/>
  <c r="O19" i="11" l="1"/>
  <c r="C95" i="28" s="1"/>
  <c r="G95" i="28" s="1"/>
  <c r="L198" i="30"/>
  <c r="M198" i="30" s="1"/>
  <c r="I64" i="9"/>
  <c r="I72" i="9" s="1"/>
  <c r="N198" i="19"/>
  <c r="E153" i="28" s="1"/>
  <c r="G16" i="17"/>
  <c r="G172" i="30" s="1"/>
  <c r="G161" i="30" s="1"/>
  <c r="G162" i="30" s="1"/>
  <c r="G163" i="30" s="1"/>
  <c r="G164" i="30" s="1"/>
  <c r="G165" i="30" s="1"/>
  <c r="G166" i="30" s="1"/>
  <c r="G167" i="30" s="1"/>
  <c r="G168" i="30" s="1"/>
  <c r="G169" i="30" s="1"/>
  <c r="G170" i="30" s="1"/>
  <c r="G171" i="30" s="1"/>
  <c r="C17" i="17"/>
  <c r="P19" i="11" s="1"/>
  <c r="AC448" i="28"/>
  <c r="AC464" i="28"/>
  <c r="AC470" i="28" s="1"/>
  <c r="AJ461" i="28"/>
  <c r="AJ467" i="28" s="1"/>
  <c r="AC467" i="28"/>
  <c r="AD440" i="28"/>
  <c r="AC424" i="28"/>
  <c r="AJ418" i="28"/>
  <c r="AC421" i="28"/>
  <c r="P400" i="28"/>
  <c r="O38" i="11"/>
  <c r="T386" i="28"/>
  <c r="G90" i="28"/>
  <c r="C257" i="28"/>
  <c r="F208" i="28"/>
  <c r="C242" i="28"/>
  <c r="C243" i="28"/>
  <c r="AC555" i="28"/>
  <c r="E242" i="28"/>
  <c r="E243" i="28"/>
  <c r="C104" i="30"/>
  <c r="C96" i="30"/>
  <c r="C106" i="30"/>
  <c r="C107" i="30"/>
  <c r="C97" i="30"/>
  <c r="C98" i="30"/>
  <c r="C103" i="30"/>
  <c r="K199" i="30"/>
  <c r="C100" i="30"/>
  <c r="D83" i="30"/>
  <c r="K71" i="30"/>
  <c r="C173" i="30"/>
  <c r="C102" i="30"/>
  <c r="C99" i="30"/>
  <c r="C117" i="30"/>
  <c r="D89" i="30"/>
  <c r="G17" i="17"/>
  <c r="G184" i="30" s="1"/>
  <c r="G47" i="19"/>
  <c r="K47" i="19" s="1"/>
  <c r="L47" i="19" s="1"/>
  <c r="M47" i="19" s="1"/>
  <c r="K195" i="19"/>
  <c r="G35" i="19"/>
  <c r="K35" i="19" s="1"/>
  <c r="L35" i="19" s="1"/>
  <c r="M35" i="19" s="1"/>
  <c r="G9" i="19"/>
  <c r="K9" i="19" s="1"/>
  <c r="L9" i="19" s="1"/>
  <c r="M9" i="19" s="1"/>
  <c r="G23" i="19"/>
  <c r="K23" i="19" s="1"/>
  <c r="L23" i="19" s="1"/>
  <c r="M23" i="19" s="1"/>
  <c r="G185" i="30" l="1"/>
  <c r="G186" i="30" s="1"/>
  <c r="G187" i="30" s="1"/>
  <c r="G188" i="30" s="1"/>
  <c r="G189" i="30" s="1"/>
  <c r="G190" i="30" s="1"/>
  <c r="O43" i="11"/>
  <c r="O48" i="11" s="1"/>
  <c r="G172" i="19"/>
  <c r="K172" i="19" s="1"/>
  <c r="C209" i="28"/>
  <c r="F209" i="28" s="1"/>
  <c r="I65" i="9"/>
  <c r="I73" i="9" s="1"/>
  <c r="AC462" i="28"/>
  <c r="AC446" i="28"/>
  <c r="AK440" i="28"/>
  <c r="AJ446" i="28" s="1"/>
  <c r="AD443" i="28"/>
  <c r="P38" i="11"/>
  <c r="U386" i="28"/>
  <c r="C96" i="28"/>
  <c r="G96" i="28" s="1"/>
  <c r="C312" i="28"/>
  <c r="F312" i="28" s="1"/>
  <c r="F257" i="28"/>
  <c r="AD528" i="28"/>
  <c r="T400" i="28"/>
  <c r="G173" i="30"/>
  <c r="G174" i="30" s="1"/>
  <c r="G175" i="30" s="1"/>
  <c r="G176" i="30" s="1"/>
  <c r="G177" i="30" s="1"/>
  <c r="G178" i="30" s="1"/>
  <c r="G179" i="30" s="1"/>
  <c r="G180" i="30" s="1"/>
  <c r="G181" i="30" s="1"/>
  <c r="G182" i="30" s="1"/>
  <c r="G183" i="30" s="1"/>
  <c r="C129" i="30"/>
  <c r="K117" i="30"/>
  <c r="C114" i="30"/>
  <c r="D95" i="30"/>
  <c r="N199" i="19"/>
  <c r="L199" i="30"/>
  <c r="M199" i="30" s="1"/>
  <c r="L280" i="30"/>
  <c r="M280" i="30" s="1"/>
  <c r="C110" i="30"/>
  <c r="C119" i="30"/>
  <c r="C108" i="30"/>
  <c r="C112" i="30"/>
  <c r="C116" i="30"/>
  <c r="D101" i="30"/>
  <c r="C111" i="30"/>
  <c r="C185" i="30"/>
  <c r="C115" i="30"/>
  <c r="C109" i="30"/>
  <c r="C118" i="30"/>
  <c r="C8" i="9"/>
  <c r="D8" i="9" s="1"/>
  <c r="E8" i="9" s="1"/>
  <c r="C150" i="28"/>
  <c r="O195" i="19"/>
  <c r="G161" i="19"/>
  <c r="K161" i="19" s="1"/>
  <c r="L161" i="19" s="1"/>
  <c r="M161" i="19" s="1"/>
  <c r="G184" i="19"/>
  <c r="G223" i="19" s="1"/>
  <c r="P43" i="11"/>
  <c r="G36" i="19"/>
  <c r="K36" i="19" s="1"/>
  <c r="L36" i="19" s="1"/>
  <c r="M36" i="19" s="1"/>
  <c r="G48" i="19"/>
  <c r="K48" i="19" s="1"/>
  <c r="L48" i="19" s="1"/>
  <c r="M48" i="19" s="1"/>
  <c r="G8" i="19"/>
  <c r="K8" i="19" s="1"/>
  <c r="L8" i="19" s="1"/>
  <c r="M8" i="19" s="1"/>
  <c r="G24" i="19"/>
  <c r="K24" i="19" s="1"/>
  <c r="L24" i="19" s="1"/>
  <c r="M24" i="19" s="1"/>
  <c r="F41" i="28" l="1"/>
  <c r="G41" i="28" s="1"/>
  <c r="C258" i="28"/>
  <c r="C313" i="28"/>
  <c r="F313" i="28" s="1"/>
  <c r="F258" i="28"/>
  <c r="AC550" i="28"/>
  <c r="AC553" i="28" s="1"/>
  <c r="AC534" i="28"/>
  <c r="AD531" i="28"/>
  <c r="P48" i="11"/>
  <c r="F42" i="28"/>
  <c r="G42" i="28" s="1"/>
  <c r="AD550" i="28"/>
  <c r="U400" i="28"/>
  <c r="AJ462" i="28"/>
  <c r="AJ468" i="28" s="1"/>
  <c r="AC468" i="28"/>
  <c r="AC465" i="28"/>
  <c r="C130" i="30"/>
  <c r="K118" i="30"/>
  <c r="C127" i="30"/>
  <c r="K115" i="30"/>
  <c r="C123" i="30"/>
  <c r="C128" i="30"/>
  <c r="K116" i="30"/>
  <c r="C120" i="30"/>
  <c r="C122" i="30"/>
  <c r="D107" i="30"/>
  <c r="C141" i="30"/>
  <c r="K129" i="30"/>
  <c r="E154" i="28"/>
  <c r="F154" i="28" s="1"/>
  <c r="O199" i="19"/>
  <c r="C126" i="30"/>
  <c r="K114" i="30"/>
  <c r="G239" i="19"/>
  <c r="K239" i="19" s="1"/>
  <c r="K223" i="19"/>
  <c r="C121" i="30"/>
  <c r="D113" i="30"/>
  <c r="C124" i="30"/>
  <c r="K112" i="30"/>
  <c r="C131" i="30"/>
  <c r="D150" i="28"/>
  <c r="F150" i="28"/>
  <c r="G162" i="19"/>
  <c r="K162" i="19" s="1"/>
  <c r="L162" i="19" s="1"/>
  <c r="M162" i="19" s="1"/>
  <c r="G173" i="19"/>
  <c r="K184" i="19"/>
  <c r="G185" i="19"/>
  <c r="G37" i="19"/>
  <c r="K37" i="19" s="1"/>
  <c r="L37" i="19" s="1"/>
  <c r="M37" i="19" s="1"/>
  <c r="G49" i="19"/>
  <c r="K49" i="19" s="1"/>
  <c r="L49" i="19" s="1"/>
  <c r="M49" i="19" s="1"/>
  <c r="G7" i="19"/>
  <c r="K7" i="19" s="1"/>
  <c r="L7" i="19" s="1"/>
  <c r="M7" i="19" s="1"/>
  <c r="G25" i="19"/>
  <c r="K25" i="19" s="1"/>
  <c r="L25" i="19" s="1"/>
  <c r="M25" i="19" s="1"/>
  <c r="AC556" i="28" l="1"/>
  <c r="AD553" i="28"/>
  <c r="C136" i="30"/>
  <c r="K124" i="30"/>
  <c r="C133" i="30"/>
  <c r="K121" i="30"/>
  <c r="C138" i="30"/>
  <c r="K126" i="30"/>
  <c r="C153" i="30"/>
  <c r="K141" i="30"/>
  <c r="C134" i="30"/>
  <c r="K122" i="30"/>
  <c r="C140" i="30"/>
  <c r="K128" i="30"/>
  <c r="C139" i="30"/>
  <c r="K127" i="30"/>
  <c r="D125" i="30"/>
  <c r="K113" i="30"/>
  <c r="K185" i="19"/>
  <c r="G224" i="19"/>
  <c r="C143" i="30"/>
  <c r="E65" i="28"/>
  <c r="E116" i="28" s="1"/>
  <c r="B65" i="28"/>
  <c r="E332" i="28"/>
  <c r="D65" i="28"/>
  <c r="D116" i="28" s="1"/>
  <c r="F65" i="28"/>
  <c r="F116" i="28" s="1"/>
  <c r="G154" i="28"/>
  <c r="D32" i="28"/>
  <c r="F332" i="28"/>
  <c r="C65" i="28"/>
  <c r="C116" i="28" s="1"/>
  <c r="D119" i="30"/>
  <c r="C132" i="30"/>
  <c r="K120" i="30"/>
  <c r="C135" i="30"/>
  <c r="K123" i="30"/>
  <c r="C142" i="30"/>
  <c r="K130" i="30"/>
  <c r="E61" i="28"/>
  <c r="E112" i="28" s="1"/>
  <c r="E328" i="28"/>
  <c r="F328" i="28"/>
  <c r="D61" i="28"/>
  <c r="D112" i="28" s="1"/>
  <c r="F61" i="28"/>
  <c r="F112" i="28" s="1"/>
  <c r="B61" i="28"/>
  <c r="B112" i="28" s="1"/>
  <c r="C61" i="28"/>
  <c r="C112" i="28" s="1"/>
  <c r="G150" i="28"/>
  <c r="D28" i="28"/>
  <c r="G163" i="19"/>
  <c r="K163" i="19" s="1"/>
  <c r="L163" i="19" s="1"/>
  <c r="M163" i="19" s="1"/>
  <c r="G174" i="19"/>
  <c r="K173" i="19"/>
  <c r="G186" i="19"/>
  <c r="G50" i="19"/>
  <c r="K50" i="19" s="1"/>
  <c r="L50" i="19" s="1"/>
  <c r="M50" i="19" s="1"/>
  <c r="G38" i="19"/>
  <c r="K38" i="19" s="1"/>
  <c r="L38" i="19" s="1"/>
  <c r="M38" i="19" s="1"/>
  <c r="G6" i="19"/>
  <c r="K6" i="19" s="1"/>
  <c r="L6" i="19" s="1"/>
  <c r="M6" i="19" s="1"/>
  <c r="G26" i="19"/>
  <c r="K26" i="19" s="1"/>
  <c r="L26" i="19" s="1"/>
  <c r="M26" i="19" s="1"/>
  <c r="C154" i="30" l="1"/>
  <c r="K142" i="30"/>
  <c r="C144" i="30"/>
  <c r="K132" i="30"/>
  <c r="K139" i="30"/>
  <c r="C151" i="30"/>
  <c r="C146" i="30"/>
  <c r="K134" i="30"/>
  <c r="C150" i="30"/>
  <c r="K138" i="30"/>
  <c r="C148" i="30"/>
  <c r="K136" i="30"/>
  <c r="G332" i="28"/>
  <c r="C155" i="30"/>
  <c r="K186" i="19"/>
  <c r="G225" i="19"/>
  <c r="C147" i="30"/>
  <c r="K135" i="30"/>
  <c r="D131" i="30"/>
  <c r="K119" i="30"/>
  <c r="B116" i="28"/>
  <c r="G65" i="28"/>
  <c r="G240" i="19"/>
  <c r="K240" i="19" s="1"/>
  <c r="K224" i="19"/>
  <c r="K125" i="30"/>
  <c r="D137" i="30"/>
  <c r="K140" i="30"/>
  <c r="C152" i="30"/>
  <c r="C165" i="30"/>
  <c r="K153" i="30"/>
  <c r="C145" i="30"/>
  <c r="K133" i="30"/>
  <c r="G328" i="28"/>
  <c r="G61" i="28"/>
  <c r="G164" i="19"/>
  <c r="K164" i="19" s="1"/>
  <c r="L164" i="19" s="1"/>
  <c r="M164" i="19" s="1"/>
  <c r="K174" i="19"/>
  <c r="G175" i="19"/>
  <c r="G187" i="19"/>
  <c r="G51" i="19"/>
  <c r="K51" i="19" s="1"/>
  <c r="L51" i="19" s="1"/>
  <c r="M51" i="19" s="1"/>
  <c r="G39" i="19"/>
  <c r="K39" i="19" s="1"/>
  <c r="L39" i="19" s="1"/>
  <c r="M39" i="19" s="1"/>
  <c r="G5" i="19"/>
  <c r="K5" i="19" s="1"/>
  <c r="L5" i="19" s="1"/>
  <c r="M5" i="19" s="1"/>
  <c r="G27" i="19"/>
  <c r="C177" i="30" l="1"/>
  <c r="K165" i="30"/>
  <c r="C159" i="30"/>
  <c r="K147" i="30"/>
  <c r="C167" i="30"/>
  <c r="K144" i="30"/>
  <c r="C156" i="30"/>
  <c r="C164" i="30"/>
  <c r="K152" i="30"/>
  <c r="K204" i="30"/>
  <c r="G241" i="19"/>
  <c r="K241" i="19" s="1"/>
  <c r="K225" i="19"/>
  <c r="C160" i="30"/>
  <c r="K148" i="30"/>
  <c r="C158" i="30"/>
  <c r="K146" i="30"/>
  <c r="D149" i="30"/>
  <c r="K137" i="30"/>
  <c r="C162" i="30"/>
  <c r="K150" i="30"/>
  <c r="K27" i="19"/>
  <c r="L27" i="19" s="1"/>
  <c r="M27" i="19" s="1"/>
  <c r="K187" i="19"/>
  <c r="G226" i="19"/>
  <c r="C157" i="30"/>
  <c r="K145" i="30"/>
  <c r="D143" i="30"/>
  <c r="K131" i="30"/>
  <c r="K151" i="30"/>
  <c r="C163" i="30"/>
  <c r="C166" i="30"/>
  <c r="K154" i="30"/>
  <c r="G165" i="19"/>
  <c r="K165" i="19" s="1"/>
  <c r="L165" i="19" s="1"/>
  <c r="M165" i="19" s="1"/>
  <c r="K175" i="19"/>
  <c r="G176" i="19"/>
  <c r="G188" i="19"/>
  <c r="K198" i="19"/>
  <c r="K197" i="19"/>
  <c r="G4" i="19"/>
  <c r="K4" i="19" s="1"/>
  <c r="L4" i="19" s="1"/>
  <c r="M4" i="19" s="1"/>
  <c r="N204" i="19" l="1"/>
  <c r="L204" i="30"/>
  <c r="M204" i="30" s="1"/>
  <c r="C171" i="30"/>
  <c r="K159" i="30"/>
  <c r="C169" i="30"/>
  <c r="K157" i="30"/>
  <c r="D161" i="30"/>
  <c r="K149" i="30"/>
  <c r="K160" i="30"/>
  <c r="C172" i="30"/>
  <c r="K205" i="30"/>
  <c r="G242" i="19"/>
  <c r="K242" i="19" s="1"/>
  <c r="K226" i="19"/>
  <c r="K188" i="19"/>
  <c r="G227" i="19"/>
  <c r="C178" i="30"/>
  <c r="K166" i="30"/>
  <c r="D155" i="30"/>
  <c r="K143" i="30"/>
  <c r="C174" i="30"/>
  <c r="K162" i="30"/>
  <c r="C170" i="30"/>
  <c r="K158" i="30"/>
  <c r="C168" i="30"/>
  <c r="K156" i="30"/>
  <c r="C175" i="30"/>
  <c r="K163" i="30"/>
  <c r="K196" i="19"/>
  <c r="C176" i="30"/>
  <c r="K164" i="30"/>
  <c r="C179" i="30"/>
  <c r="C189" i="30"/>
  <c r="K189" i="30" s="1"/>
  <c r="K177" i="30"/>
  <c r="C10" i="9"/>
  <c r="D10" i="9" s="1"/>
  <c r="E10" i="9" s="1"/>
  <c r="C152" i="28"/>
  <c r="O197" i="19"/>
  <c r="C11" i="9"/>
  <c r="D11" i="9" s="1"/>
  <c r="E11" i="9" s="1"/>
  <c r="C153" i="28"/>
  <c r="O198" i="19"/>
  <c r="G166" i="19"/>
  <c r="K166" i="19" s="1"/>
  <c r="K176" i="19"/>
  <c r="G177" i="19"/>
  <c r="G189" i="19"/>
  <c r="L197" i="19"/>
  <c r="M197" i="19" s="1"/>
  <c r="G3" i="19"/>
  <c r="K3" i="19" s="1"/>
  <c r="L3" i="19" s="1"/>
  <c r="M3" i="19" s="1"/>
  <c r="D5" i="11"/>
  <c r="D6" i="11" s="1"/>
  <c r="L278" i="19"/>
  <c r="M278" i="19" s="1"/>
  <c r="E5" i="11"/>
  <c r="K206" i="30" l="1"/>
  <c r="N206" i="19" s="1"/>
  <c r="K207" i="19"/>
  <c r="L207" i="19" s="1"/>
  <c r="M207" i="19" s="1"/>
  <c r="L166" i="19"/>
  <c r="M166" i="19" s="1"/>
  <c r="G243" i="19"/>
  <c r="K243" i="19" s="1"/>
  <c r="K227" i="19"/>
  <c r="N205" i="19"/>
  <c r="L205" i="30"/>
  <c r="M205" i="30" s="1"/>
  <c r="D173" i="30"/>
  <c r="K161" i="30"/>
  <c r="C183" i="30"/>
  <c r="K183" i="30" s="1"/>
  <c r="K171" i="30"/>
  <c r="K189" i="19"/>
  <c r="G228" i="19"/>
  <c r="C187" i="30"/>
  <c r="K187" i="30" s="1"/>
  <c r="K175" i="30"/>
  <c r="C182" i="30"/>
  <c r="K182" i="30" s="1"/>
  <c r="K170" i="30"/>
  <c r="D167" i="30"/>
  <c r="K155" i="30"/>
  <c r="C184" i="30"/>
  <c r="K184" i="30" s="1"/>
  <c r="K172" i="30"/>
  <c r="C188" i="30"/>
  <c r="K188" i="30" s="1"/>
  <c r="K176" i="30"/>
  <c r="C181" i="30"/>
  <c r="K181" i="30" s="1"/>
  <c r="K169" i="30"/>
  <c r="C151" i="28"/>
  <c r="O196" i="19"/>
  <c r="C9" i="9"/>
  <c r="D9" i="9" s="1"/>
  <c r="E9" i="9" s="1"/>
  <c r="C180" i="30"/>
  <c r="K180" i="30" s="1"/>
  <c r="K168" i="30"/>
  <c r="C186" i="30"/>
  <c r="K186" i="30" s="1"/>
  <c r="K174" i="30"/>
  <c r="C190" i="30"/>
  <c r="K190" i="30" s="1"/>
  <c r="K178" i="30"/>
  <c r="E159" i="28"/>
  <c r="F159" i="28" s="1"/>
  <c r="AH415" i="28" s="1"/>
  <c r="AI437" i="28" s="1"/>
  <c r="AH459" i="28" s="1"/>
  <c r="O204" i="19"/>
  <c r="D153" i="28"/>
  <c r="F153" i="28"/>
  <c r="D152" i="28"/>
  <c r="F152" i="28"/>
  <c r="G167" i="19"/>
  <c r="K167" i="19" s="1"/>
  <c r="K177" i="19"/>
  <c r="G178" i="19"/>
  <c r="G190" i="19"/>
  <c r="K194" i="19"/>
  <c r="O194" i="19" s="1"/>
  <c r="L279" i="19"/>
  <c r="M279" i="19" s="1"/>
  <c r="L280" i="19"/>
  <c r="M280" i="19" s="1"/>
  <c r="L199" i="19"/>
  <c r="M199" i="19" s="1"/>
  <c r="F5" i="11"/>
  <c r="F6" i="11" s="1"/>
  <c r="L198" i="19"/>
  <c r="M198" i="19" s="1"/>
  <c r="C5" i="11"/>
  <c r="L277" i="19"/>
  <c r="M277" i="19" s="1"/>
  <c r="L196" i="19"/>
  <c r="M196" i="19" s="1"/>
  <c r="E6" i="11"/>
  <c r="L206" i="30" l="1"/>
  <c r="M206" i="30" s="1"/>
  <c r="K207" i="30"/>
  <c r="N207" i="19" s="1"/>
  <c r="AH462" i="28"/>
  <c r="AL462" i="28" s="1"/>
  <c r="AH461" i="28"/>
  <c r="AL461" i="28" s="1"/>
  <c r="AH417" i="28"/>
  <c r="AH418" i="28"/>
  <c r="C20" i="9"/>
  <c r="D20" i="9" s="1"/>
  <c r="E20" i="9" s="1"/>
  <c r="C162" i="28"/>
  <c r="D162" i="28" s="1"/>
  <c r="N5" i="11"/>
  <c r="S371" i="28" s="1"/>
  <c r="E160" i="28"/>
  <c r="F160" i="28" s="1"/>
  <c r="AI459" i="28" s="1"/>
  <c r="O205" i="19"/>
  <c r="K190" i="19"/>
  <c r="G229" i="19"/>
  <c r="G244" i="19"/>
  <c r="K244" i="19" s="1"/>
  <c r="K228" i="19"/>
  <c r="E70" i="28"/>
  <c r="D70" i="28"/>
  <c r="D121" i="28" s="1"/>
  <c r="D37" i="28"/>
  <c r="F70" i="28"/>
  <c r="F121" i="28" s="1"/>
  <c r="E337" i="28"/>
  <c r="C70" i="28"/>
  <c r="C121" i="28" s="1"/>
  <c r="F337" i="28"/>
  <c r="B70" i="28"/>
  <c r="G159" i="28"/>
  <c r="D185" i="30"/>
  <c r="K185" i="30" s="1"/>
  <c r="K173" i="30"/>
  <c r="D179" i="30"/>
  <c r="K179" i="30" s="1"/>
  <c r="K167" i="30"/>
  <c r="N6" i="11"/>
  <c r="S372" i="28" s="1"/>
  <c r="F151" i="28"/>
  <c r="D151" i="28"/>
  <c r="L207" i="30"/>
  <c r="M207" i="30" s="1"/>
  <c r="E161" i="28"/>
  <c r="F161" i="28" s="1"/>
  <c r="AI481" i="28" s="1"/>
  <c r="AH503" i="28" s="1"/>
  <c r="O206" i="19"/>
  <c r="E63" i="28"/>
  <c r="E114" i="28" s="1"/>
  <c r="E330" i="28"/>
  <c r="F330" i="28"/>
  <c r="E64" i="28"/>
  <c r="E115" i="28" s="1"/>
  <c r="F331" i="28"/>
  <c r="E331" i="28"/>
  <c r="F64" i="28"/>
  <c r="F115" i="28" s="1"/>
  <c r="B64" i="28"/>
  <c r="B115" i="28" s="1"/>
  <c r="C64" i="28"/>
  <c r="C115" i="28" s="1"/>
  <c r="D64" i="28"/>
  <c r="D115" i="28" s="1"/>
  <c r="F63" i="28"/>
  <c r="F114" i="28" s="1"/>
  <c r="B63" i="28"/>
  <c r="B114" i="28" s="1"/>
  <c r="D63" i="28"/>
  <c r="D114" i="28" s="1"/>
  <c r="C63" i="28"/>
  <c r="C114" i="28" s="1"/>
  <c r="G153" i="28"/>
  <c r="D31" i="28"/>
  <c r="G152" i="28"/>
  <c r="D30" i="28"/>
  <c r="G168" i="19"/>
  <c r="K168" i="19" s="1"/>
  <c r="K178" i="19"/>
  <c r="G179" i="19"/>
  <c r="G218" i="19" s="1"/>
  <c r="C6" i="11"/>
  <c r="AH506" i="28" l="1"/>
  <c r="AL506" i="28" s="1"/>
  <c r="AH508" i="28"/>
  <c r="AL508" i="28" s="1"/>
  <c r="AH505" i="28"/>
  <c r="AL505" i="28" s="1"/>
  <c r="AH507" i="28"/>
  <c r="AL507" i="28" s="1"/>
  <c r="AL417" i="28"/>
  <c r="AI439" i="28"/>
  <c r="AL418" i="28"/>
  <c r="AI440" i="28"/>
  <c r="AI483" i="28"/>
  <c r="AI486" i="28"/>
  <c r="AI485" i="28"/>
  <c r="AI484" i="28"/>
  <c r="K209" i="30"/>
  <c r="N209" i="19" s="1"/>
  <c r="E164" i="28" s="1"/>
  <c r="G169" i="19"/>
  <c r="K169" i="19" s="1"/>
  <c r="E339" i="28"/>
  <c r="D73" i="28"/>
  <c r="D124" i="28" s="1"/>
  <c r="E73" i="28"/>
  <c r="C73" i="28"/>
  <c r="C124" i="28" s="1"/>
  <c r="D39" i="28"/>
  <c r="F339" i="28"/>
  <c r="B73" i="28"/>
  <c r="F73" i="28"/>
  <c r="F124" i="28" s="1"/>
  <c r="G161" i="28"/>
  <c r="G245" i="19"/>
  <c r="K245" i="19" s="1"/>
  <c r="K229" i="19"/>
  <c r="G234" i="19"/>
  <c r="K234" i="19" s="1"/>
  <c r="K218" i="19"/>
  <c r="F329" i="28"/>
  <c r="B62" i="28"/>
  <c r="E329" i="28"/>
  <c r="C62" i="28"/>
  <c r="C113" i="28" s="1"/>
  <c r="F62" i="28"/>
  <c r="F113" i="28" s="1"/>
  <c r="G151" i="28"/>
  <c r="E62" i="28"/>
  <c r="E113" i="28" s="1"/>
  <c r="D62" i="28"/>
  <c r="D113" i="28" s="1"/>
  <c r="D29" i="28"/>
  <c r="E29" i="28" s="1"/>
  <c r="G337" i="28"/>
  <c r="B121" i="28"/>
  <c r="G70" i="28"/>
  <c r="E162" i="28"/>
  <c r="F162" i="28" s="1"/>
  <c r="E74" i="28" s="1"/>
  <c r="O207" i="19"/>
  <c r="K208" i="30"/>
  <c r="N208" i="19" s="1"/>
  <c r="E163" i="28" s="1"/>
  <c r="E72" i="28"/>
  <c r="D72" i="28"/>
  <c r="D123" i="28" s="1"/>
  <c r="F338" i="28"/>
  <c r="B72" i="28"/>
  <c r="G160" i="28"/>
  <c r="E338" i="28"/>
  <c r="F72" i="28"/>
  <c r="F123" i="28" s="1"/>
  <c r="D38" i="28"/>
  <c r="E38" i="28" s="1"/>
  <c r="C72" i="28"/>
  <c r="C123" i="28" s="1"/>
  <c r="G331" i="28"/>
  <c r="G330" i="28"/>
  <c r="G64" i="28"/>
  <c r="G63" i="28"/>
  <c r="E31" i="28"/>
  <c r="E32" i="28"/>
  <c r="K179" i="19"/>
  <c r="G180" i="19"/>
  <c r="G219" i="19" s="1"/>
  <c r="F340" i="28" l="1"/>
  <c r="AI503" i="28"/>
  <c r="AM485" i="28"/>
  <c r="AM439" i="28"/>
  <c r="AM486" i="28"/>
  <c r="AM483" i="28"/>
  <c r="AM484" i="28"/>
  <c r="AM440" i="28"/>
  <c r="D40" i="28"/>
  <c r="E40" i="28" s="1"/>
  <c r="D74" i="28"/>
  <c r="D125" i="28" s="1"/>
  <c r="E340" i="28"/>
  <c r="G162" i="28"/>
  <c r="C74" i="28"/>
  <c r="C125" i="28" s="1"/>
  <c r="G170" i="19"/>
  <c r="K170" i="19" s="1"/>
  <c r="B74" i="28"/>
  <c r="B125" i="28" s="1"/>
  <c r="G338" i="28"/>
  <c r="E39" i="28"/>
  <c r="G339" i="28"/>
  <c r="B123" i="28"/>
  <c r="G72" i="28"/>
  <c r="G329" i="28"/>
  <c r="E30" i="28"/>
  <c r="F74" i="28"/>
  <c r="F125" i="28" s="1"/>
  <c r="B113" i="28"/>
  <c r="G62" i="28"/>
  <c r="B124" i="28"/>
  <c r="G73" i="28"/>
  <c r="G235" i="19"/>
  <c r="K235" i="19" s="1"/>
  <c r="K219" i="19"/>
  <c r="K180" i="19"/>
  <c r="G181" i="19"/>
  <c r="G220" i="19" s="1"/>
  <c r="G340" i="28" l="1"/>
  <c r="AH525" i="28"/>
  <c r="AI506" i="28"/>
  <c r="AI508" i="28"/>
  <c r="AI505" i="28"/>
  <c r="AI507" i="28"/>
  <c r="G171" i="19"/>
  <c r="K171" i="19" s="1"/>
  <c r="K208" i="19" s="1"/>
  <c r="C163" i="28" s="1"/>
  <c r="G236" i="19"/>
  <c r="K236" i="19" s="1"/>
  <c r="K220" i="19"/>
  <c r="G74" i="28"/>
  <c r="K181" i="19"/>
  <c r="G182" i="19"/>
  <c r="G221" i="19" s="1"/>
  <c r="AH511" i="28" l="1"/>
  <c r="AM505" i="28"/>
  <c r="AL511" i="28" s="1"/>
  <c r="AM508" i="28"/>
  <c r="AL514" i="28" s="1"/>
  <c r="AH514" i="28"/>
  <c r="AH512" i="28"/>
  <c r="AM506" i="28"/>
  <c r="AL512" i="28" s="1"/>
  <c r="AM507" i="28"/>
  <c r="AL513" i="28" s="1"/>
  <c r="AH513" i="28"/>
  <c r="AH527" i="28"/>
  <c r="AL527" i="28" s="1"/>
  <c r="AH528" i="28"/>
  <c r="AL528" i="28" s="1"/>
  <c r="AH530" i="28"/>
  <c r="AL530" i="28" s="1"/>
  <c r="AH529" i="28"/>
  <c r="AL529" i="28" s="1"/>
  <c r="G237" i="19"/>
  <c r="K237" i="19" s="1"/>
  <c r="K221" i="19"/>
  <c r="F163" i="28"/>
  <c r="E75" i="28" s="1"/>
  <c r="K182" i="19"/>
  <c r="G183" i="19"/>
  <c r="C21" i="9"/>
  <c r="G21" i="9" s="1"/>
  <c r="G68" i="9" s="1"/>
  <c r="O5" i="11"/>
  <c r="T371" i="28" s="1"/>
  <c r="T376" i="28" s="1"/>
  <c r="C7" i="9"/>
  <c r="D7" i="9" s="1"/>
  <c r="E7" i="9" s="1"/>
  <c r="B5" i="11"/>
  <c r="B6" i="11" s="1"/>
  <c r="K183" i="19" l="1"/>
  <c r="K209" i="19" s="1"/>
  <c r="C164" i="28" s="1"/>
  <c r="G222" i="19"/>
  <c r="L194" i="19"/>
  <c r="M194" i="19" s="1"/>
  <c r="L275" i="19"/>
  <c r="M275" i="19" s="1"/>
  <c r="L276" i="19"/>
  <c r="M276" i="19" s="1"/>
  <c r="L195" i="19"/>
  <c r="M195" i="19" s="1"/>
  <c r="G238" i="19" l="1"/>
  <c r="K238" i="19" s="1"/>
  <c r="K222" i="19"/>
  <c r="F164" i="28"/>
  <c r="E76" i="28" s="1"/>
  <c r="C22" i="9"/>
  <c r="G22" i="9" s="1"/>
  <c r="G69" i="9" s="1"/>
  <c r="P5" i="11"/>
  <c r="U371" i="28" s="1"/>
  <c r="U376" i="28" s="1"/>
  <c r="F46" i="17"/>
  <c r="G46" i="17" l="1"/>
  <c r="F10" i="17"/>
  <c r="F9" i="17"/>
  <c r="L35" i="9" l="1"/>
  <c r="L51" i="9" s="1"/>
  <c r="F178" i="28"/>
  <c r="L36" i="9"/>
  <c r="L53" i="9" s="1"/>
  <c r="F179" i="28"/>
  <c r="F26" i="17"/>
  <c r="L26" i="17" s="1"/>
  <c r="G9" i="17"/>
  <c r="G88" i="30" s="1"/>
  <c r="F25" i="17"/>
  <c r="L25" i="17" s="1"/>
  <c r="H33" i="11"/>
  <c r="G10" i="17"/>
  <c r="G100" i="30" s="1"/>
  <c r="I33" i="11"/>
  <c r="F27" i="17"/>
  <c r="L27" i="17" s="1"/>
  <c r="L52" i="9" l="1"/>
  <c r="L61" i="9" s="1"/>
  <c r="E246" i="28" s="1"/>
  <c r="G101" i="30"/>
  <c r="K100" i="30"/>
  <c r="I38" i="11"/>
  <c r="F88" i="28"/>
  <c r="F197" i="28"/>
  <c r="F198" i="28"/>
  <c r="G179" i="28"/>
  <c r="H38" i="11"/>
  <c r="F87" i="28"/>
  <c r="F196" i="28"/>
  <c r="G178" i="28"/>
  <c r="G89" i="30"/>
  <c r="G77" i="30"/>
  <c r="K88" i="30"/>
  <c r="G100" i="19"/>
  <c r="K100" i="19" s="1"/>
  <c r="L100" i="19" s="1"/>
  <c r="M100" i="19" s="1"/>
  <c r="I43" i="11"/>
  <c r="F35" i="17"/>
  <c r="F203" i="28" s="1"/>
  <c r="G88" i="19"/>
  <c r="K88" i="19" s="1"/>
  <c r="L88" i="19" s="1"/>
  <c r="M88" i="19" s="1"/>
  <c r="H43" i="11"/>
  <c r="G78" i="30" l="1"/>
  <c r="K77" i="30"/>
  <c r="G90" i="30"/>
  <c r="K89" i="30"/>
  <c r="F105" i="28"/>
  <c r="E221" i="28" s="1"/>
  <c r="G88" i="28"/>
  <c r="H48" i="11"/>
  <c r="F34" i="28"/>
  <c r="G34" i="28" s="1"/>
  <c r="I48" i="11"/>
  <c r="F35" i="28"/>
  <c r="F104" i="28"/>
  <c r="E220" i="28" s="1"/>
  <c r="E239" i="28" s="1"/>
  <c r="G87" i="28"/>
  <c r="G102" i="30"/>
  <c r="K101" i="30"/>
  <c r="G89" i="19"/>
  <c r="K89" i="19" s="1"/>
  <c r="L89" i="19" s="1"/>
  <c r="M89" i="19" s="1"/>
  <c r="G77" i="19"/>
  <c r="K77" i="19" s="1"/>
  <c r="L77" i="19" s="1"/>
  <c r="M77" i="19" s="1"/>
  <c r="G101" i="19"/>
  <c r="K101" i="19" s="1"/>
  <c r="L101" i="19" s="1"/>
  <c r="M101" i="19" s="1"/>
  <c r="G103" i="30" l="1"/>
  <c r="K102" i="30"/>
  <c r="G91" i="30"/>
  <c r="K90" i="30"/>
  <c r="G35" i="28"/>
  <c r="G36" i="28"/>
  <c r="E240" i="28"/>
  <c r="E241" i="28"/>
  <c r="G79" i="30"/>
  <c r="K78" i="30"/>
  <c r="G90" i="19"/>
  <c r="K90" i="19" s="1"/>
  <c r="L90" i="19" s="1"/>
  <c r="M90" i="19" s="1"/>
  <c r="G102" i="19"/>
  <c r="K102" i="19" s="1"/>
  <c r="L102" i="19" s="1"/>
  <c r="M102" i="19" s="1"/>
  <c r="G78" i="19"/>
  <c r="K78" i="19" s="1"/>
  <c r="L78" i="19" s="1"/>
  <c r="M78" i="19" s="1"/>
  <c r="G92" i="30" l="1"/>
  <c r="K91" i="30"/>
  <c r="G80" i="30"/>
  <c r="K79" i="30"/>
  <c r="G104" i="30"/>
  <c r="K103" i="30"/>
  <c r="G103" i="19"/>
  <c r="K103" i="19" s="1"/>
  <c r="L103" i="19" s="1"/>
  <c r="M103" i="19" s="1"/>
  <c r="G91" i="19"/>
  <c r="K91" i="19" s="1"/>
  <c r="L91" i="19" s="1"/>
  <c r="M91" i="19" s="1"/>
  <c r="G79" i="19"/>
  <c r="K79" i="19" s="1"/>
  <c r="L79" i="19" s="1"/>
  <c r="M79" i="19" s="1"/>
  <c r="G105" i="30" l="1"/>
  <c r="K104" i="30"/>
  <c r="G81" i="30"/>
  <c r="K80" i="30"/>
  <c r="G93" i="30"/>
  <c r="K92" i="30"/>
  <c r="G104" i="19"/>
  <c r="K104" i="19" s="1"/>
  <c r="L104" i="19" s="1"/>
  <c r="M104" i="19" s="1"/>
  <c r="L72" i="9"/>
  <c r="G64" i="9"/>
  <c r="K87" i="9" s="1"/>
  <c r="M87" i="9" s="1"/>
  <c r="L73" i="9"/>
  <c r="G65" i="9"/>
  <c r="G92" i="19"/>
  <c r="K92" i="19" s="1"/>
  <c r="L92" i="19" s="1"/>
  <c r="M92" i="19" s="1"/>
  <c r="G80" i="19"/>
  <c r="K80" i="19" s="1"/>
  <c r="L80" i="19" s="1"/>
  <c r="M80" i="19" s="1"/>
  <c r="G82" i="30" l="1"/>
  <c r="K81" i="30"/>
  <c r="G94" i="30"/>
  <c r="K93" i="30"/>
  <c r="G106" i="30"/>
  <c r="K105" i="30"/>
  <c r="M73" i="9"/>
  <c r="K85" i="9"/>
  <c r="G72" i="9"/>
  <c r="M72" i="9"/>
  <c r="G81" i="19"/>
  <c r="K81" i="19" s="1"/>
  <c r="L81" i="19" s="1"/>
  <c r="M81" i="19" s="1"/>
  <c r="G93" i="19"/>
  <c r="K93" i="19" s="1"/>
  <c r="L93" i="19" s="1"/>
  <c r="M93" i="19" s="1"/>
  <c r="K88" i="9"/>
  <c r="G73" i="9"/>
  <c r="G105" i="19"/>
  <c r="K105" i="19" s="1"/>
  <c r="L105" i="19" s="1"/>
  <c r="M105" i="19" s="1"/>
  <c r="G95" i="30" l="1"/>
  <c r="K94" i="30"/>
  <c r="G83" i="30"/>
  <c r="K82" i="30"/>
  <c r="K200" i="30" s="1"/>
  <c r="G107" i="30"/>
  <c r="K106" i="30"/>
  <c r="K80" i="9"/>
  <c r="M80" i="9" s="1"/>
  <c r="K81" i="9"/>
  <c r="M81" i="9" s="1"/>
  <c r="L77" i="9"/>
  <c r="L76" i="9"/>
  <c r="G106" i="19"/>
  <c r="K106" i="19" s="1"/>
  <c r="L106" i="19" s="1"/>
  <c r="M106" i="19" s="1"/>
  <c r="G82" i="19"/>
  <c r="K82" i="19" s="1"/>
  <c r="L82" i="19" s="1"/>
  <c r="M82" i="19" s="1"/>
  <c r="M88" i="9"/>
  <c r="I77" i="9"/>
  <c r="K77" i="9"/>
  <c r="E316" i="28" s="1"/>
  <c r="E322" i="28" s="1"/>
  <c r="C364" i="28" s="1"/>
  <c r="H77" i="9"/>
  <c r="J77" i="9"/>
  <c r="J69" i="9" s="1"/>
  <c r="G94" i="19"/>
  <c r="K94" i="19" s="1"/>
  <c r="L94" i="19" s="1"/>
  <c r="M94" i="19" s="1"/>
  <c r="H76" i="9"/>
  <c r="I76" i="9"/>
  <c r="J76" i="9"/>
  <c r="K76" i="9"/>
  <c r="E315" i="28" s="1"/>
  <c r="E321" i="28" s="1"/>
  <c r="C363" i="28" s="1"/>
  <c r="M85" i="9"/>
  <c r="N200" i="19" l="1"/>
  <c r="E155" i="28" s="1"/>
  <c r="L200" i="30"/>
  <c r="M200" i="30" s="1"/>
  <c r="L281" i="30"/>
  <c r="M281" i="30" s="1"/>
  <c r="O8" i="11"/>
  <c r="O9" i="11" s="1"/>
  <c r="T377" i="28"/>
  <c r="G108" i="30"/>
  <c r="K107" i="30"/>
  <c r="G84" i="30"/>
  <c r="K83" i="30"/>
  <c r="G96" i="30"/>
  <c r="K95" i="30"/>
  <c r="P8" i="11"/>
  <c r="P9" i="11" s="1"/>
  <c r="U377" i="28"/>
  <c r="U378" i="28" s="1"/>
  <c r="H68" i="9"/>
  <c r="O16" i="11" s="1"/>
  <c r="B315" i="28"/>
  <c r="I69" i="9"/>
  <c r="P20" i="11" s="1"/>
  <c r="C316" i="28"/>
  <c r="C322" i="28" s="1"/>
  <c r="J68" i="9"/>
  <c r="B15" i="18" s="1"/>
  <c r="D315" i="28"/>
  <c r="D321" i="28" s="1"/>
  <c r="B363" i="28" s="1"/>
  <c r="D363" i="28" s="1"/>
  <c r="B16" i="18"/>
  <c r="D316" i="28"/>
  <c r="D322" i="28" s="1"/>
  <c r="I68" i="9"/>
  <c r="O20" i="11" s="1"/>
  <c r="C315" i="28"/>
  <c r="C321" i="28" s="1"/>
  <c r="H69" i="9"/>
  <c r="P16" i="11" s="1"/>
  <c r="B316" i="28"/>
  <c r="K68" i="9"/>
  <c r="K69" i="9"/>
  <c r="J35" i="11"/>
  <c r="N397" i="28" s="1"/>
  <c r="AF442" i="28" s="1"/>
  <c r="AJ442" i="28" s="1"/>
  <c r="L68" i="9"/>
  <c r="L69" i="9"/>
  <c r="P34" i="11" s="1"/>
  <c r="K35" i="11"/>
  <c r="P397" i="28" s="1"/>
  <c r="AF420" i="28" s="1"/>
  <c r="J30" i="11"/>
  <c r="G95" i="19"/>
  <c r="K95" i="19" s="1"/>
  <c r="L95" i="19" s="1"/>
  <c r="M95" i="19" s="1"/>
  <c r="G107" i="19"/>
  <c r="K107" i="19" s="1"/>
  <c r="L107" i="19" s="1"/>
  <c r="M107" i="19" s="1"/>
  <c r="M76" i="9"/>
  <c r="M77" i="9"/>
  <c r="G83" i="19"/>
  <c r="K83" i="19" s="1"/>
  <c r="L83" i="19" s="1"/>
  <c r="M83" i="19" s="1"/>
  <c r="K200" i="19"/>
  <c r="G97" i="30" l="1"/>
  <c r="K96" i="30"/>
  <c r="AG442" i="28"/>
  <c r="AF426" i="28"/>
  <c r="AJ420" i="28"/>
  <c r="AH420" i="28"/>
  <c r="G85" i="30"/>
  <c r="K84" i="30"/>
  <c r="G109" i="30"/>
  <c r="K108" i="30"/>
  <c r="B364" i="28"/>
  <c r="D364" i="28" s="1"/>
  <c r="O24" i="11"/>
  <c r="D75" i="28" s="1"/>
  <c r="D126" i="28" s="1"/>
  <c r="T387" i="28"/>
  <c r="AG528" i="28" s="1"/>
  <c r="C75" i="28"/>
  <c r="C126" i="28" s="1"/>
  <c r="U383" i="28"/>
  <c r="AG549" i="28" s="1"/>
  <c r="B76" i="28"/>
  <c r="U387" i="28"/>
  <c r="AG550" i="28" s="1"/>
  <c r="C76" i="28"/>
  <c r="C127" i="28" s="1"/>
  <c r="U396" i="28"/>
  <c r="F76" i="28"/>
  <c r="F127" i="28" s="1"/>
  <c r="F315" i="28"/>
  <c r="F321" i="28" s="1"/>
  <c r="B321" i="28"/>
  <c r="P24" i="11"/>
  <c r="T383" i="28"/>
  <c r="AG527" i="28" s="1"/>
  <c r="B75" i="28"/>
  <c r="F316" i="28"/>
  <c r="F322" i="28" s="1"/>
  <c r="B322" i="28"/>
  <c r="T391" i="28"/>
  <c r="C155" i="28"/>
  <c r="O200" i="19"/>
  <c r="K30" i="11"/>
  <c r="P29" i="11"/>
  <c r="J29" i="11"/>
  <c r="J39" i="11" s="1"/>
  <c r="J49" i="11" s="1"/>
  <c r="O29" i="11"/>
  <c r="N29" i="11"/>
  <c r="D15" i="18"/>
  <c r="O35" i="11" s="1"/>
  <c r="T397" i="28" s="1"/>
  <c r="AG530" i="28" s="1"/>
  <c r="O34" i="11"/>
  <c r="O25" i="11"/>
  <c r="T392" i="28" s="1"/>
  <c r="AG529" i="28" s="1"/>
  <c r="P25" i="11"/>
  <c r="U392" i="28" s="1"/>
  <c r="AG551" i="28" s="1"/>
  <c r="C13" i="9"/>
  <c r="D13" i="9" s="1"/>
  <c r="E13" i="9" s="1"/>
  <c r="D16" i="18"/>
  <c r="P35" i="11" s="1"/>
  <c r="U397" i="28" s="1"/>
  <c r="AG552" i="28" s="1"/>
  <c r="G84" i="19"/>
  <c r="K84" i="19" s="1"/>
  <c r="L84" i="19" s="1"/>
  <c r="M84" i="19" s="1"/>
  <c r="G108" i="19"/>
  <c r="K108" i="19" s="1"/>
  <c r="L108" i="19" s="1"/>
  <c r="M108" i="19" s="1"/>
  <c r="M68" i="9"/>
  <c r="G96" i="19"/>
  <c r="K96" i="19" s="1"/>
  <c r="L96" i="19" s="1"/>
  <c r="M96" i="19" s="1"/>
  <c r="L281" i="19"/>
  <c r="M281" i="19" s="1"/>
  <c r="G5" i="11"/>
  <c r="L200" i="19"/>
  <c r="M200" i="19" s="1"/>
  <c r="M69" i="9"/>
  <c r="P11" i="11" s="1"/>
  <c r="N39" i="11" l="1"/>
  <c r="N49" i="11" s="1"/>
  <c r="AF464" i="28"/>
  <c r="AF448" i="28"/>
  <c r="AK442" i="28"/>
  <c r="AJ448" i="28" s="1"/>
  <c r="G110" i="30"/>
  <c r="K109" i="30"/>
  <c r="AI551" i="28"/>
  <c r="AK551" i="28"/>
  <c r="AI549" i="28"/>
  <c r="AK549" i="28"/>
  <c r="AK552" i="28"/>
  <c r="AI552" i="28"/>
  <c r="AI550" i="28"/>
  <c r="AK550" i="28"/>
  <c r="AF533" i="28"/>
  <c r="AF549" i="28"/>
  <c r="AI527" i="28"/>
  <c r="AK527" i="28"/>
  <c r="AJ533" i="28" s="1"/>
  <c r="G98" i="30"/>
  <c r="K97" i="30"/>
  <c r="AF535" i="28"/>
  <c r="AF551" i="28"/>
  <c r="AF557" i="28" s="1"/>
  <c r="AI529" i="28"/>
  <c r="AK529" i="28"/>
  <c r="AJ535" i="28" s="1"/>
  <c r="G86" i="30"/>
  <c r="K85" i="30"/>
  <c r="AF552" i="28"/>
  <c r="AF558" i="28" s="1"/>
  <c r="AI530" i="28"/>
  <c r="AF536" i="28"/>
  <c r="AK530" i="28"/>
  <c r="AJ536" i="28" s="1"/>
  <c r="AK528" i="28"/>
  <c r="AJ534" i="28" s="1"/>
  <c r="AF550" i="28"/>
  <c r="AF556" i="28" s="1"/>
  <c r="AI528" i="28"/>
  <c r="AF534" i="28"/>
  <c r="AI442" i="28"/>
  <c r="AM442" i="28" s="1"/>
  <c r="AL420" i="28"/>
  <c r="AH426" i="28"/>
  <c r="T402" i="28"/>
  <c r="U391" i="28"/>
  <c r="U401" i="28" s="1"/>
  <c r="D76" i="28"/>
  <c r="D127" i="28" s="1"/>
  <c r="B126" i="28"/>
  <c r="U402" i="28"/>
  <c r="B127" i="28"/>
  <c r="T396" i="28"/>
  <c r="T401" i="28" s="1"/>
  <c r="F75" i="28"/>
  <c r="F126" i="28" s="1"/>
  <c r="P39" i="11"/>
  <c r="D155" i="28"/>
  <c r="F155" i="28"/>
  <c r="E16" i="18"/>
  <c r="P45" i="11" s="1"/>
  <c r="P40" i="11"/>
  <c r="O11" i="11"/>
  <c r="D41" i="28" s="1"/>
  <c r="E41" i="28" s="1"/>
  <c r="O44" i="11"/>
  <c r="O40" i="11"/>
  <c r="D42" i="28"/>
  <c r="P44" i="11"/>
  <c r="E15" i="18"/>
  <c r="O45" i="11" s="1"/>
  <c r="O39" i="11"/>
  <c r="E10" i="18"/>
  <c r="J45" i="11" s="1"/>
  <c r="J25" i="11"/>
  <c r="G6" i="11"/>
  <c r="N69" i="9"/>
  <c r="K25" i="11"/>
  <c r="E11" i="18"/>
  <c r="K45" i="11" s="1"/>
  <c r="G109" i="19"/>
  <c r="K109" i="19" s="1"/>
  <c r="L109" i="19" s="1"/>
  <c r="M109" i="19" s="1"/>
  <c r="G97" i="19"/>
  <c r="K97" i="19" s="1"/>
  <c r="L97" i="19" s="1"/>
  <c r="M97" i="19" s="1"/>
  <c r="N68" i="9"/>
  <c r="G85" i="19"/>
  <c r="K85" i="19" s="1"/>
  <c r="L85" i="19" s="1"/>
  <c r="M85" i="19" s="1"/>
  <c r="G99" i="30" l="1"/>
  <c r="K99" i="30" s="1"/>
  <c r="K98" i="30"/>
  <c r="G87" i="30"/>
  <c r="K87" i="30" s="1"/>
  <c r="K86" i="30"/>
  <c r="G111" i="30"/>
  <c r="K111" i="30" s="1"/>
  <c r="K110" i="30"/>
  <c r="AH550" i="28"/>
  <c r="AL550" i="28" s="1"/>
  <c r="AJ550" i="28"/>
  <c r="AJ556" i="28" s="1"/>
  <c r="AJ549" i="28"/>
  <c r="AJ555" i="28" s="1"/>
  <c r="AH549" i="28"/>
  <c r="AL549" i="28" s="1"/>
  <c r="J40" i="11"/>
  <c r="J50" i="11" s="1"/>
  <c r="N392" i="28"/>
  <c r="N402" i="28" s="1"/>
  <c r="AM528" i="28"/>
  <c r="AL534" i="28" s="1"/>
  <c r="AH534" i="28"/>
  <c r="AH533" i="28"/>
  <c r="AM527" i="28"/>
  <c r="AL533" i="28" s="1"/>
  <c r="AH535" i="28"/>
  <c r="AM529" i="28"/>
  <c r="AL535" i="28" s="1"/>
  <c r="AM549" i="28"/>
  <c r="K40" i="11"/>
  <c r="K50" i="11" s="1"/>
  <c r="P392" i="28"/>
  <c r="AJ551" i="28"/>
  <c r="AJ557" i="28" s="1"/>
  <c r="AH551" i="28"/>
  <c r="AL551" i="28" s="1"/>
  <c r="AF555" i="28"/>
  <c r="AJ464" i="28"/>
  <c r="AJ470" i="28" s="1"/>
  <c r="AF470" i="28"/>
  <c r="AH464" i="28"/>
  <c r="AL464" i="28" s="1"/>
  <c r="AJ552" i="28"/>
  <c r="AJ558" i="28" s="1"/>
  <c r="AH552" i="28"/>
  <c r="AL552" i="28" s="1"/>
  <c r="AM551" i="28"/>
  <c r="AH557" i="28"/>
  <c r="AM552" i="28"/>
  <c r="AH536" i="28"/>
  <c r="AM530" i="28"/>
  <c r="AL536" i="28" s="1"/>
  <c r="AM550" i="28"/>
  <c r="P49" i="11"/>
  <c r="G76" i="28"/>
  <c r="G75" i="28"/>
  <c r="E42" i="28"/>
  <c r="E66" i="28"/>
  <c r="E117" i="28" s="1"/>
  <c r="F333" i="28"/>
  <c r="E333" i="28"/>
  <c r="F66" i="28"/>
  <c r="F117" i="28" s="1"/>
  <c r="D66" i="28"/>
  <c r="D117" i="28" s="1"/>
  <c r="B66" i="28"/>
  <c r="B117" i="28" s="1"/>
  <c r="C66" i="28"/>
  <c r="C117" i="28" s="1"/>
  <c r="G155" i="28"/>
  <c r="D33" i="28"/>
  <c r="E33" i="28" s="1"/>
  <c r="P50" i="11"/>
  <c r="O50" i="11"/>
  <c r="O49" i="11"/>
  <c r="G98" i="19"/>
  <c r="K98" i="19" s="1"/>
  <c r="L98" i="19" s="1"/>
  <c r="M98" i="19" s="1"/>
  <c r="G86" i="19"/>
  <c r="K86" i="19" s="1"/>
  <c r="L86" i="19" s="1"/>
  <c r="M86" i="19" s="1"/>
  <c r="G110" i="19"/>
  <c r="K110" i="19" s="1"/>
  <c r="L110" i="19" s="1"/>
  <c r="M110" i="19" s="1"/>
  <c r="K203" i="30" l="1"/>
  <c r="L203" i="30" s="1"/>
  <c r="M203" i="30" s="1"/>
  <c r="AL555" i="28"/>
  <c r="AL557" i="28"/>
  <c r="K201" i="30"/>
  <c r="L282" i="30" s="1"/>
  <c r="M282" i="30" s="1"/>
  <c r="AL556" i="28"/>
  <c r="AH558" i="28"/>
  <c r="AL558" i="28"/>
  <c r="AH556" i="28"/>
  <c r="N203" i="19"/>
  <c r="E158" i="28" s="1"/>
  <c r="AH555" i="28"/>
  <c r="AF441" i="28"/>
  <c r="AJ441" i="28" s="1"/>
  <c r="K192" i="30"/>
  <c r="K202" i="30"/>
  <c r="AF419" i="28"/>
  <c r="P402" i="28"/>
  <c r="G333" i="28"/>
  <c r="G66" i="28"/>
  <c r="G111" i="19"/>
  <c r="K111" i="19" s="1"/>
  <c r="L111" i="19" s="1"/>
  <c r="M111" i="19" s="1"/>
  <c r="G87" i="19"/>
  <c r="K87" i="19" s="1"/>
  <c r="L87" i="19" s="1"/>
  <c r="M87" i="19" s="1"/>
  <c r="G99" i="19"/>
  <c r="K99" i="19" s="1"/>
  <c r="L99" i="19" s="1"/>
  <c r="M99" i="19" s="1"/>
  <c r="K213" i="30" l="1"/>
  <c r="L213" i="30" s="1"/>
  <c r="N201" i="19"/>
  <c r="E156" i="28" s="1"/>
  <c r="L201" i="30"/>
  <c r="M201" i="30" s="1"/>
  <c r="L289" i="30"/>
  <c r="L283" i="30"/>
  <c r="M283" i="30" s="1"/>
  <c r="L202" i="30"/>
  <c r="M202" i="30" s="1"/>
  <c r="N202" i="19"/>
  <c r="E157" i="28" s="1"/>
  <c r="K211" i="30"/>
  <c r="AG441" i="28"/>
  <c r="AF425" i="28"/>
  <c r="AJ419" i="28"/>
  <c r="AJ425" i="28" s="1"/>
  <c r="AH419" i="28"/>
  <c r="M167" i="19"/>
  <c r="I134" i="28" s="1"/>
  <c r="K201" i="19"/>
  <c r="K202" i="19"/>
  <c r="K192" i="19"/>
  <c r="AK441" i="28" l="1"/>
  <c r="AJ447" i="28" s="1"/>
  <c r="AF463" i="28"/>
  <c r="AF447" i="28"/>
  <c r="L211" i="30"/>
  <c r="L287" i="30"/>
  <c r="AI441" i="28"/>
  <c r="AM441" i="28" s="1"/>
  <c r="AL419" i="28"/>
  <c r="AL425" i="28" s="1"/>
  <c r="AH425" i="28"/>
  <c r="L282" i="19"/>
  <c r="M282" i="19" s="1"/>
  <c r="C156" i="28"/>
  <c r="O201" i="19"/>
  <c r="C157" i="28"/>
  <c r="O202" i="19"/>
  <c r="H5" i="11"/>
  <c r="L202" i="19"/>
  <c r="M202" i="19" s="1"/>
  <c r="C15" i="9"/>
  <c r="D15" i="9" s="1"/>
  <c r="E15" i="9" s="1"/>
  <c r="C14" i="9"/>
  <c r="D14" i="9" s="1"/>
  <c r="E14" i="9" s="1"/>
  <c r="I5" i="11"/>
  <c r="L201" i="19"/>
  <c r="M201" i="19" s="1"/>
  <c r="L283" i="19"/>
  <c r="M283" i="19" s="1"/>
  <c r="L245" i="19"/>
  <c r="C166" i="28" s="1"/>
  <c r="L229" i="19"/>
  <c r="C165" i="28" s="1"/>
  <c r="K203" i="19"/>
  <c r="AJ463" i="28" l="1"/>
  <c r="AJ469" i="28" s="1"/>
  <c r="AF469" i="28"/>
  <c r="AH463" i="28"/>
  <c r="AL463" i="28" s="1"/>
  <c r="D156" i="28"/>
  <c r="F156" i="28"/>
  <c r="D157" i="28"/>
  <c r="F157" i="28"/>
  <c r="C158" i="28"/>
  <c r="O203" i="19"/>
  <c r="I6" i="11"/>
  <c r="H6" i="11"/>
  <c r="C16" i="9"/>
  <c r="J5" i="11"/>
  <c r="N371" i="28" s="1"/>
  <c r="K213" i="19"/>
  <c r="L289" i="19" s="1"/>
  <c r="L203" i="19"/>
  <c r="M203" i="19" s="1"/>
  <c r="K211" i="19"/>
  <c r="E68" i="28" l="1"/>
  <c r="E335" i="28"/>
  <c r="F335" i="28"/>
  <c r="E67" i="28"/>
  <c r="E334" i="28"/>
  <c r="F334" i="28"/>
  <c r="B68" i="28"/>
  <c r="B119" i="28" s="1"/>
  <c r="F68" i="28"/>
  <c r="F119" i="28" s="1"/>
  <c r="C68" i="28"/>
  <c r="C119" i="28" s="1"/>
  <c r="D68" i="28"/>
  <c r="D119" i="28" s="1"/>
  <c r="B67" i="28"/>
  <c r="B118" i="28" s="1"/>
  <c r="C67" i="28"/>
  <c r="C118" i="28" s="1"/>
  <c r="D67" i="28"/>
  <c r="D118" i="28" s="1"/>
  <c r="F67" i="28"/>
  <c r="F118" i="28" s="1"/>
  <c r="G157" i="28"/>
  <c r="D35" i="28"/>
  <c r="G156" i="28"/>
  <c r="D34" i="28"/>
  <c r="E34" i="28" s="1"/>
  <c r="D158" i="28"/>
  <c r="F158" i="28"/>
  <c r="AH437" i="28" s="1"/>
  <c r="J6" i="11"/>
  <c r="N372" i="28" s="1"/>
  <c r="T378" i="28"/>
  <c r="D16" i="9"/>
  <c r="E16" i="9" s="1"/>
  <c r="L213" i="19"/>
  <c r="L211" i="19"/>
  <c r="L287" i="19"/>
  <c r="AH440" i="28" l="1"/>
  <c r="AH442" i="28"/>
  <c r="AH439" i="28"/>
  <c r="AH441" i="28"/>
  <c r="G334" i="28"/>
  <c r="E69" i="28"/>
  <c r="F336" i="28"/>
  <c r="E336" i="28"/>
  <c r="G335" i="28"/>
  <c r="F69" i="28"/>
  <c r="F120" i="28" s="1"/>
  <c r="C69" i="28"/>
  <c r="C120" i="28" s="1"/>
  <c r="B69" i="28"/>
  <c r="B120" i="28" s="1"/>
  <c r="D69" i="28"/>
  <c r="D120" i="28" s="1"/>
  <c r="G67" i="28"/>
  <c r="G68" i="28"/>
  <c r="G158" i="28"/>
  <c r="D36" i="28"/>
  <c r="E35" i="28"/>
  <c r="AL441" i="28" l="1"/>
  <c r="AL447" i="28" s="1"/>
  <c r="AH447" i="28"/>
  <c r="AH481" i="28"/>
  <c r="AH483" i="28" s="1"/>
  <c r="AI463" i="28"/>
  <c r="AI464" i="28"/>
  <c r="AI461" i="28"/>
  <c r="AI462" i="28"/>
  <c r="AL439" i="28"/>
  <c r="AL445" i="28" s="1"/>
  <c r="AH445" i="28"/>
  <c r="AL442" i="28"/>
  <c r="AL448" i="28" s="1"/>
  <c r="AH448" i="28"/>
  <c r="AL440" i="28"/>
  <c r="AL446" i="28" s="1"/>
  <c r="AH446" i="28"/>
  <c r="G91" i="28"/>
  <c r="F26" i="28" s="1"/>
  <c r="G336" i="28"/>
  <c r="G69" i="28"/>
  <c r="E36" i="28"/>
  <c r="E37" i="28"/>
  <c r="P25" i="28"/>
  <c r="O387" i="28" s="1"/>
  <c r="P27" i="28"/>
  <c r="O396" i="28" s="1"/>
  <c r="AM464" i="28" l="1"/>
  <c r="AL470" i="28" s="1"/>
  <c r="AH470" i="28"/>
  <c r="AH469" i="28"/>
  <c r="AM463" i="28"/>
  <c r="AL469" i="28" s="1"/>
  <c r="AM462" i="28"/>
  <c r="AL468" i="28" s="1"/>
  <c r="AH468" i="28"/>
  <c r="AH485" i="28"/>
  <c r="AH484" i="28"/>
  <c r="AH486" i="28"/>
  <c r="AM461" i="28"/>
  <c r="AL467" i="28" s="1"/>
  <c r="AH467" i="28"/>
  <c r="O400" i="28"/>
  <c r="F71" i="28"/>
  <c r="F122" i="28" s="1"/>
  <c r="P26" i="28"/>
  <c r="C71" i="28"/>
  <c r="C122" i="28" s="1"/>
  <c r="AG418" i="28"/>
  <c r="P28" i="28" l="1"/>
  <c r="O391" i="28"/>
  <c r="O401" i="28" s="1"/>
  <c r="AL486" i="28"/>
  <c r="AL492" i="28" s="1"/>
  <c r="AH492" i="28"/>
  <c r="AL484" i="28"/>
  <c r="AL490" i="28" s="1"/>
  <c r="AH490" i="28"/>
  <c r="AL485" i="28"/>
  <c r="AL491" i="28" s="1"/>
  <c r="AH491" i="28"/>
  <c r="AL483" i="28"/>
  <c r="AL489" i="28" s="1"/>
  <c r="AH489" i="28"/>
  <c r="AK418" i="28"/>
  <c r="AJ424" i="28" s="1"/>
  <c r="AF424" i="28"/>
  <c r="AI418" i="28"/>
  <c r="AM420" i="28"/>
  <c r="AL426" i="28" s="1"/>
  <c r="AK420" i="28"/>
  <c r="AJ426" i="28" s="1"/>
  <c r="AC426" i="28"/>
  <c r="AD421" i="28"/>
  <c r="AG417" i="28"/>
  <c r="AF423" i="28" s="1"/>
  <c r="B71" i="28"/>
  <c r="B122" i="28" s="1"/>
  <c r="D71" i="28"/>
  <c r="D122" i="28" s="1"/>
  <c r="AI417" i="28" l="1"/>
  <c r="AH423" i="28" s="1"/>
  <c r="AK417" i="28"/>
  <c r="AJ423" i="28" s="1"/>
  <c r="AH424" i="28"/>
  <c r="AM418" i="28"/>
  <c r="AL424" i="28" s="1"/>
  <c r="G71" i="28"/>
  <c r="AM417" i="28" l="1"/>
  <c r="AL423" i="28" s="1"/>
  <c r="D26" i="28"/>
</calcChain>
</file>

<file path=xl/comments1.xml><?xml version="1.0" encoding="utf-8"?>
<comments xmlns="http://schemas.openxmlformats.org/spreadsheetml/2006/main">
  <authors>
    <author>C. Marusyk</author>
  </authors>
  <commentList>
    <comment ref="L8" authorId="0" shapeId="0">
      <text>
        <r>
          <rPr>
            <b/>
            <sz val="8"/>
            <color indexed="81"/>
            <rFont val="Tahoma"/>
            <family val="2"/>
          </rPr>
          <t>C. Marusyk:</t>
        </r>
        <r>
          <rPr>
            <sz val="8"/>
            <color indexed="81"/>
            <rFont val="Tahoma"/>
            <family val="2"/>
          </rPr>
          <t xml:space="preserve">
Same as Comp 2010 2011 bdo folder 1102024.50
</t>
        </r>
      </text>
    </comment>
    <comment ref="R10" authorId="0" shapeId="0">
      <text>
        <r>
          <rPr>
            <b/>
            <sz val="8"/>
            <color indexed="81"/>
            <rFont val="Tahoma"/>
            <family val="2"/>
          </rPr>
          <t>C. Marusyk:</t>
        </r>
        <r>
          <rPr>
            <sz val="8"/>
            <color indexed="81"/>
            <rFont val="Tahoma"/>
            <family val="2"/>
          </rPr>
          <t xml:space="preserve">
6mos 2016 x 2
</t>
        </r>
      </text>
    </comment>
    <comment ref="M81" authorId="0" shapeId="0">
      <text>
        <r>
          <rPr>
            <b/>
            <sz val="8"/>
            <color indexed="81"/>
            <rFont val="Tahoma"/>
            <family val="2"/>
          </rPr>
          <t>C. Marusyk:</t>
        </r>
        <r>
          <rPr>
            <sz val="8"/>
            <color indexed="81"/>
            <rFont val="Tahoma"/>
            <family val="2"/>
          </rPr>
          <t xml:space="preserve">
6mos 2016 x 2
</t>
        </r>
      </text>
    </comment>
    <comment ref="M94" authorId="0" shapeId="0">
      <text>
        <r>
          <rPr>
            <b/>
            <sz val="8"/>
            <color indexed="81"/>
            <rFont val="Tahoma"/>
            <family val="2"/>
          </rPr>
          <t>C. Marusyk:</t>
        </r>
        <r>
          <rPr>
            <sz val="8"/>
            <color indexed="81"/>
            <rFont val="Tahoma"/>
            <family val="2"/>
          </rPr>
          <t xml:space="preserve">
6mos 2016 x 2
</t>
        </r>
      </text>
    </comment>
  </commentList>
</comments>
</file>

<file path=xl/sharedStrings.xml><?xml version="1.0" encoding="utf-8"?>
<sst xmlns="http://schemas.openxmlformats.org/spreadsheetml/2006/main" count="879" uniqueCount="314">
  <si>
    <t>Loss Factor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</si>
  <si>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</si>
  <si>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</si>
  <si>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</si>
  <si>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</si>
  <si>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</si>
  <si>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</si>
  <si>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</si>
  <si>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</si>
  <si>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</si>
  <si>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</si>
  <si>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</si>
  <si>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</si>
  <si>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</si>
  <si>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</si>
  <si>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</si>
  <si>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</si>
  <si>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</si>
  <si>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</si>
  <si>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</si>
  <si>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</si>
  <si>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</si>
  <si>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</si>
  <si>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</si>
  <si>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</si>
  <si>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</si>
  <si>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</si>
  <si>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</si>
  <si>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</si>
  <si>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</si>
  <si>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</si>
  <si>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</si>
  <si>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</si>
  <si>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</si>
  <si>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</si>
  <si>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</si>
  <si>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</si>
  <si>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</si>
  <si>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</si>
  <si>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</si>
  <si>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</si>
  <si>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</si>
  <si>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</si>
  <si>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</si>
  <si>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</si>
  <si>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</si>
  <si>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</si>
  <si>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</si>
  <si>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</si>
  <si>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</si>
  <si>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</si>
  <si>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</si>
  <si>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</si>
  <si>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</si>
  <si>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</si>
  <si>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</si>
  <si>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</si>
  <si>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</si>
  <si>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</si>
  <si>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</si>
  <si>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</si>
  <si>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</si>
  <si>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</si>
  <si>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t>kW/kWh</t>
  </si>
  <si>
    <t>Check totals above sould be zero</t>
  </si>
  <si>
    <t>2008 Actual</t>
  </si>
  <si>
    <t>Residential</t>
  </si>
  <si>
    <t>Weather Normal</t>
  </si>
  <si>
    <t xml:space="preserve">2009 Actual </t>
  </si>
  <si>
    <t xml:space="preserve">  Connections</t>
  </si>
  <si>
    <t>Total of Above</t>
  </si>
  <si>
    <t>Total from Model</t>
  </si>
  <si>
    <t>Check should all be zero</t>
  </si>
  <si>
    <t xml:space="preserve">2010 Actual </t>
  </si>
  <si>
    <t>Summary of Degree Day Information</t>
  </si>
  <si>
    <t>Summary of All Heating Degree Days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</si>
  <si>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</si>
  <si>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</si>
  <si>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</si>
  <si>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</si>
  <si>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</si>
  <si>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</si>
  <si>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</si>
  <si>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</si>
  <si>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</si>
  <si>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</si>
  <si>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</si>
  <si>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</si>
  <si>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</si>
  <si>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</si>
  <si>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10 Year Avg</t>
  </si>
  <si>
    <t>20 Year Trend</t>
  </si>
  <si>
    <t xml:space="preserve"> </t>
  </si>
  <si>
    <t>Read Date</t>
  </si>
  <si>
    <t>Elapsed Days</t>
  </si>
  <si>
    <t>Bill Type</t>
  </si>
  <si>
    <t>Usage</t>
  </si>
  <si>
    <t>Avg / Day</t>
  </si>
  <si>
    <t>Amount</t>
  </si>
  <si>
    <t xml:space="preserve"> 1/06/11</t>
  </si>
  <si>
    <t>Regular</t>
  </si>
  <si>
    <t>First/Final</t>
  </si>
  <si>
    <t>Final</t>
  </si>
  <si>
    <t xml:space="preserve"> 1/03/09</t>
  </si>
  <si>
    <t>Regular/Final</t>
  </si>
  <si>
    <t>First</t>
  </si>
  <si>
    <t>`Mar 2007</t>
  </si>
  <si>
    <t>`Feb 2007</t>
  </si>
  <si>
    <t>`Jan 2007</t>
  </si>
  <si>
    <t>`Oct 2006</t>
  </si>
  <si>
    <t>`Aug 2006</t>
  </si>
  <si>
    <t>`July 2006</t>
  </si>
  <si>
    <t>`June 2006</t>
  </si>
  <si>
    <t>`May 2006</t>
  </si>
  <si>
    <t>`April 2006</t>
  </si>
  <si>
    <t>`Mar 2006</t>
  </si>
  <si>
    <t>`Feb 2006</t>
  </si>
  <si>
    <t>`Jan 2006</t>
  </si>
  <si>
    <t>`Dec 2005</t>
  </si>
  <si>
    <t>`Nov 2005</t>
  </si>
  <si>
    <t>`Oct 2005</t>
  </si>
  <si>
    <t>`Sept 2005</t>
  </si>
  <si>
    <t>`August 2005</t>
  </si>
  <si>
    <t>`July 2005</t>
  </si>
  <si>
    <t>`June 2005</t>
  </si>
  <si>
    <t>`May 2005</t>
  </si>
  <si>
    <r>
      <t>`</t>
    </r>
    <r>
      <rPr>
        <b/>
        <sz val="10"/>
        <rFont val="Arial"/>
        <family val="2"/>
      </rPr>
      <t>June 2007</t>
    </r>
  </si>
  <si>
    <r>
      <t>`</t>
    </r>
    <r>
      <rPr>
        <b/>
        <sz val="10"/>
        <rFont val="Arial"/>
        <family val="2"/>
      </rPr>
      <t>May 2007</t>
    </r>
  </si>
  <si>
    <r>
      <t>`</t>
    </r>
    <r>
      <rPr>
        <b/>
        <sz val="10"/>
        <rFont val="Arial"/>
        <family val="2"/>
      </rPr>
      <t>Dec 2006</t>
    </r>
  </si>
  <si>
    <r>
      <t>`</t>
    </r>
    <r>
      <rPr>
        <b/>
        <sz val="10"/>
        <rFont val="Arial"/>
        <family val="2"/>
      </rPr>
      <t>Nov 2006</t>
    </r>
  </si>
  <si>
    <r>
      <t>`</t>
    </r>
    <r>
      <rPr>
        <b/>
        <sz val="10"/>
        <rFont val="Arial"/>
        <family val="2"/>
      </rPr>
      <t>Sept 2006</t>
    </r>
  </si>
  <si>
    <t>Intermediate Class Flag</t>
  </si>
  <si>
    <t>From May 2002</t>
  </si>
  <si>
    <t>Intermediate</t>
  </si>
  <si>
    <t xml:space="preserve">Purchased </t>
  </si>
  <si>
    <t>Number of Customers/Connections</t>
  </si>
  <si>
    <t>GS&lt;50 kW</t>
  </si>
  <si>
    <t>GS&gt;50 kW</t>
  </si>
  <si>
    <t>10 Year Avearge</t>
  </si>
  <si>
    <t>Total to 2015</t>
  </si>
  <si>
    <t>CDM</t>
  </si>
  <si>
    <t>From 2015 to 2020 Plan</t>
  </si>
  <si>
    <t>2011 Actual</t>
  </si>
  <si>
    <t>2012 Actual</t>
  </si>
  <si>
    <t>2013 Actual</t>
  </si>
  <si>
    <t>2014 Actual</t>
  </si>
  <si>
    <t>2015 Actual</t>
  </si>
  <si>
    <t>2016 Weather Normal</t>
  </si>
  <si>
    <t>2017 Weather Normal</t>
  </si>
  <si>
    <t>CDM Purchase Adjustment</t>
  </si>
  <si>
    <t>Predicted kWh Purchases after CDM</t>
  </si>
  <si>
    <t>Atikokan Hydro Weather Normal Load Forecast for 2017 Rate Application</t>
  </si>
  <si>
    <t>Year</t>
  </si>
  <si>
    <t>Growth 
(GWh)</t>
  </si>
  <si>
    <t>Customer/
Connection
Count</t>
  </si>
  <si>
    <t xml:space="preserve">Growth </t>
  </si>
  <si>
    <t>Billed Energy (GWh) and Customer Count / Connections</t>
  </si>
  <si>
    <t>F Test</t>
  </si>
  <si>
    <t>T-stats by Coefficient</t>
  </si>
  <si>
    <t xml:space="preserve">Actual </t>
  </si>
  <si>
    <t xml:space="preserve">Predicted </t>
  </si>
  <si>
    <t>Purchased Energy (GWh)</t>
  </si>
  <si>
    <t>Growth Rate in Customers/Connections</t>
  </si>
  <si>
    <t xml:space="preserve">Annual kWh Usage Per Customer/Connection </t>
  </si>
  <si>
    <t>Growth Rate in Customer/Connection</t>
  </si>
  <si>
    <t>Forecast Annual kWh Usage per Customers/Connection</t>
  </si>
  <si>
    <t>NON-normalized Weather Billed Energy Forecast (GWh)</t>
  </si>
  <si>
    <t>Weather Sensitivity</t>
  </si>
  <si>
    <t>kWh</t>
  </si>
  <si>
    <t>Non-normalized Weather Billed Energy Forecast (GWh)</t>
  </si>
  <si>
    <t>Weather Normalized Billed Energy Forecast (GWh)</t>
  </si>
  <si>
    <t>Billed Annual kW</t>
  </si>
  <si>
    <t>Ratio of kW to kWh</t>
  </si>
  <si>
    <t>Predicted Billed kW</t>
  </si>
  <si>
    <t>Table 3-1: Summary of Operating Revenue</t>
  </si>
  <si>
    <t>Distribution Throughput Revenue</t>
  </si>
  <si>
    <t>GS&lt;50</t>
  </si>
  <si>
    <t>GS&gt;50</t>
  </si>
  <si>
    <t>Other Distribution Revenue</t>
  </si>
  <si>
    <t>Grand Total</t>
  </si>
  <si>
    <t>Table 3-2: Summary of Load and Customer/Connection Forecast</t>
  </si>
  <si>
    <t>Table 3-5: Statistcial Results</t>
  </si>
  <si>
    <t>Table 3-6: Total System Purchases Excluding Large Use</t>
  </si>
  <si>
    <t>Table 3-7: Historical Customer/Connection Data</t>
  </si>
  <si>
    <t>Table 3-8: Growth Rate in Customer/Connections</t>
  </si>
  <si>
    <t>Geometric Mean</t>
  </si>
  <si>
    <t>Table 3-9: Customer/Connection Forecast</t>
  </si>
  <si>
    <t>Forecast Number of Customers/Connections</t>
  </si>
  <si>
    <t>Table 3-10: Historical Annual Usage per Customer</t>
  </si>
  <si>
    <t>Table 3-11: Growth Rate in Usage Per Customer/Connection</t>
  </si>
  <si>
    <t>Table 3-12: Forecast Annual kWh Usage per Customer/Connection</t>
  </si>
  <si>
    <t>Table 3-13: Non-normalized Weather Billed Energy Forecast</t>
  </si>
  <si>
    <t>Table 3-14: Weather Sensitivity by Rate Class</t>
  </si>
  <si>
    <t>Weather Adjustment (GWh)</t>
  </si>
  <si>
    <t>CDM Adjustment (GWh)</t>
  </si>
  <si>
    <t>Throughput Revenue</t>
  </si>
  <si>
    <t>Difference $</t>
  </si>
  <si>
    <t>Difference %</t>
  </si>
  <si>
    <t>Billing Quantiites</t>
  </si>
  <si>
    <t>2012 Board Approved</t>
  </si>
  <si>
    <t>2012
Actual</t>
  </si>
  <si>
    <t>2013
Actual</t>
  </si>
  <si>
    <t>2014
Actual</t>
  </si>
  <si>
    <t>2015
Actual</t>
  </si>
  <si>
    <t>2016
Bridge</t>
  </si>
  <si>
    <t>2017 Test at Current Rates</t>
  </si>
  <si>
    <t>2017 Test at Proposed Rates</t>
  </si>
  <si>
    <t>Street Lights</t>
  </si>
  <si>
    <t>2016 Bridge</t>
  </si>
  <si>
    <t>2017 Test</t>
  </si>
  <si>
    <t>Predicted 
Weather 
Normal</t>
  </si>
  <si>
    <t>Actual 
Weather 
Normal</t>
  </si>
  <si>
    <t>Billed 
Weather 
Normal
(GWh)</t>
  </si>
  <si>
    <t>Billed 
Actual
(GWh)</t>
  </si>
  <si>
    <t>Billed Energy (GWh) - Actual</t>
  </si>
  <si>
    <t>Billed Energy (GWh) - Weather Normal</t>
  </si>
  <si>
    <t>Table 3-3 Billed Energy by Rate Class</t>
  </si>
  <si>
    <t>Table 3-4: Number of Customers/Connections  and Annual Normalized Usage by Rate Class</t>
  </si>
  <si>
    <t>Actual Annual Energy Usage per Customer/Connection (kWh per customer/connection)</t>
  </si>
  <si>
    <t>Normalized Annual Energy Usage per Customer/Connection (kWh per customer/connection)</t>
  </si>
  <si>
    <t>2011 
Actual</t>
  </si>
  <si>
    <t xml:space="preserve">MAPE (Monthly) </t>
  </si>
  <si>
    <t>Constant</t>
  </si>
  <si>
    <t>This is okay since it is the WM model</t>
  </si>
  <si>
    <t>2017 WN - 10 year average</t>
  </si>
  <si>
    <t>2017 WN - 20 year trend</t>
  </si>
  <si>
    <t>Weather 
Normal Conversion 
Factor</t>
  </si>
  <si>
    <t>Total Including Persistence</t>
  </si>
  <si>
    <t>2015 Programs</t>
  </si>
  <si>
    <t>2016 Programs</t>
  </si>
  <si>
    <t>2017 Programs</t>
  </si>
  <si>
    <t>Table 3-15: 2015-2027 Expected Full Year Total kWh Savings</t>
  </si>
  <si>
    <t>Table 3-16: 2015-2027 Expected Full Year Residential kWh Savings</t>
  </si>
  <si>
    <t>Table 3-17: 2015-2027 Expected Full Year GS &lt; 50 KW kWh Savings</t>
  </si>
  <si>
    <t>Table 3-18: 2015-2027 Expected Full Year GS &gt; 50 KW kWh Savings</t>
  </si>
  <si>
    <t>2017 Test - kWh</t>
  </si>
  <si>
    <t>2017 Test - kW Annual</t>
  </si>
  <si>
    <t>2017 Test - kW Monthly</t>
  </si>
  <si>
    <t>Table 3-20: 2017 Expected CDM Savings by Rate Class for LRAM Variance Account</t>
  </si>
  <si>
    <t xml:space="preserve">Table 3-21: Alignment of Non-normal to Weather Normal Forecast </t>
  </si>
  <si>
    <t>Actual</t>
  </si>
  <si>
    <t>Table 3-22: Historical Annual kW per Applicable Rate Class</t>
  </si>
  <si>
    <t>Average 2003 to 2015</t>
  </si>
  <si>
    <t>Table 3-24: kW Forecast by Applicable Rate Class</t>
  </si>
  <si>
    <t>Table 3-23: Historical kW/KWh Ratio per Applicable Rate Class</t>
  </si>
  <si>
    <t xml:space="preserve">2016  Bridge </t>
  </si>
  <si>
    <t>2012 
Actual</t>
  </si>
  <si>
    <t>2013 
Actual</t>
  </si>
  <si>
    <t>2014 
Actual</t>
  </si>
  <si>
    <t>2015 
Actual</t>
  </si>
  <si>
    <t>2017
Test</t>
  </si>
  <si>
    <t>Predicted kWh Purchases before CDM adjustment</t>
  </si>
  <si>
    <t>% Difference between actual and predicted purchases</t>
  </si>
  <si>
    <t>CDM Adjustment</t>
  </si>
  <si>
    <t>Total Billed After Adjustments</t>
  </si>
  <si>
    <t xml:space="preserve">  kW from applicable
  classes</t>
  </si>
  <si>
    <t>Billing Determinants</t>
  </si>
  <si>
    <t>Table 3-25: Summary of Forecast</t>
  </si>
  <si>
    <t>Total Billed Before CDM Adjustments</t>
  </si>
  <si>
    <t>Table 3-26: Comparison 2012 Actual to 2012 Board Approved</t>
  </si>
  <si>
    <t>Table 3-27: Comparison 2012 Actual to 2012 Board Approved</t>
  </si>
  <si>
    <t>Variance</t>
  </si>
  <si>
    <t>Volume</t>
  </si>
  <si>
    <t>Units</t>
  </si>
  <si>
    <t>kW</t>
  </si>
  <si>
    <t>Customers / 
Connections</t>
  </si>
  <si>
    <t xml:space="preserve">Volume Weather Normal </t>
  </si>
  <si>
    <t>Annual Usage Per Customer / Connection</t>
  </si>
  <si>
    <t>Annual Usage Per Customer / Connection Weather Normal</t>
  </si>
  <si>
    <t>Table 3-28: Comparison 2011 Actual to 2012 Actual</t>
  </si>
  <si>
    <t>Table 3-29: Comparison 2011 Actual to 2012 Actual</t>
  </si>
  <si>
    <t>Table 3-30: Comparison 2012 Actual to 2013 Actual</t>
  </si>
  <si>
    <t>Table 3-31: Comparison 2012 Actual to 2013 Actual</t>
  </si>
  <si>
    <t>Table 3-32: Comparison 2013 Actual to 2014 Actual</t>
  </si>
  <si>
    <t>Table 3-33: Comparison 2013 Actual to 2014 Actual</t>
  </si>
  <si>
    <t>Table 3-34: Comparison 2014 Actual to 2015 Actual</t>
  </si>
  <si>
    <t>Table 3-35: Comparison 2014 Actual to 2015 Actual</t>
  </si>
  <si>
    <t>Table 3-36: Comparison 2015 Actual to 2016 Bridge</t>
  </si>
  <si>
    <t>Table 3-37: Comparison 2015 Actual to 2016 Bridge</t>
  </si>
  <si>
    <t>Table 3-38: Comparison 2016 Bridge to 2017 Test</t>
  </si>
  <si>
    <t>Table 3-39: Comparison 2016 Bridge to 2017 Test</t>
  </si>
  <si>
    <t>Late Payment Charges            (4225)</t>
  </si>
  <si>
    <t>Rent from Electric Property     (4210)</t>
  </si>
  <si>
    <t>Specific Service Charges        (4235)</t>
  </si>
  <si>
    <t>Other Distribution Rev.    (4082, 4084, 4390)</t>
  </si>
  <si>
    <t>Other Income &amp; Exp.       (4405)</t>
  </si>
  <si>
    <t>Merchandise &amp; Jobbing  Revenue    (4325)</t>
  </si>
  <si>
    <t>Merchandise &amp; Jobbing    Costs       (4330)</t>
  </si>
  <si>
    <t>Weather Normal Factor</t>
  </si>
  <si>
    <t>Table 3-19: Manual CDM Adjustment by Rate Class (kWh)</t>
  </si>
  <si>
    <t>LRAMVA</t>
  </si>
  <si>
    <t>Update the Revenues. Not correct use Income State and Rev report on H TE</t>
  </si>
  <si>
    <t>Distribution AFS</t>
  </si>
  <si>
    <t>i</t>
  </si>
  <si>
    <r>
      <t xml:space="preserve">Cheryl added 2016 purchases </t>
    </r>
    <r>
      <rPr>
        <sz val="10"/>
        <color rgb="FFFF0000"/>
        <rFont val="Arial"/>
        <family val="2"/>
      </rPr>
      <t>(red)</t>
    </r>
  </si>
  <si>
    <t>Total Applicable to Target</t>
  </si>
  <si>
    <t>SSS Administration Revenue   (4086)</t>
  </si>
  <si>
    <t>114152.692732-3</t>
  </si>
  <si>
    <t>267997.12-702</t>
  </si>
  <si>
    <t>242895.5788-57</t>
  </si>
  <si>
    <t>Table 3-40</t>
  </si>
  <si>
    <t>Difference 
$</t>
  </si>
  <si>
    <t>Difference
%</t>
  </si>
  <si>
    <t>Table 3-41</t>
  </si>
  <si>
    <t>Table 3-42</t>
  </si>
  <si>
    <t>Table 3-43</t>
  </si>
  <si>
    <t>Table 3-44</t>
  </si>
  <si>
    <t>Res</t>
  </si>
  <si>
    <t>GU&lt;50</t>
  </si>
  <si>
    <t>GU&gt;50</t>
  </si>
  <si>
    <t>Table 3-45</t>
  </si>
  <si>
    <t>2015 persistence into 2016</t>
  </si>
  <si>
    <t>Settlement Adjustment</t>
  </si>
  <si>
    <t>2015 persistence into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</si>
</sst>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_);\(&quot;$&quot;#,##0\)"/>
    <numFmt numFmtId="167" formatCode="0.0%"/>
    <numFmt numFmtId="168" formatCode="#,##0;\(#,##0\)"/>
    <numFmt numFmtId="169" formatCode="0.0000"/>
    <numFmt numFmtId="170" formatCode="#,##0.0000"/>
    <numFmt numFmtId="171" formatCode="0.0000%"/>
    <numFmt numFmtId="172" formatCode="_(* #,##0_);_(* \(#,##0\);_(* &quot;-&quot;??_);_(@_)"/>
    <numFmt numFmtId="173" formatCode="#,##0;\(#,###\)"/>
    <numFmt numFmtId="174" formatCode="0.0"/>
    <numFmt numFmtId="175" formatCode="#,##0.0"/>
    <numFmt numFmtId="176" formatCode="#,##0.0;\(#,##0.0\)"/>
    <numFmt numFmtId="177" formatCode="0.0%;\(0.0%\)"/>
    <numFmt numFmtId="178" formatCode="0.0;\(0.0\)"/>
    <numFmt numFmtId="179" formatCode="0.0000%;\(0.0%\)"/>
    <numFmt numFmtId="180" formatCode="0;\(0\)"/>
    <numFmt numFmtId="181" formatCode="_(* #,##0.0_);_(* \(#,##0.0\);_(* &quot;-&quot;??_);_(@_)"/>
    <numFmt numFmtId="182" formatCode="mm/dd/yyyy"/>
    <numFmt numFmtId="183" formatCode="0\-0"/>
    <numFmt numFmtId="184" formatCode="##\-#"/>
    <numFmt numFmtId="185" formatCode="&quot;£ &quot;#,##0.00;[Red]\-&quot;£ &quot;#,##0.00"/>
    <numFmt numFmtId="186" formatCode="&quot;$&quot;#,##0"/>
    <numFmt numFmtId="187" formatCode="&quot;$&quot;#,##0;&quot;$&quot;\-#,##0"/>
    <numFmt numFmtId="188" formatCode="0.000000"/>
    <numFmt numFmtId="189" formatCode="#,##0.00000"/>
    <numFmt numFmtId="190" formatCode="#,##0.000"/>
    <numFmt numFmtId="191" formatCode="0.00;\(0.00\)"/>
    <numFmt numFmtId="192" formatCode="#,000;\(#,000\)"/>
    <numFmt numFmtId="193" formatCode="_-&quot;$&quot;* #,##0_-;\-&quot;$&quot;* #,##0_-;_-&quot;$&quot;* &quot;-&quot;??_-;_-@_-"/>
    <numFmt numFmtId="194" formatCode="_-* #,##0_-;\-* #,##0_-;_-* &quot;-&quot;??_-;_-@_-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11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.5"/>
      <name val="Arial"/>
      <family val="2"/>
    </font>
    <font>
      <sz val="9.5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1">
    <xf numFmtId="0" fontId="0" fillId="0" borderId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3" fillId="0" borderId="0"/>
    <xf numFmtId="175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2" fontId="3" fillId="0" borderId="0"/>
    <xf numFmtId="183" fontId="3" fillId="0" borderId="0"/>
    <xf numFmtId="182" fontId="3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21" fillId="5" borderId="0" applyNumberFormat="0" applyBorder="0" applyAlignment="0" applyProtection="0"/>
    <xf numFmtId="0" fontId="25" fillId="8" borderId="8" applyNumberFormat="0" applyAlignment="0" applyProtection="0"/>
    <xf numFmtId="0" fontId="27" fillId="9" borderId="11" applyNumberFormat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0" fillId="4" borderId="0" applyNumberFormat="0" applyBorder="0" applyAlignment="0" applyProtection="0"/>
    <xf numFmtId="38" fontId="9" fillId="35" borderId="0" applyNumberFormat="0" applyBorder="0" applyAlignment="0" applyProtection="0"/>
    <xf numFmtId="38" fontId="9" fillId="35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10" fontId="9" fillId="36" borderId="1" applyNumberFormat="0" applyBorder="0" applyAlignment="0" applyProtection="0"/>
    <xf numFmtId="10" fontId="9" fillId="36" borderId="1" applyNumberFormat="0" applyBorder="0" applyAlignment="0" applyProtection="0"/>
    <xf numFmtId="0" fontId="23" fillId="7" borderId="8" applyNumberFormat="0" applyAlignment="0" applyProtection="0"/>
    <xf numFmtId="0" fontId="26" fillId="0" borderId="10" applyNumberFormat="0" applyFill="0" applyAlignment="0" applyProtection="0"/>
    <xf numFmtId="184" fontId="3" fillId="0" borderId="0"/>
    <xf numFmtId="172" fontId="3" fillId="0" borderId="0"/>
    <xf numFmtId="184" fontId="3" fillId="0" borderId="0"/>
    <xf numFmtId="184" fontId="3" fillId="0" borderId="0"/>
    <xf numFmtId="184" fontId="3" fillId="0" borderId="0"/>
    <xf numFmtId="184" fontId="3" fillId="0" borderId="0"/>
    <xf numFmtId="0" fontId="22" fillId="6" borderId="0" applyNumberFormat="0" applyBorder="0" applyAlignment="0" applyProtection="0"/>
    <xf numFmtId="185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10" borderId="12" applyNumberFormat="0" applyFont="0" applyAlignment="0" applyProtection="0"/>
    <xf numFmtId="0" fontId="24" fillId="8" borderId="9" applyNumberFormat="0" applyAlignment="0" applyProtection="0"/>
    <xf numFmtId="10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0" borderId="0" applyNumberFormat="0" applyBorder="0" applyAlignment="0"/>
    <xf numFmtId="0" fontId="34" fillId="0" borderId="0" applyNumberFormat="0" applyBorder="0" applyAlignment="0"/>
    <xf numFmtId="0" fontId="35" fillId="0" borderId="0" applyNumberFormat="0" applyBorder="0" applyAlignment="0"/>
    <xf numFmtId="0" fontId="36" fillId="0" borderId="23">
      <alignment horizontal="center" vertical="center"/>
    </xf>
    <xf numFmtId="0" fontId="16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28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0" borderId="0"/>
    <xf numFmtId="164" fontId="4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8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37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3" fontId="3" fillId="0" borderId="0" xfId="1" applyNumberFormat="1" applyAlignment="1">
      <alignment horizontal="center"/>
    </xf>
    <xf numFmtId="167" fontId="4" fillId="0" borderId="0" xfId="0" applyNumberFormat="1" applyFont="1" applyAlignment="1">
      <alignment horizontal="center"/>
    </xf>
    <xf numFmtId="0" fontId="4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4" fillId="0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/>
    <xf numFmtId="0" fontId="6" fillId="0" borderId="0" xfId="0" applyFont="1" applyAlignment="1"/>
    <xf numFmtId="3" fontId="0" fillId="2" borderId="0" xfId="0" applyNumberFormat="1" applyFill="1" applyAlignment="1">
      <alignment horizontal="center"/>
    </xf>
    <xf numFmtId="17" fontId="6" fillId="0" borderId="0" xfId="0" applyNumberFormat="1" applyFont="1"/>
    <xf numFmtId="0" fontId="0" fillId="0" borderId="0" xfId="0" applyFill="1" applyAlignment="1">
      <alignment horizontal="center"/>
    </xf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4" fillId="2" borderId="1" xfId="0" applyNumberFormat="1" applyFont="1" applyFill="1" applyBorder="1" applyAlignment="1">
      <alignment horizontal="center"/>
    </xf>
    <xf numFmtId="17" fontId="0" fillId="0" borderId="0" xfId="0" applyNumberFormat="1" applyFill="1"/>
    <xf numFmtId="0" fontId="0" fillId="0" borderId="0" xfId="0" applyFill="1"/>
    <xf numFmtId="4" fontId="4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168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4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6" fillId="0" borderId="0" xfId="0" applyNumberFormat="1" applyFont="1"/>
    <xf numFmtId="0" fontId="7" fillId="0" borderId="0" xfId="0" applyFont="1"/>
    <xf numFmtId="167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3" fontId="4" fillId="3" borderId="1" xfId="0" applyNumberFormat="1" applyFont="1" applyFill="1" applyBorder="1" applyAlignment="1">
      <alignment horizontal="center"/>
    </xf>
    <xf numFmtId="3" fontId="5" fillId="3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3" fillId="0" borderId="0" xfId="0" applyFont="1" applyFill="1"/>
    <xf numFmtId="0" fontId="0" fillId="0" borderId="2" xfId="0" applyFill="1" applyBorder="1" applyAlignment="1"/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Continuous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3" fontId="0" fillId="3" borderId="0" xfId="0" applyNumberFormat="1" applyFill="1" applyAlignment="1">
      <alignment horizontal="center"/>
    </xf>
    <xf numFmtId="168" fontId="0" fillId="2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0" xfId="0" applyNumberForma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165" fontId="0" fillId="0" borderId="0" xfId="1" applyFont="1" applyFill="1" applyBorder="1" applyAlignment="1"/>
    <xf numFmtId="165" fontId="0" fillId="0" borderId="2" xfId="1" applyFont="1" applyFill="1" applyBorder="1" applyAlignment="1"/>
    <xf numFmtId="172" fontId="0" fillId="0" borderId="0" xfId="1" applyNumberFormat="1" applyFont="1" applyFill="1" applyBorder="1" applyAlignment="1"/>
    <xf numFmtId="172" fontId="0" fillId="0" borderId="2" xfId="1" applyNumberFormat="1" applyFont="1" applyFill="1" applyBorder="1" applyAlignment="1"/>
    <xf numFmtId="9" fontId="0" fillId="0" borderId="0" xfId="9" applyFont="1" applyFill="1" applyBorder="1" applyAlignment="1"/>
    <xf numFmtId="3" fontId="4" fillId="2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165" fontId="3" fillId="0" borderId="0" xfId="4" applyFont="1"/>
    <xf numFmtId="0" fontId="10" fillId="0" borderId="0" xfId="0" applyFont="1"/>
    <xf numFmtId="0" fontId="11" fillId="0" borderId="0" xfId="0" applyFont="1"/>
    <xf numFmtId="165" fontId="12" fillId="0" borderId="0" xfId="4" applyFont="1"/>
    <xf numFmtId="0" fontId="12" fillId="0" borderId="0" xfId="0" applyFont="1"/>
    <xf numFmtId="165" fontId="13" fillId="0" borderId="0" xfId="4" applyFont="1" applyAlignment="1">
      <alignment horizontal="right"/>
    </xf>
    <xf numFmtId="0" fontId="13" fillId="0" borderId="4" xfId="0" applyFont="1" applyBorder="1" applyAlignment="1">
      <alignment horizontal="right"/>
    </xf>
    <xf numFmtId="0" fontId="12" fillId="0" borderId="0" xfId="0" applyFont="1" applyAlignment="1">
      <alignment horizontal="right"/>
    </xf>
    <xf numFmtId="165" fontId="12" fillId="0" borderId="0" xfId="0" applyNumberFormat="1" applyFont="1" applyAlignment="1">
      <alignment horizontal="right"/>
    </xf>
    <xf numFmtId="2" fontId="9" fillId="2" borderId="0" xfId="0" applyNumberFormat="1" applyFont="1" applyFill="1"/>
    <xf numFmtId="4" fontId="9" fillId="2" borderId="0" xfId="0" applyNumberFormat="1" applyFont="1" applyFill="1"/>
    <xf numFmtId="0" fontId="13" fillId="2" borderId="0" xfId="0" applyFont="1" applyFill="1"/>
    <xf numFmtId="0" fontId="0" fillId="2" borderId="0" xfId="0" applyFill="1"/>
    <xf numFmtId="2" fontId="0" fillId="0" borderId="0" xfId="0" applyNumberFormat="1"/>
    <xf numFmtId="3" fontId="5" fillId="0" borderId="0" xfId="0" applyNumberFormat="1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4" fontId="5" fillId="0" borderId="0" xfId="0" applyNumberFormat="1" applyFont="1" applyFill="1" applyAlignment="1">
      <alignment horizontal="center" wrapText="1"/>
    </xf>
    <xf numFmtId="37" fontId="0" fillId="0" borderId="0" xfId="0" applyNumberFormat="1" applyFill="1" applyAlignment="1">
      <alignment horizontal="center"/>
    </xf>
    <xf numFmtId="4" fontId="0" fillId="0" borderId="0" xfId="0" applyNumberFormat="1"/>
    <xf numFmtId="14" fontId="0" fillId="0" borderId="0" xfId="0" applyNumberFormat="1"/>
    <xf numFmtId="3" fontId="0" fillId="0" borderId="0" xfId="0" applyNumberFormat="1"/>
    <xf numFmtId="14" fontId="0" fillId="3" borderId="0" xfId="0" applyNumberFormat="1" applyFill="1"/>
    <xf numFmtId="3" fontId="0" fillId="3" borderId="0" xfId="0" applyNumberFormat="1" applyFill="1"/>
    <xf numFmtId="14" fontId="6" fillId="0" borderId="0" xfId="0" applyNumberFormat="1" applyFont="1"/>
    <xf numFmtId="4" fontId="6" fillId="0" borderId="0" xfId="0" applyNumberFormat="1" applyFont="1"/>
    <xf numFmtId="4" fontId="4" fillId="0" borderId="0" xfId="0" applyNumberFormat="1" applyFont="1"/>
    <xf numFmtId="3" fontId="0" fillId="0" borderId="0" xfId="0" applyNumberFormat="1" applyFill="1"/>
    <xf numFmtId="0" fontId="14" fillId="2" borderId="0" xfId="0" applyFont="1" applyFill="1" applyAlignment="1">
      <alignment horizontal="center"/>
    </xf>
    <xf numFmtId="37" fontId="4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169" fontId="0" fillId="2" borderId="0" xfId="0" applyNumberFormat="1" applyFill="1" applyAlignment="1">
      <alignment horizontal="center"/>
    </xf>
    <xf numFmtId="167" fontId="0" fillId="3" borderId="0" xfId="0" applyNumberFormat="1" applyFill="1" applyAlignment="1">
      <alignment horizontal="center"/>
    </xf>
    <xf numFmtId="173" fontId="0" fillId="0" borderId="0" xfId="0" applyNumberFormat="1" applyAlignment="1">
      <alignment horizontal="center"/>
    </xf>
    <xf numFmtId="170" fontId="0" fillId="0" borderId="0" xfId="0" applyNumberFormat="1" applyFill="1" applyAlignment="1">
      <alignment horizontal="center"/>
    </xf>
    <xf numFmtId="169" fontId="3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/>
    <xf numFmtId="168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188" fontId="0" fillId="0" borderId="0" xfId="0" applyNumberFormat="1"/>
    <xf numFmtId="3" fontId="3" fillId="3" borderId="0" xfId="0" applyNumberFormat="1" applyFont="1" applyFill="1" applyAlignment="1">
      <alignment horizont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6" fillId="0" borderId="14" xfId="0" applyFont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186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/>
    <xf numFmtId="186" fontId="3" fillId="0" borderId="1" xfId="0" applyNumberFormat="1" applyFont="1" applyBorder="1"/>
    <xf numFmtId="186" fontId="6" fillId="0" borderId="1" xfId="0" applyNumberFormat="1" applyFont="1" applyFill="1" applyBorder="1" applyAlignment="1">
      <alignment horizontal="right" vertical="center"/>
    </xf>
    <xf numFmtId="187" fontId="6" fillId="0" borderId="1" xfId="0" applyNumberFormat="1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3" fontId="3" fillId="37" borderId="0" xfId="95" applyNumberFormat="1" applyFont="1" applyFill="1" applyProtection="1">
      <protection locked="0"/>
    </xf>
    <xf numFmtId="3" fontId="3" fillId="0" borderId="0" xfId="0" applyNumberFormat="1" applyFont="1"/>
    <xf numFmtId="0" fontId="3" fillId="0" borderId="14" xfId="0" applyFont="1" applyFill="1" applyBorder="1" applyAlignment="1">
      <alignment horizontal="left" vertical="center"/>
    </xf>
    <xf numFmtId="175" fontId="3" fillId="0" borderId="1" xfId="0" applyNumberFormat="1" applyFont="1" applyFill="1" applyBorder="1" applyAlignment="1">
      <alignment horizontal="center" vertical="center"/>
    </xf>
    <xf numFmtId="37" fontId="3" fillId="0" borderId="1" xfId="0" applyNumberFormat="1" applyFont="1" applyFill="1" applyBorder="1" applyAlignment="1">
      <alignment horizontal="center" vertical="center"/>
    </xf>
    <xf numFmtId="175" fontId="3" fillId="0" borderId="1" xfId="11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3" fontId="6" fillId="0" borderId="1" xfId="10" applyNumberFormat="1" applyFont="1" applyFill="1" applyBorder="1" applyAlignment="1">
      <alignment horizontal="center" vertical="center" wrapText="1"/>
    </xf>
    <xf numFmtId="189" fontId="3" fillId="0" borderId="0" xfId="0" applyNumberFormat="1" applyFont="1"/>
    <xf numFmtId="175" fontId="3" fillId="0" borderId="0" xfId="0" applyNumberFormat="1" applyFont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175" fontId="3" fillId="0" borderId="0" xfId="11" applyNumberFormat="1" applyFont="1" applyFill="1" applyBorder="1" applyAlignment="1">
      <alignment horizontal="center" vertical="center"/>
    </xf>
    <xf numFmtId="175" fontId="3" fillId="0" borderId="0" xfId="0" applyNumberFormat="1" applyFont="1" applyFill="1" applyBorder="1" applyAlignment="1">
      <alignment horizontal="center" vertical="center"/>
    </xf>
    <xf numFmtId="3" fontId="3" fillId="0" borderId="1" xfId="11" applyNumberFormat="1" applyFont="1" applyFill="1" applyBorder="1" applyAlignment="1">
      <alignment horizontal="center" vertical="center"/>
    </xf>
    <xf numFmtId="3" fontId="3" fillId="0" borderId="16" xfId="1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6" fillId="0" borderId="1" xfId="1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67" fontId="3" fillId="0" borderId="1" xfId="11" applyNumberFormat="1" applyFont="1" applyFill="1" applyBorder="1" applyAlignment="1">
      <alignment horizontal="center" vertical="center"/>
    </xf>
    <xf numFmtId="174" fontId="3" fillId="0" borderId="1" xfId="11" applyNumberFormat="1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left" vertical="center" indent="1"/>
    </xf>
    <xf numFmtId="178" fontId="3" fillId="0" borderId="1" xfId="11" applyNumberFormat="1" applyFont="1" applyFill="1" applyBorder="1" applyAlignment="1">
      <alignment horizontal="center" vertical="center"/>
    </xf>
    <xf numFmtId="177" fontId="3" fillId="0" borderId="16" xfId="11" applyNumberFormat="1" applyFont="1" applyFill="1" applyBorder="1" applyAlignment="1">
      <alignment horizontal="center" vertical="center"/>
    </xf>
    <xf numFmtId="169" fontId="3" fillId="0" borderId="1" xfId="0" applyNumberFormat="1" applyFont="1" applyBorder="1" applyAlignment="1">
      <alignment horizontal="center"/>
    </xf>
    <xf numFmtId="0" fontId="6" fillId="0" borderId="14" xfId="0" applyFont="1" applyFill="1" applyBorder="1" applyAlignment="1">
      <alignment horizontal="left" vertical="center"/>
    </xf>
    <xf numFmtId="174" fontId="6" fillId="0" borderId="1" xfId="11" applyNumberFormat="1" applyFont="1" applyFill="1" applyBorder="1" applyAlignment="1">
      <alignment horizontal="center" vertical="center"/>
    </xf>
    <xf numFmtId="177" fontId="6" fillId="0" borderId="16" xfId="11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3" fontId="3" fillId="0" borderId="18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3" fontId="6" fillId="0" borderId="0" xfId="1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75" fontId="6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0" borderId="22" xfId="10" applyFont="1" applyFill="1" applyBorder="1" applyAlignment="1">
      <alignment horizontal="center" vertical="center" wrapText="1"/>
    </xf>
    <xf numFmtId="9" fontId="3" fillId="0" borderId="18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179" fontId="3" fillId="0" borderId="18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vertical="center"/>
    </xf>
    <xf numFmtId="0" fontId="3" fillId="0" borderId="19" xfId="0" applyFont="1" applyBorder="1"/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center" vertical="center" wrapText="1"/>
    </xf>
    <xf numFmtId="0" fontId="6" fillId="0" borderId="1" xfId="1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77" fontId="3" fillId="0" borderId="1" xfId="1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/>
    </xf>
    <xf numFmtId="0" fontId="3" fillId="0" borderId="14" xfId="0" applyFont="1" applyBorder="1"/>
    <xf numFmtId="3" fontId="3" fillId="0" borderId="1" xfId="0" applyNumberFormat="1" applyFont="1" applyBorder="1" applyAlignment="1">
      <alignment horizontal="center" wrapText="1"/>
    </xf>
    <xf numFmtId="3" fontId="3" fillId="0" borderId="0" xfId="0" applyNumberFormat="1" applyFont="1" applyAlignment="1">
      <alignment horizontal="center"/>
    </xf>
    <xf numFmtId="186" fontId="3" fillId="0" borderId="1" xfId="0" applyNumberFormat="1" applyFont="1" applyBorder="1" applyAlignment="1">
      <alignment horizontal="center"/>
    </xf>
    <xf numFmtId="167" fontId="3" fillId="0" borderId="1" xfId="96" applyNumberFormat="1" applyFont="1" applyBorder="1" applyAlignment="1">
      <alignment horizontal="center"/>
    </xf>
    <xf numFmtId="3" fontId="3" fillId="0" borderId="1" xfId="96" applyNumberFormat="1" applyFont="1" applyBorder="1" applyAlignment="1">
      <alignment horizontal="center"/>
    </xf>
    <xf numFmtId="3" fontId="3" fillId="0" borderId="1" xfId="0" applyNumberFormat="1" applyFont="1" applyBorder="1"/>
    <xf numFmtId="0" fontId="3" fillId="0" borderId="14" xfId="0" applyFont="1" applyFill="1" applyBorder="1" applyAlignment="1">
      <alignment horizontal="left" vertical="center" wrapText="1"/>
    </xf>
    <xf numFmtId="0" fontId="6" fillId="0" borderId="14" xfId="10" applyFont="1" applyFill="1" applyBorder="1" applyAlignment="1">
      <alignment horizontal="left" vertical="center"/>
    </xf>
    <xf numFmtId="0" fontId="6" fillId="0" borderId="14" xfId="1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3" fontId="3" fillId="0" borderId="14" xfId="0" applyNumberFormat="1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1" xfId="1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/>
    </xf>
    <xf numFmtId="37" fontId="3" fillId="0" borderId="0" xfId="0" applyNumberFormat="1" applyFont="1" applyFill="1" applyAlignment="1">
      <alignment horizontal="center"/>
    </xf>
    <xf numFmtId="0" fontId="3" fillId="0" borderId="2" xfId="0" applyFont="1" applyFill="1" applyBorder="1" applyAlignment="1"/>
    <xf numFmtId="167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Alignment="1">
      <alignment horizontal="left"/>
    </xf>
    <xf numFmtId="1" fontId="9" fillId="0" borderId="0" xfId="0" applyNumberFormat="1" applyFont="1" applyFill="1" applyBorder="1" applyAlignment="1">
      <alignment horizontal="left" vertical="center" indent="1"/>
    </xf>
    <xf numFmtId="178" fontId="9" fillId="0" borderId="0" xfId="11" applyNumberFormat="1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left" vertical="center" wrapText="1" indent="1"/>
    </xf>
    <xf numFmtId="190" fontId="0" fillId="0" borderId="0" xfId="0" applyNumberFormat="1" applyAlignment="1">
      <alignment horizont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/>
    </xf>
    <xf numFmtId="175" fontId="3" fillId="0" borderId="1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9" fontId="3" fillId="0" borderId="0" xfId="0" applyNumberFormat="1" applyFont="1" applyFill="1" applyBorder="1" applyAlignment="1">
      <alignment horizontal="center" vertical="center" wrapText="1"/>
    </xf>
    <xf numFmtId="0" fontId="37" fillId="0" borderId="1" xfId="98" applyFont="1" applyFill="1" applyBorder="1" applyAlignment="1">
      <alignment horizontal="center"/>
    </xf>
    <xf numFmtId="0" fontId="38" fillId="0" borderId="1" xfId="98" applyFont="1" applyFill="1" applyBorder="1" applyAlignment="1">
      <alignment horizontal="left"/>
    </xf>
    <xf numFmtId="167" fontId="3" fillId="0" borderId="1" xfId="9" applyNumberFormat="1" applyFont="1" applyFill="1" applyBorder="1" applyAlignment="1">
      <alignment horizontal="center" vertical="center"/>
    </xf>
    <xf numFmtId="0" fontId="38" fillId="0" borderId="14" xfId="98" applyFont="1" applyFill="1" applyBorder="1" applyAlignment="1">
      <alignment horizontal="left" wrapText="1"/>
    </xf>
    <xf numFmtId="0" fontId="37" fillId="0" borderId="1" xfId="98" applyFont="1" applyFill="1" applyBorder="1" applyAlignment="1">
      <alignment horizontal="left"/>
    </xf>
    <xf numFmtId="178" fontId="3" fillId="0" borderId="18" xfId="0" applyNumberFormat="1" applyFont="1" applyFill="1" applyBorder="1" applyAlignment="1">
      <alignment horizontal="center" vertical="center" wrapText="1"/>
    </xf>
    <xf numFmtId="191" fontId="3" fillId="0" borderId="18" xfId="0" applyNumberFormat="1" applyFont="1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left" vertical="center"/>
    </xf>
    <xf numFmtId="0" fontId="6" fillId="0" borderId="20" xfId="10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0" fontId="6" fillId="0" borderId="14" xfId="1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0" fillId="0" borderId="1" xfId="0" applyBorder="1"/>
    <xf numFmtId="3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wrapText="1"/>
    </xf>
    <xf numFmtId="17" fontId="0" fillId="0" borderId="1" xfId="0" applyNumberFormat="1" applyBorder="1"/>
    <xf numFmtId="3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37" fontId="4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17" fontId="0" fillId="0" borderId="1" xfId="0" applyNumberFormat="1" applyFill="1" applyBorder="1"/>
    <xf numFmtId="1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37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6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left"/>
    </xf>
    <xf numFmtId="0" fontId="0" fillId="0" borderId="0" xfId="0" applyBorder="1"/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2" fontId="3" fillId="0" borderId="0" xfId="0" applyNumberFormat="1" applyFont="1"/>
    <xf numFmtId="0" fontId="3" fillId="39" borderId="14" xfId="0" applyFont="1" applyFill="1" applyBorder="1" applyAlignment="1">
      <alignment horizontal="left" vertical="center"/>
    </xf>
    <xf numFmtId="3" fontId="3" fillId="39" borderId="1" xfId="11" applyNumberFormat="1" applyFont="1" applyFill="1" applyBorder="1" applyAlignment="1">
      <alignment horizontal="center" vertical="center"/>
    </xf>
    <xf numFmtId="3" fontId="3" fillId="39" borderId="16" xfId="11" applyNumberFormat="1" applyFont="1" applyFill="1" applyBorder="1" applyAlignment="1">
      <alignment horizontal="center" vertical="center"/>
    </xf>
    <xf numFmtId="0" fontId="3" fillId="39" borderId="14" xfId="0" applyFont="1" applyFill="1" applyBorder="1" applyAlignment="1">
      <alignment horizontal="left" vertical="center" wrapText="1"/>
    </xf>
    <xf numFmtId="3" fontId="3" fillId="39" borderId="1" xfId="0" applyNumberFormat="1" applyFont="1" applyFill="1" applyBorder="1" applyAlignment="1">
      <alignment horizontal="center" vertical="center"/>
    </xf>
    <xf numFmtId="3" fontId="5" fillId="37" borderId="0" xfId="95" applyNumberFormat="1" applyFont="1" applyFill="1" applyProtection="1">
      <protection locked="0"/>
    </xf>
    <xf numFmtId="172" fontId="3" fillId="0" borderId="0" xfId="1" applyNumberFormat="1" applyFont="1"/>
    <xf numFmtId="172" fontId="5" fillId="0" borderId="0" xfId="1" applyNumberFormat="1" applyFont="1"/>
    <xf numFmtId="0" fontId="0" fillId="38" borderId="0" xfId="0" applyFill="1"/>
    <xf numFmtId="0" fontId="6" fillId="38" borderId="0" xfId="0" applyFont="1" applyFill="1" applyAlignment="1">
      <alignment horizontal="center" wrapText="1"/>
    </xf>
    <xf numFmtId="3" fontId="0" fillId="38" borderId="0" xfId="0" applyNumberFormat="1" applyFill="1" applyAlignment="1">
      <alignment horizontal="center" wrapText="1"/>
    </xf>
    <xf numFmtId="168" fontId="0" fillId="38" borderId="0" xfId="0" applyNumberFormat="1" applyFill="1" applyAlignment="1">
      <alignment horizontal="center"/>
    </xf>
    <xf numFmtId="3" fontId="0" fillId="38" borderId="0" xfId="0" applyNumberFormat="1" applyFill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0" fontId="41" fillId="0" borderId="0" xfId="0" applyFont="1" applyBorder="1"/>
    <xf numFmtId="172" fontId="42" fillId="0" borderId="15" xfId="1" applyNumberFormat="1" applyFont="1" applyFill="1" applyBorder="1" applyAlignment="1">
      <alignment horizontal="left" vertical="center" wrapText="1"/>
    </xf>
    <xf numFmtId="187" fontId="3" fillId="0" borderId="0" xfId="0" applyNumberFormat="1" applyFont="1"/>
    <xf numFmtId="0" fontId="13" fillId="0" borderId="15" xfId="0" applyFont="1" applyFill="1" applyBorder="1" applyAlignment="1">
      <alignment horizontal="left" vertical="center" wrapText="1"/>
    </xf>
    <xf numFmtId="1" fontId="3" fillId="0" borderId="0" xfId="0" applyNumberFormat="1" applyFont="1"/>
    <xf numFmtId="0" fontId="6" fillId="0" borderId="15" xfId="0" applyFont="1" applyFill="1" applyBorder="1" applyAlignment="1">
      <alignment horizontal="left" vertical="center" wrapText="1"/>
    </xf>
    <xf numFmtId="165" fontId="3" fillId="0" borderId="0" xfId="0" applyNumberFormat="1" applyFont="1"/>
    <xf numFmtId="0" fontId="6" fillId="0" borderId="15" xfId="0" applyFont="1" applyFill="1" applyBorder="1" applyAlignment="1">
      <alignment horizontal="left" vertical="center" wrapText="1"/>
    </xf>
    <xf numFmtId="193" fontId="3" fillId="0" borderId="1" xfId="99" applyNumberFormat="1" applyFont="1" applyFill="1" applyBorder="1" applyAlignment="1">
      <alignment horizontal="right" vertical="center"/>
    </xf>
    <xf numFmtId="193" fontId="6" fillId="0" borderId="1" xfId="99" applyNumberFormat="1" applyFont="1" applyFill="1" applyBorder="1" applyAlignment="1">
      <alignment horizontal="right" vertical="center"/>
    </xf>
    <xf numFmtId="172" fontId="6" fillId="0" borderId="15" xfId="1" applyNumberFormat="1" applyFont="1" applyFill="1" applyBorder="1" applyAlignment="1">
      <alignment horizontal="left" vertical="center" wrapText="1"/>
    </xf>
    <xf numFmtId="193" fontId="3" fillId="0" borderId="1" xfId="99" applyNumberFormat="1" applyFont="1" applyFill="1" applyBorder="1"/>
    <xf numFmtId="186" fontId="3" fillId="0" borderId="1" xfId="0" applyNumberFormat="1" applyFont="1" applyFill="1" applyBorder="1"/>
    <xf numFmtId="193" fontId="3" fillId="0" borderId="26" xfId="99" applyNumberFormat="1" applyFont="1" applyFill="1" applyBorder="1"/>
    <xf numFmtId="17" fontId="3" fillId="0" borderId="0" xfId="0" applyNumberFormat="1" applyFont="1"/>
    <xf numFmtId="3" fontId="41" fillId="0" borderId="1" xfId="0" applyNumberFormat="1" applyFont="1" applyFill="1" applyBorder="1" applyAlignment="1">
      <alignment horizontal="center"/>
    </xf>
    <xf numFmtId="37" fontId="41" fillId="0" borderId="0" xfId="0" applyNumberFormat="1" applyFont="1" applyFill="1" applyAlignment="1">
      <alignment horizontal="center"/>
    </xf>
    <xf numFmtId="167" fontId="41" fillId="0" borderId="0" xfId="0" applyNumberFormat="1" applyFont="1" applyFill="1" applyAlignment="1">
      <alignment horizontal="center"/>
    </xf>
    <xf numFmtId="172" fontId="3" fillId="0" borderId="1" xfId="1" applyNumberFormat="1" applyFont="1" applyFill="1" applyBorder="1"/>
    <xf numFmtId="9" fontId="3" fillId="0" borderId="1" xfId="0" applyNumberFormat="1" applyFont="1" applyFill="1" applyBorder="1"/>
    <xf numFmtId="177" fontId="6" fillId="0" borderId="1" xfId="11" applyNumberFormat="1" applyFont="1" applyFill="1" applyBorder="1" applyAlignment="1">
      <alignment horizontal="center" vertical="center"/>
    </xf>
    <xf numFmtId="169" fontId="6" fillId="0" borderId="1" xfId="11" applyNumberFormat="1" applyFont="1" applyFill="1" applyBorder="1" applyAlignment="1">
      <alignment horizontal="center" vertical="center"/>
    </xf>
    <xf numFmtId="169" fontId="3" fillId="0" borderId="1" xfId="0" applyNumberFormat="1" applyFont="1" applyFill="1" applyBorder="1" applyAlignment="1">
      <alignment horizontal="center" vertical="center"/>
    </xf>
    <xf numFmtId="169" fontId="3" fillId="0" borderId="1" xfId="0" applyNumberFormat="1" applyFont="1" applyFill="1" applyBorder="1" applyAlignment="1">
      <alignment horizontal="center"/>
    </xf>
    <xf numFmtId="0" fontId="41" fillId="0" borderId="0" xfId="0" applyFont="1"/>
    <xf numFmtId="0" fontId="6" fillId="0" borderId="14" xfId="0" applyFont="1" applyFill="1" applyBorder="1" applyAlignment="1">
      <alignment horizontal="left" vertical="center" wrapText="1"/>
    </xf>
    <xf numFmtId="1" fontId="3" fillId="0" borderId="1" xfId="10" applyNumberFormat="1" applyFont="1" applyBorder="1"/>
    <xf numFmtId="0" fontId="44" fillId="0" borderId="1" xfId="0" applyFont="1" applyFill="1" applyBorder="1" applyAlignment="1">
      <alignment horizontal="center" vertical="center"/>
    </xf>
    <xf numFmtId="169" fontId="45" fillId="0" borderId="1" xfId="0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left"/>
    </xf>
    <xf numFmtId="0" fontId="45" fillId="0" borderId="1" xfId="0" applyFont="1" applyBorder="1" applyAlignment="1">
      <alignment horizontal="center" wrapText="1"/>
    </xf>
    <xf numFmtId="0" fontId="45" fillId="0" borderId="1" xfId="0" applyFont="1" applyFill="1" applyBorder="1" applyAlignment="1">
      <alignment horizontal="center" vertical="center"/>
    </xf>
    <xf numFmtId="3" fontId="45" fillId="0" borderId="1" xfId="0" applyNumberFormat="1" applyFont="1" applyBorder="1" applyAlignment="1">
      <alignment horizontal="left"/>
    </xf>
    <xf numFmtId="3" fontId="45" fillId="0" borderId="1" xfId="0" applyNumberFormat="1" applyFont="1" applyBorder="1" applyAlignment="1">
      <alignment horizontal="center"/>
    </xf>
    <xf numFmtId="3" fontId="45" fillId="0" borderId="1" xfId="0" applyNumberFormat="1" applyFont="1" applyBorder="1" applyAlignment="1">
      <alignment horizontal="center" wrapText="1"/>
    </xf>
    <xf numFmtId="3" fontId="45" fillId="0" borderId="1" xfId="96" applyNumberFormat="1" applyFont="1" applyBorder="1" applyAlignment="1">
      <alignment horizontal="center"/>
    </xf>
    <xf numFmtId="0" fontId="45" fillId="0" borderId="1" xfId="0" applyFont="1" applyBorder="1"/>
    <xf numFmtId="3" fontId="45" fillId="0" borderId="1" xfId="0" applyNumberFormat="1" applyFont="1" applyBorder="1"/>
    <xf numFmtId="0" fontId="44" fillId="0" borderId="1" xfId="0" applyFont="1" applyBorder="1" applyAlignment="1">
      <alignment horizontal="center" vertical="center" wrapText="1"/>
    </xf>
    <xf numFmtId="172" fontId="3" fillId="0" borderId="0" xfId="1" applyNumberFormat="1" applyFont="1" applyFill="1"/>
    <xf numFmtId="3" fontId="3" fillId="0" borderId="0" xfId="95" applyNumberFormat="1" applyFont="1" applyFill="1" applyProtection="1">
      <protection locked="0"/>
    </xf>
    <xf numFmtId="3" fontId="5" fillId="0" borderId="0" xfId="95" applyNumberFormat="1" applyFont="1" applyFill="1" applyProtection="1">
      <protection locked="0"/>
    </xf>
    <xf numFmtId="165" fontId="6" fillId="0" borderId="0" xfId="1" applyFont="1"/>
    <xf numFmtId="0" fontId="3" fillId="0" borderId="14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center" wrapText="1"/>
    </xf>
    <xf numFmtId="187" fontId="6" fillId="0" borderId="0" xfId="0" applyNumberFormat="1" applyFont="1" applyFill="1" applyBorder="1" applyAlignment="1">
      <alignment horizontal="right" vertical="center"/>
    </xf>
    <xf numFmtId="172" fontId="6" fillId="0" borderId="0" xfId="1" applyNumberFormat="1" applyFont="1" applyBorder="1"/>
    <xf numFmtId="172" fontId="3" fillId="0" borderId="1" xfId="1" applyNumberFormat="1" applyFont="1" applyBorder="1" applyAlignment="1">
      <alignment horizontal="center" wrapText="1"/>
    </xf>
    <xf numFmtId="167" fontId="3" fillId="0" borderId="1" xfId="9" applyNumberFormat="1" applyFont="1" applyBorder="1"/>
    <xf numFmtId="167" fontId="6" fillId="0" borderId="1" xfId="9" applyNumberFormat="1" applyFont="1" applyBorder="1"/>
    <xf numFmtId="0" fontId="6" fillId="0" borderId="14" xfId="0" applyFont="1" applyFill="1" applyBorder="1" applyAlignment="1">
      <alignment horizontal="left" vertical="center" wrapText="1"/>
    </xf>
    <xf numFmtId="0" fontId="3" fillId="0" borderId="25" xfId="0" applyFont="1" applyBorder="1"/>
    <xf numFmtId="194" fontId="3" fillId="0" borderId="14" xfId="100" applyNumberFormat="1" applyFont="1" applyFill="1" applyBorder="1" applyProtection="1">
      <protection locked="0"/>
    </xf>
    <xf numFmtId="194" fontId="3" fillId="0" borderId="25" xfId="100" applyNumberFormat="1" applyFont="1" applyFill="1" applyBorder="1" applyProtection="1">
      <protection locked="0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7" fillId="0" borderId="17" xfId="98" applyFont="1" applyFill="1" applyBorder="1" applyAlignment="1"/>
    <xf numFmtId="0" fontId="37" fillId="0" borderId="4" xfId="98" applyFont="1" applyFill="1" applyBorder="1" applyAlignment="1"/>
    <xf numFmtId="168" fontId="3" fillId="0" borderId="14" xfId="0" applyNumberFormat="1" applyFont="1" applyBorder="1" applyAlignment="1">
      <alignment horizontal="center"/>
    </xf>
    <xf numFmtId="168" fontId="3" fillId="0" borderId="16" xfId="0" applyNumberFormat="1" applyFont="1" applyBorder="1" applyAlignment="1">
      <alignment horizont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68" fontId="45" fillId="0" borderId="1" xfId="0" applyNumberFormat="1" applyFont="1" applyBorder="1" applyAlignment="1">
      <alignment horizontal="center"/>
    </xf>
    <xf numFmtId="0" fontId="44" fillId="0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/>
    </xf>
    <xf numFmtId="0" fontId="37" fillId="0" borderId="25" xfId="98" applyFont="1" applyFill="1" applyBorder="1" applyAlignment="1">
      <alignment horizontal="left"/>
    </xf>
    <xf numFmtId="0" fontId="37" fillId="0" borderId="0" xfId="98" applyFont="1" applyFill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192" fontId="45" fillId="0" borderId="1" xfId="0" applyNumberFormat="1" applyFont="1" applyBorder="1" applyAlignment="1">
      <alignment horizontal="center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165" fontId="0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01">
    <cellStyle name="$" xfId="15"/>
    <cellStyle name="$.00" xfId="16"/>
    <cellStyle name="$_9. Rev2Cost_GDPIPI" xfId="17"/>
    <cellStyle name="$_lists" xfId="18"/>
    <cellStyle name="$_lists_4. Current Monthly Fixed Charge" xfId="19"/>
    <cellStyle name="$_Sheet4" xfId="20"/>
    <cellStyle name="$M" xfId="21"/>
    <cellStyle name="$M.00" xfId="22"/>
    <cellStyle name="$M_9. Rev2Cost_GDPIPI" xfId="23"/>
    <cellStyle name="20% - Accent1 2" xfId="24"/>
    <cellStyle name="20% - Accent2 2" xfId="25"/>
    <cellStyle name="20% - Accent3 2" xfId="26"/>
    <cellStyle name="20% - Accent4 2" xfId="27"/>
    <cellStyle name="20% - Accent5 2" xfId="28"/>
    <cellStyle name="20% - Accent6 2" xfId="29"/>
    <cellStyle name="40% - Accent1 2" xfId="30"/>
    <cellStyle name="40% - Accent2 2" xfId="31"/>
    <cellStyle name="40% - Accent3 2" xfId="32"/>
    <cellStyle name="40% - Accent4 2" xfId="33"/>
    <cellStyle name="40% - Accent5 2" xfId="34"/>
    <cellStyle name="40% - Accent6 2" xfId="35"/>
    <cellStyle name="60% - Accent1 2" xfId="36"/>
    <cellStyle name="60% - Accent2 2" xfId="37"/>
    <cellStyle name="60% - Accent3 2" xfId="38"/>
    <cellStyle name="60% - Accent4 2" xfId="39"/>
    <cellStyle name="60% - Accent5 2" xfId="40"/>
    <cellStyle name="60% - Accent6 2" xfId="41"/>
    <cellStyle name="Accent1 2" xfId="42"/>
    <cellStyle name="Accent2 2" xfId="43"/>
    <cellStyle name="Accent3 2" xfId="44"/>
    <cellStyle name="Accent4 2" xfId="45"/>
    <cellStyle name="Accent5 2" xfId="46"/>
    <cellStyle name="Accent6 2" xfId="47"/>
    <cellStyle name="Bad 2" xfId="48"/>
    <cellStyle name="Calculation 2" xfId="49"/>
    <cellStyle name="Check Cell 2" xfId="50"/>
    <cellStyle name="Comma" xfId="1" builtinId="3"/>
    <cellStyle name="Comma 2" xfId="2"/>
    <cellStyle name="Comma 3" xfId="3"/>
    <cellStyle name="Comma 3 2" xfId="13"/>
    <cellStyle name="Comma 36" xfId="100"/>
    <cellStyle name="Comma 4" xfId="51"/>
    <cellStyle name="Comma 5" xfId="52"/>
    <cellStyle name="Comma 6" xfId="97"/>
    <cellStyle name="Comma_Horizon 2011 Load Forecast Model  June 25, 2010" xfId="4"/>
    <cellStyle name="Comma0" xfId="5"/>
    <cellStyle name="Currency" xfId="99" builtinId="4"/>
    <cellStyle name="Currency 2" xfId="53"/>
    <cellStyle name="Currency 3" xfId="54"/>
    <cellStyle name="Currency 4" xfId="55"/>
    <cellStyle name="Currency0" xfId="6"/>
    <cellStyle name="Date" xfId="7"/>
    <cellStyle name="Explanatory Text 2" xfId="56"/>
    <cellStyle name="Fixed" xfId="8"/>
    <cellStyle name="Good 2" xfId="57"/>
    <cellStyle name="Grey" xfId="58"/>
    <cellStyle name="Grey 2" xfId="59"/>
    <cellStyle name="Heading 1 2" xfId="60"/>
    <cellStyle name="Heading 2 2" xfId="61"/>
    <cellStyle name="Heading 3 2" xfId="62"/>
    <cellStyle name="Heading 4 2" xfId="63"/>
    <cellStyle name="Input [yellow]" xfId="64"/>
    <cellStyle name="Input [yellow] 2" xfId="65"/>
    <cellStyle name="Input 2" xfId="66"/>
    <cellStyle name="Linked Cell 2" xfId="67"/>
    <cellStyle name="M" xfId="68"/>
    <cellStyle name="M.00" xfId="69"/>
    <cellStyle name="M_9. Rev2Cost_GDPIPI" xfId="70"/>
    <cellStyle name="M_lists" xfId="71"/>
    <cellStyle name="M_lists_4. Current Monthly Fixed Charge" xfId="72"/>
    <cellStyle name="M_Sheet4" xfId="73"/>
    <cellStyle name="Neutral 2" xfId="74"/>
    <cellStyle name="Normal" xfId="0" builtinId="0"/>
    <cellStyle name="Normal - Style1" xfId="75"/>
    <cellStyle name="Normal 2" xfId="76"/>
    <cellStyle name="Normal 3" xfId="77"/>
    <cellStyle name="Normal 4" xfId="78"/>
    <cellStyle name="Normal 5" xfId="79"/>
    <cellStyle name="Normal 5 2" xfId="12"/>
    <cellStyle name="Normal 5 2 3" xfId="98"/>
    <cellStyle name="Normal 6" xfId="80"/>
    <cellStyle name="Normal 7" xfId="81"/>
    <cellStyle name="Normal_Core Model Version 0.1" xfId="95"/>
    <cellStyle name="Normal_OEB Trial Balance - Regulatory-July24-07" xfId="11"/>
    <cellStyle name="Normal_Sheet2" xfId="10"/>
    <cellStyle name="Note 2" xfId="82"/>
    <cellStyle name="Output 2" xfId="83"/>
    <cellStyle name="Percent" xfId="9" builtinId="5"/>
    <cellStyle name="Percent [2]" xfId="84"/>
    <cellStyle name="Percent 2" xfId="85"/>
    <cellStyle name="Percent 3" xfId="86"/>
    <cellStyle name="Percent 3 2" xfId="14"/>
    <cellStyle name="Percent 4" xfId="87"/>
    <cellStyle name="Percent 5" xfId="96"/>
    <cellStyle name="STYLE1" xfId="88"/>
    <cellStyle name="STYLE2" xfId="89"/>
    <cellStyle name="STYLE4" xfId="90"/>
    <cellStyle name="Subtotal" xfId="91"/>
    <cellStyle name="Title 2" xfId="92"/>
    <cellStyle name="Total 2" xfId="93"/>
    <cellStyle name="Warning Text 2" xfId="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Richmond%20Hill\Year%20End\RHH96YE_%20MEA%20Statis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bacon\My%20Documents\Orillia\2010%20Rates\2010%20Rate%20File%20-%20July%202,%202009\Documents%20and%20Settings\phurley\Desktop\Lakeland%20Rate%20App\LPDL_2009%20Revenue%20Requiremen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BBacon\Documents\Atikokan\2012%20Rate%20Application\Rate%20Order\Rate%20Order%20Models%20-%20Revised%20to%20reflect%20Decision%20on%20DRO\Atikokan%202012%20Load%20Forecat%20Model%20D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Cheryl\AppData\Local\Microsoft\Windows\Temporary%20Internet%20Files\Content.Outlook\ZXJ2KOEN\Load%20Forecast%20Data%20Template_201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Cheryl\AppData\Local\Microsoft\Windows\Temporary%20Internet%20Files\Content.Outlook\ZXJ2KOEN\Copy%20of%20Atikokan%202012%20Load%20Forecat%20Model%20-%20Jul6%20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n\AppData\Local\Microsoft\Windows\Temporary%20Internet%20Files\Content.Outlook\EJCI639B\Atikokan_%20Final%202015%20Annual%20Verified%20Results%20Report%20-%20Annual%20Persistence._20170329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Cheryl\AppData\Local\Microsoft\Windows\Temporary%20Internet%20Files\Content.Outlook\ZXJ2KOEN\eng-daily-01012011-1231201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Cheryl\AppData\Local\Microsoft\Windows\Temporary%20Internet%20Files\Content.Outlook\ZXJ2KOEN\eng-daily-01012012-1231201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Cheryl\AppData\Local\Microsoft\Windows\Temporary%20Internet%20Files\Content.Outlook\ZXJ2KOEN\eng-daily-01012013-1231201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Cheryl\AppData\Local\Microsoft\Windows\Temporary%20Internet%20Files\Content.Outlook\ZXJ2KOEN\eng-daily-01012014-1231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Bacon\My%20Documents\Norfolk\2011%20Rates\Evidence\Documents%20and%20Settings\dg\Desktop\Dummy%20F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Cheryl\AppData\Local\Microsoft\Windows\Temporary%20Internet%20Files\Content.Outlook\ZXJ2KOEN\eng-daily-01012015-1231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dg\Desktop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Cheryl\AppData\Local\Microsoft\Windows\Temporary%20Internet%20Files\Content.Outlook\ZXJ2KOEN\Dumm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Tennant\Return%20on%20Equity%20and%20WC\RateMak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Bacon\My%20Documents\Norfolk\2011%20Rates\Evidence\LDC%20FTY%20-%20LF\CostAllocati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DC%20FTY%20-%20LF\CostAllocati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bacon\My%20Documents\Orillia\2010%20Rates\2010%20Rate%20File%20-%20July%202,%202009\Documents%20and%20Settings\mmaw\Local%20Settings\Temporary%20Internet%20Files\OLKBC\Exhibit%203%20Distribution%20Revenue%20Throughputs%20-%20Blan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Exibit 3 Tables"/>
      <sheetName val="Summary"/>
      <sheetName val="Purchased Power Model "/>
      <sheetName val="Rate Class Energy Model"/>
      <sheetName val="Rate Class Customer Model"/>
      <sheetName val="Rate Class Load Model"/>
      <sheetName val="Weather Analysis"/>
      <sheetName val="Data Input"/>
      <sheetName val="Intermediate"/>
    </sheetNames>
    <sheetDataSet>
      <sheetData sheetId="0" refreshError="1"/>
      <sheetData sheetId="1" refreshError="1"/>
      <sheetData sheetId="2" refreshError="1">
        <row r="12">
          <cell r="K12">
            <v>1423.5</v>
          </cell>
        </row>
        <row r="17">
          <cell r="K17">
            <v>6246086.669440615</v>
          </cell>
        </row>
        <row r="21">
          <cell r="K21">
            <v>5218563.3844691971</v>
          </cell>
        </row>
        <row r="36">
          <cell r="K36">
            <v>466492.7798266997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Sheet1"/>
    </sheetNames>
    <sheetDataSet>
      <sheetData sheetId="0" refreshError="1">
        <row r="81">
          <cell r="B81">
            <v>4573576.75</v>
          </cell>
        </row>
        <row r="82">
          <cell r="B82">
            <v>4260626.75</v>
          </cell>
        </row>
        <row r="83">
          <cell r="B83">
            <v>4562116.75</v>
          </cell>
        </row>
        <row r="84">
          <cell r="B84">
            <v>4203236.75</v>
          </cell>
        </row>
        <row r="85">
          <cell r="B85">
            <v>3873916.75</v>
          </cell>
          <cell r="H85">
            <v>1516</v>
          </cell>
          <cell r="K85">
            <v>279</v>
          </cell>
          <cell r="O85">
            <v>22</v>
          </cell>
          <cell r="W85">
            <v>626</v>
          </cell>
        </row>
        <row r="86">
          <cell r="B86">
            <v>4274056.75</v>
          </cell>
        </row>
        <row r="87">
          <cell r="B87">
            <v>4161566.75</v>
          </cell>
        </row>
        <row r="88">
          <cell r="B88">
            <v>4409706.75</v>
          </cell>
        </row>
        <row r="89">
          <cell r="B89">
            <v>5097790.25</v>
          </cell>
        </row>
        <row r="90">
          <cell r="B90">
            <v>4717710.25</v>
          </cell>
        </row>
        <row r="91">
          <cell r="B91">
            <v>4446570.25</v>
          </cell>
        </row>
        <row r="92">
          <cell r="B92">
            <v>3975240.25</v>
          </cell>
        </row>
        <row r="93">
          <cell r="B93">
            <v>3844650.25</v>
          </cell>
        </row>
        <row r="94">
          <cell r="B94">
            <v>3428880.25</v>
          </cell>
          <cell r="G94">
            <v>11188981.307929177</v>
          </cell>
          <cell r="H94">
            <v>1488</v>
          </cell>
          <cell r="J94">
            <v>6166388.4626635881</v>
          </cell>
          <cell r="K94">
            <v>261</v>
          </cell>
          <cell r="M94">
            <v>7497335.4503464215</v>
          </cell>
          <cell r="N94">
            <v>20708.099999999999</v>
          </cell>
          <cell r="O94">
            <v>21</v>
          </cell>
          <cell r="Q94">
            <v>16081346.227867592</v>
          </cell>
          <cell r="R94">
            <v>36500.199999999997</v>
          </cell>
          <cell r="U94">
            <v>536762.89453425712</v>
          </cell>
          <cell r="V94">
            <v>1601.2</v>
          </cell>
          <cell r="W94">
            <v>617</v>
          </cell>
        </row>
        <row r="95">
          <cell r="B95">
            <v>3846460.25</v>
          </cell>
        </row>
        <row r="96">
          <cell r="B96">
            <v>2891760.25</v>
          </cell>
        </row>
        <row r="97">
          <cell r="B97">
            <v>1967640.25</v>
          </cell>
        </row>
        <row r="98">
          <cell r="B98">
            <v>2417070.25</v>
          </cell>
        </row>
        <row r="99">
          <cell r="B99">
            <v>2458490.25</v>
          </cell>
        </row>
        <row r="100">
          <cell r="B100">
            <v>2768410.25</v>
          </cell>
        </row>
        <row r="101">
          <cell r="B101">
            <v>3085313.17</v>
          </cell>
        </row>
        <row r="102">
          <cell r="B102">
            <v>2532523.17</v>
          </cell>
        </row>
        <row r="103">
          <cell r="B103">
            <v>2474943.17</v>
          </cell>
        </row>
        <row r="104">
          <cell r="B104">
            <v>2400573.17</v>
          </cell>
        </row>
        <row r="105">
          <cell r="B105">
            <v>2303903.17</v>
          </cell>
        </row>
        <row r="106">
          <cell r="B106">
            <v>3164823.17</v>
          </cell>
          <cell r="G106">
            <v>10849290</v>
          </cell>
          <cell r="H106">
            <v>1475</v>
          </cell>
          <cell r="J106">
            <v>5632822</v>
          </cell>
          <cell r="K106">
            <v>248</v>
          </cell>
          <cell r="M106">
            <v>7156033</v>
          </cell>
          <cell r="N106">
            <v>16243.6</v>
          </cell>
          <cell r="O106">
            <v>21</v>
          </cell>
          <cell r="Q106">
            <v>12033248</v>
          </cell>
          <cell r="R106">
            <v>1549</v>
          </cell>
          <cell r="U106">
            <v>520051</v>
          </cell>
          <cell r="V106">
            <v>956.2</v>
          </cell>
          <cell r="W106">
            <v>618</v>
          </cell>
        </row>
        <row r="107">
          <cell r="B107">
            <v>4224053.17</v>
          </cell>
        </row>
        <row r="108">
          <cell r="B108">
            <v>3844613.17</v>
          </cell>
        </row>
        <row r="109">
          <cell r="B109">
            <v>3855953.17</v>
          </cell>
        </row>
        <row r="110">
          <cell r="B110">
            <v>4054133.17</v>
          </cell>
        </row>
        <row r="111">
          <cell r="B111">
            <v>3939313.17</v>
          </cell>
        </row>
        <row r="112">
          <cell r="B112">
            <v>4440873.17</v>
          </cell>
        </row>
        <row r="113">
          <cell r="B113">
            <v>4722183</v>
          </cell>
        </row>
        <row r="114">
          <cell r="B114">
            <v>3915913</v>
          </cell>
        </row>
        <row r="115">
          <cell r="B115">
            <v>4024213</v>
          </cell>
        </row>
        <row r="116">
          <cell r="B116">
            <v>3705613</v>
          </cell>
        </row>
        <row r="117">
          <cell r="B117">
            <v>3726493</v>
          </cell>
        </row>
        <row r="118">
          <cell r="B118">
            <v>3486993</v>
          </cell>
          <cell r="G118">
            <v>11133051</v>
          </cell>
          <cell r="H118">
            <v>1460</v>
          </cell>
          <cell r="J118">
            <v>5675887</v>
          </cell>
          <cell r="K118">
            <v>245</v>
          </cell>
          <cell r="M118">
            <v>7221633</v>
          </cell>
          <cell r="N118">
            <v>20152.599999999999</v>
          </cell>
          <cell r="O118">
            <v>20</v>
          </cell>
          <cell r="Q118">
            <v>18768448</v>
          </cell>
          <cell r="R118">
            <v>33896.300000000003</v>
          </cell>
          <cell r="U118">
            <v>505809</v>
          </cell>
          <cell r="V118">
            <v>1511.5</v>
          </cell>
          <cell r="W118">
            <v>621</v>
          </cell>
        </row>
        <row r="119">
          <cell r="B119">
            <v>3654493</v>
          </cell>
        </row>
        <row r="120">
          <cell r="B120">
            <v>3331013</v>
          </cell>
        </row>
        <row r="121">
          <cell r="B121">
            <v>3350603</v>
          </cell>
        </row>
        <row r="122">
          <cell r="B122">
            <v>3965603</v>
          </cell>
        </row>
        <row r="123">
          <cell r="B123">
            <v>3975733</v>
          </cell>
        </row>
        <row r="124">
          <cell r="B124">
            <v>4052273</v>
          </cell>
        </row>
        <row r="125">
          <cell r="B125">
            <v>3921263.34</v>
          </cell>
        </row>
        <row r="126">
          <cell r="B126">
            <v>3835713.34</v>
          </cell>
        </row>
        <row r="127">
          <cell r="B127">
            <v>4038473.34</v>
          </cell>
        </row>
        <row r="128">
          <cell r="B128">
            <v>3709953.34</v>
          </cell>
        </row>
        <row r="129">
          <cell r="B129">
            <v>3886953.34</v>
          </cell>
        </row>
        <row r="130">
          <cell r="B130">
            <v>3562953.34</v>
          </cell>
          <cell r="G130">
            <v>10762942</v>
          </cell>
          <cell r="H130">
            <v>1452</v>
          </cell>
          <cell r="J130">
            <v>5496538</v>
          </cell>
          <cell r="K130">
            <v>247</v>
          </cell>
          <cell r="M130">
            <v>6934753</v>
          </cell>
          <cell r="N130">
            <v>18816.900000000001</v>
          </cell>
          <cell r="O130">
            <v>20</v>
          </cell>
          <cell r="Q130">
            <v>19638898</v>
          </cell>
          <cell r="R130">
            <v>33997.300000000003</v>
          </cell>
          <cell r="U130">
            <v>487293</v>
          </cell>
          <cell r="V130">
            <v>1462.4</v>
          </cell>
          <cell r="W130">
            <v>621</v>
          </cell>
        </row>
        <row r="131">
          <cell r="B131">
            <v>3884013.34</v>
          </cell>
        </row>
        <row r="132">
          <cell r="B132">
            <v>3680103.34</v>
          </cell>
        </row>
        <row r="133">
          <cell r="B133">
            <v>3526943.34</v>
          </cell>
        </row>
        <row r="134">
          <cell r="B134">
            <v>3974403.34</v>
          </cell>
        </row>
        <row r="135">
          <cell r="B135">
            <v>3963533.34</v>
          </cell>
        </row>
        <row r="136">
          <cell r="B136">
            <v>4247253.34</v>
          </cell>
        </row>
        <row r="137">
          <cell r="B137">
            <v>4446736.67</v>
          </cell>
        </row>
        <row r="138">
          <cell r="B138">
            <v>4162836.67</v>
          </cell>
        </row>
        <row r="139">
          <cell r="B139">
            <v>4047316.67</v>
          </cell>
        </row>
        <row r="140">
          <cell r="B140">
            <v>3649476.67</v>
          </cell>
        </row>
        <row r="141">
          <cell r="B141">
            <v>3822616.67</v>
          </cell>
        </row>
        <row r="142">
          <cell r="B142">
            <v>3322416.67</v>
          </cell>
          <cell r="G142">
            <v>10963265</v>
          </cell>
          <cell r="H142">
            <v>1436</v>
          </cell>
          <cell r="J142">
            <v>5663356</v>
          </cell>
          <cell r="K142">
            <v>240</v>
          </cell>
          <cell r="M142">
            <v>7221513</v>
          </cell>
          <cell r="N142">
            <v>18838.400000000001</v>
          </cell>
          <cell r="O142">
            <v>20</v>
          </cell>
          <cell r="Q142">
            <v>14122517</v>
          </cell>
          <cell r="R142">
            <v>31272.7</v>
          </cell>
          <cell r="U142">
            <v>508163</v>
          </cell>
          <cell r="V142">
            <v>1453.9</v>
          </cell>
          <cell r="W142">
            <v>620</v>
          </cell>
        </row>
        <row r="143">
          <cell r="B143">
            <v>3434016.67</v>
          </cell>
        </row>
        <row r="144">
          <cell r="B144">
            <v>3216536.67</v>
          </cell>
        </row>
        <row r="145">
          <cell r="B145">
            <v>2797976.67</v>
          </cell>
        </row>
        <row r="146">
          <cell r="B146">
            <v>2739436.67</v>
          </cell>
        </row>
        <row r="147">
          <cell r="B147">
            <v>2340336.67</v>
          </cell>
        </row>
        <row r="148">
          <cell r="B148">
            <v>2742336.67</v>
          </cell>
        </row>
        <row r="149">
          <cell r="B149">
            <v>2748532.05</v>
          </cell>
        </row>
        <row r="150">
          <cell r="B150">
            <v>2586142.0499999998</v>
          </cell>
        </row>
        <row r="151">
          <cell r="B151">
            <v>2452042.0499999998</v>
          </cell>
        </row>
        <row r="152">
          <cell r="B152">
            <v>2152630</v>
          </cell>
        </row>
        <row r="153">
          <cell r="B153">
            <v>2293140</v>
          </cell>
          <cell r="G153">
            <v>10340422</v>
          </cell>
          <cell r="H153">
            <v>1430</v>
          </cell>
          <cell r="J153">
            <v>5386486</v>
          </cell>
          <cell r="K153">
            <v>235</v>
          </cell>
          <cell r="M153">
            <v>7206213</v>
          </cell>
          <cell r="N153">
            <v>18111</v>
          </cell>
          <cell r="O153">
            <v>21</v>
          </cell>
          <cell r="Q153">
            <v>1140822</v>
          </cell>
          <cell r="R153">
            <v>2568.3000000000002</v>
          </cell>
          <cell r="U153">
            <v>488938</v>
          </cell>
          <cell r="V153">
            <v>1458.6</v>
          </cell>
          <cell r="W153">
            <v>619</v>
          </cell>
        </row>
        <row r="154">
          <cell r="B154">
            <v>1988380</v>
          </cell>
        </row>
        <row r="155">
          <cell r="B155">
            <v>1874560</v>
          </cell>
        </row>
        <row r="156">
          <cell r="B156">
            <v>1864830</v>
          </cell>
        </row>
        <row r="157">
          <cell r="B157">
            <v>1761190</v>
          </cell>
        </row>
        <row r="158">
          <cell r="B158">
            <v>2282500</v>
          </cell>
        </row>
        <row r="159">
          <cell r="B159">
            <v>2212490</v>
          </cell>
        </row>
        <row r="160">
          <cell r="B160">
            <v>2797640</v>
          </cell>
        </row>
        <row r="161">
          <cell r="B161">
            <v>2785280</v>
          </cell>
        </row>
        <row r="162">
          <cell r="B162">
            <v>2237810</v>
          </cell>
        </row>
        <row r="163">
          <cell r="B163">
            <v>2270800</v>
          </cell>
        </row>
        <row r="164">
          <cell r="B164">
            <v>2176770</v>
          </cell>
        </row>
        <row r="165">
          <cell r="B165">
            <v>2177130.7692307695</v>
          </cell>
          <cell r="G165">
            <v>9751774</v>
          </cell>
          <cell r="H165">
            <v>1439</v>
          </cell>
          <cell r="J165">
            <v>4958913</v>
          </cell>
          <cell r="K165">
            <v>243</v>
          </cell>
          <cell r="M165">
            <v>8094881</v>
          </cell>
          <cell r="N165">
            <v>21388.390000000003</v>
          </cell>
          <cell r="O165">
            <v>20</v>
          </cell>
          <cell r="U165">
            <v>496844.89</v>
          </cell>
          <cell r="V165">
            <v>1040.5999999999999</v>
          </cell>
          <cell r="W165">
            <v>623</v>
          </cell>
        </row>
        <row r="166">
          <cell r="B166">
            <v>2055084.6153846155</v>
          </cell>
        </row>
        <row r="167">
          <cell r="B167">
            <v>1699676.93</v>
          </cell>
        </row>
        <row r="168">
          <cell r="B168">
            <v>1764407.7</v>
          </cell>
        </row>
        <row r="169">
          <cell r="B169">
            <v>1670261.54</v>
          </cell>
        </row>
        <row r="170">
          <cell r="B170">
            <v>2217469.23</v>
          </cell>
        </row>
        <row r="171">
          <cell r="B171">
            <v>2015515.39</v>
          </cell>
        </row>
        <row r="172">
          <cell r="B172">
            <v>2711415.39</v>
          </cell>
        </row>
        <row r="173">
          <cell r="B173">
            <v>2584646.16</v>
          </cell>
        </row>
        <row r="174">
          <cell r="B174">
            <v>2225892.31</v>
          </cell>
        </row>
        <row r="175">
          <cell r="B175">
            <v>2093200</v>
          </cell>
        </row>
        <row r="176">
          <cell r="B176">
            <v>1997884.62</v>
          </cell>
        </row>
        <row r="177">
          <cell r="B177">
            <v>1773769.23</v>
          </cell>
          <cell r="G177">
            <v>9926567.9900000002</v>
          </cell>
          <cell r="H177">
            <v>1408</v>
          </cell>
          <cell r="J177">
            <v>5016254</v>
          </cell>
          <cell r="K177">
            <v>232</v>
          </cell>
          <cell r="M177">
            <v>7488858</v>
          </cell>
          <cell r="N177">
            <v>22208.129999999997</v>
          </cell>
          <cell r="O177">
            <v>22</v>
          </cell>
          <cell r="U177">
            <v>485568.29</v>
          </cell>
          <cell r="V177">
            <v>1449.25</v>
          </cell>
          <cell r="W177">
            <v>628</v>
          </cell>
        </row>
        <row r="178">
          <cell r="B178">
            <v>1674623.08</v>
          </cell>
        </row>
        <row r="179">
          <cell r="B179">
            <v>2021846.16</v>
          </cell>
        </row>
        <row r="180">
          <cell r="B180">
            <v>1928284.62</v>
          </cell>
        </row>
        <row r="181">
          <cell r="B181">
            <v>1824415.39</v>
          </cell>
        </row>
        <row r="182">
          <cell r="B182">
            <v>1849823.08</v>
          </cell>
        </row>
        <row r="183">
          <cell r="B183">
            <v>2235661.54</v>
          </cell>
        </row>
        <row r="184">
          <cell r="B184">
            <v>2498676.9300000002</v>
          </cell>
        </row>
        <row r="185">
          <cell r="B185">
            <v>2610200</v>
          </cell>
        </row>
        <row r="186">
          <cell r="B186">
            <v>2246461.54</v>
          </cell>
        </row>
        <row r="187">
          <cell r="B187">
            <v>2236546.15</v>
          </cell>
        </row>
        <row r="188">
          <cell r="B188">
            <v>2047023</v>
          </cell>
        </row>
        <row r="189">
          <cell r="B189">
            <v>2007630.77</v>
          </cell>
          <cell r="G189">
            <v>9619203.9199999999</v>
          </cell>
          <cell r="H189">
            <v>1409</v>
          </cell>
          <cell r="J189">
            <v>5619045.1600000001</v>
          </cell>
          <cell r="K189">
            <v>231</v>
          </cell>
          <cell r="M189">
            <v>6675900</v>
          </cell>
          <cell r="N189">
            <v>20693.859999999997</v>
          </cell>
          <cell r="O189">
            <v>22</v>
          </cell>
          <cell r="U189">
            <v>469700.8</v>
          </cell>
          <cell r="V189">
            <v>1450.33</v>
          </cell>
          <cell r="W189">
            <v>635</v>
          </cell>
        </row>
        <row r="190">
          <cell r="B190">
            <v>1668007.69</v>
          </cell>
        </row>
        <row r="191">
          <cell r="B191">
            <v>1910576.92</v>
          </cell>
        </row>
        <row r="192">
          <cell r="B192">
            <v>2013784.61</v>
          </cell>
        </row>
        <row r="193">
          <cell r="B193">
            <v>1643661.54</v>
          </cell>
        </row>
        <row r="194">
          <cell r="B194">
            <v>1987346.15</v>
          </cell>
        </row>
        <row r="195">
          <cell r="B195">
            <v>2020453.85</v>
          </cell>
        </row>
        <row r="196">
          <cell r="B196">
            <v>2350123.0699999998</v>
          </cell>
        </row>
        <row r="197">
          <cell r="B197">
            <v>2406961.54</v>
          </cell>
        </row>
        <row r="198">
          <cell r="B198">
            <v>2113376.92</v>
          </cell>
        </row>
        <row r="199">
          <cell r="B199">
            <v>2195146.15</v>
          </cell>
        </row>
        <row r="200">
          <cell r="B200">
            <v>2132323.08</v>
          </cell>
        </row>
        <row r="201">
          <cell r="H201">
            <v>1411</v>
          </cell>
          <cell r="K201">
            <v>236</v>
          </cell>
          <cell r="N201">
            <v>22334.590000000004</v>
          </cell>
          <cell r="O201">
            <v>18</v>
          </cell>
          <cell r="U201">
            <v>469536.52</v>
          </cell>
          <cell r="V201">
            <v>1450</v>
          </cell>
          <cell r="W201">
            <v>635</v>
          </cell>
        </row>
        <row r="213">
          <cell r="H213">
            <v>1414</v>
          </cell>
          <cell r="K213">
            <v>233</v>
          </cell>
          <cell r="N213">
            <v>21680</v>
          </cell>
          <cell r="O213">
            <v>18</v>
          </cell>
          <cell r="U213">
            <v>467723.6</v>
          </cell>
          <cell r="V213">
            <v>1450</v>
          </cell>
          <cell r="W213">
            <v>635</v>
          </cell>
        </row>
        <row r="225">
          <cell r="B225">
            <v>2100684.62</v>
          </cell>
          <cell r="G225">
            <v>9743005.5999999996</v>
          </cell>
          <cell r="H225">
            <v>1408</v>
          </cell>
          <cell r="J225">
            <v>5315998.9000000004</v>
          </cell>
          <cell r="K225">
            <v>235</v>
          </cell>
          <cell r="M225">
            <v>7851921</v>
          </cell>
          <cell r="N225">
            <v>24636</v>
          </cell>
          <cell r="O225">
            <v>20</v>
          </cell>
          <cell r="U225">
            <v>466562.6</v>
          </cell>
          <cell r="V225">
            <v>1455</v>
          </cell>
          <cell r="W225">
            <v>630</v>
          </cell>
        </row>
        <row r="226">
          <cell r="B226">
            <v>1992407.69</v>
          </cell>
        </row>
        <row r="227">
          <cell r="B227">
            <v>1907330.77</v>
          </cell>
        </row>
        <row r="228">
          <cell r="B228">
            <v>1759069.23</v>
          </cell>
        </row>
        <row r="229">
          <cell r="B229">
            <v>1616430.77</v>
          </cell>
        </row>
        <row r="230">
          <cell r="B230">
            <v>1859369.23</v>
          </cell>
        </row>
        <row r="231">
          <cell r="B231">
            <v>2415630.77</v>
          </cell>
        </row>
        <row r="232">
          <cell r="B232">
            <v>2504000</v>
          </cell>
        </row>
        <row r="233">
          <cell r="B233">
            <v>2799215.38</v>
          </cell>
        </row>
        <row r="234">
          <cell r="B234">
            <v>3184223.08</v>
          </cell>
        </row>
        <row r="235">
          <cell r="B235">
            <v>3085284.62</v>
          </cell>
        </row>
        <row r="236">
          <cell r="B236">
            <v>2788138.46</v>
          </cell>
        </row>
        <row r="237">
          <cell r="B237">
            <v>2839484.62</v>
          </cell>
          <cell r="G237">
            <v>9225363.5999999996</v>
          </cell>
          <cell r="H237">
            <v>1402</v>
          </cell>
          <cell r="J237">
            <v>5110231.71</v>
          </cell>
          <cell r="K237">
            <v>233</v>
          </cell>
          <cell r="M237">
            <v>17571100</v>
          </cell>
          <cell r="N237">
            <v>50899</v>
          </cell>
          <cell r="O237">
            <v>18</v>
          </cell>
          <cell r="U237">
            <v>463596.13</v>
          </cell>
          <cell r="V237">
            <v>1436.01</v>
          </cell>
          <cell r="W237">
            <v>625</v>
          </cell>
        </row>
        <row r="238">
          <cell r="B238">
            <v>2589715.38</v>
          </cell>
        </row>
        <row r="239">
          <cell r="B239">
            <v>2779461.54</v>
          </cell>
        </row>
        <row r="240">
          <cell r="B240">
            <v>2450792.31</v>
          </cell>
        </row>
        <row r="241">
          <cell r="B241">
            <v>2722200</v>
          </cell>
        </row>
        <row r="242">
          <cell r="B242">
            <v>3269292.31</v>
          </cell>
        </row>
        <row r="243">
          <cell r="B243">
            <v>2988930.77</v>
          </cell>
        </row>
        <row r="244">
          <cell r="B244">
            <v>3309930.77</v>
          </cell>
        </row>
      </sheetData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urchased Power Model "/>
      <sheetName val="Rate Class Energy Model"/>
      <sheetName val="Rate Class Customer Model"/>
      <sheetName val="Rate Class Load Model"/>
      <sheetName val="Weather Analysis"/>
      <sheetName val="Data Input"/>
      <sheetName val="Intermedi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P7">
            <v>1</v>
          </cell>
        </row>
        <row r="8">
          <cell r="P8">
            <v>1</v>
          </cell>
        </row>
        <row r="9">
          <cell r="P9">
            <v>1</v>
          </cell>
        </row>
        <row r="10">
          <cell r="P10">
            <v>1</v>
          </cell>
        </row>
        <row r="11">
          <cell r="P11">
            <v>1</v>
          </cell>
        </row>
        <row r="12">
          <cell r="P12">
            <v>1</v>
          </cell>
        </row>
        <row r="13">
          <cell r="P13">
            <v>1</v>
          </cell>
        </row>
        <row r="14">
          <cell r="P14">
            <v>1</v>
          </cell>
        </row>
        <row r="15">
          <cell r="P15">
            <v>1</v>
          </cell>
        </row>
        <row r="16">
          <cell r="P16">
            <v>1</v>
          </cell>
        </row>
        <row r="17">
          <cell r="P17">
            <v>1</v>
          </cell>
        </row>
        <row r="18">
          <cell r="P18">
            <v>1</v>
          </cell>
        </row>
        <row r="19">
          <cell r="P19">
            <v>1</v>
          </cell>
        </row>
        <row r="20">
          <cell r="P20">
            <v>1</v>
          </cell>
        </row>
        <row r="21">
          <cell r="P21">
            <v>1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1</v>
          </cell>
        </row>
        <row r="33">
          <cell r="P33">
            <v>1</v>
          </cell>
        </row>
        <row r="34">
          <cell r="P34">
            <v>1</v>
          </cell>
        </row>
        <row r="35">
          <cell r="P35">
            <v>1</v>
          </cell>
        </row>
        <row r="36">
          <cell r="P36">
            <v>1</v>
          </cell>
        </row>
        <row r="37">
          <cell r="P37">
            <v>1</v>
          </cell>
        </row>
        <row r="38">
          <cell r="P38">
            <v>1</v>
          </cell>
        </row>
        <row r="39">
          <cell r="P39">
            <v>1</v>
          </cell>
        </row>
        <row r="40">
          <cell r="P40">
            <v>1</v>
          </cell>
        </row>
        <row r="41">
          <cell r="P41">
            <v>1</v>
          </cell>
        </row>
        <row r="42">
          <cell r="P42">
            <v>1</v>
          </cell>
        </row>
        <row r="43">
          <cell r="P43">
            <v>1</v>
          </cell>
        </row>
        <row r="44">
          <cell r="P44">
            <v>1</v>
          </cell>
        </row>
        <row r="45">
          <cell r="P45">
            <v>1</v>
          </cell>
        </row>
        <row r="46">
          <cell r="P46">
            <v>1</v>
          </cell>
        </row>
        <row r="47">
          <cell r="P47">
            <v>1</v>
          </cell>
        </row>
        <row r="48">
          <cell r="P48">
            <v>1</v>
          </cell>
        </row>
        <row r="49">
          <cell r="P49">
            <v>1</v>
          </cell>
        </row>
        <row r="50">
          <cell r="P50">
            <v>1</v>
          </cell>
        </row>
        <row r="51">
          <cell r="P51">
            <v>1</v>
          </cell>
        </row>
        <row r="52">
          <cell r="P52">
            <v>1</v>
          </cell>
        </row>
        <row r="53">
          <cell r="P53">
            <v>1</v>
          </cell>
        </row>
        <row r="54">
          <cell r="P54">
            <v>1</v>
          </cell>
        </row>
        <row r="55">
          <cell r="P55">
            <v>1</v>
          </cell>
        </row>
        <row r="56">
          <cell r="P56">
            <v>1</v>
          </cell>
        </row>
        <row r="57">
          <cell r="P57">
            <v>1</v>
          </cell>
        </row>
        <row r="58">
          <cell r="P58">
            <v>1</v>
          </cell>
        </row>
        <row r="59">
          <cell r="P59">
            <v>1</v>
          </cell>
        </row>
        <row r="60">
          <cell r="P60">
            <v>1</v>
          </cell>
        </row>
        <row r="61">
          <cell r="P61">
            <v>1</v>
          </cell>
        </row>
        <row r="62">
          <cell r="P62">
            <v>1</v>
          </cell>
        </row>
        <row r="63">
          <cell r="P63">
            <v>1</v>
          </cell>
        </row>
        <row r="64">
          <cell r="P64">
            <v>1</v>
          </cell>
        </row>
        <row r="65">
          <cell r="P65">
            <v>1</v>
          </cell>
        </row>
        <row r="66">
          <cell r="P66">
            <v>1</v>
          </cell>
        </row>
        <row r="67">
          <cell r="P67">
            <v>1</v>
          </cell>
        </row>
        <row r="68">
          <cell r="P68">
            <v>1</v>
          </cell>
        </row>
        <row r="69">
          <cell r="P69">
            <v>1</v>
          </cell>
        </row>
        <row r="70">
          <cell r="P70">
            <v>1</v>
          </cell>
        </row>
        <row r="74">
          <cell r="P74">
            <v>0</v>
          </cell>
        </row>
        <row r="75"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P113">
            <v>0</v>
          </cell>
        </row>
        <row r="114">
          <cell r="P114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How to Use this Report"/>
      <sheetName val="Energy Savings"/>
      <sheetName val="Demand Savings"/>
    </sheetNames>
    <sheetDataSet>
      <sheetData sheetId="0"/>
      <sheetData sheetId="1"/>
      <sheetData sheetId="2">
        <row r="12">
          <cell r="F12">
            <v>51253</v>
          </cell>
          <cell r="G12">
            <v>51253</v>
          </cell>
          <cell r="H12">
            <v>45146</v>
          </cell>
        </row>
        <row r="13">
          <cell r="F13">
            <v>20751</v>
          </cell>
          <cell r="G13">
            <v>18474</v>
          </cell>
          <cell r="H13">
            <v>14539</v>
          </cell>
        </row>
        <row r="33">
          <cell r="F33">
            <v>127219</v>
          </cell>
          <cell r="G33">
            <v>122129</v>
          </cell>
          <cell r="H33">
            <v>111685</v>
          </cell>
        </row>
      </sheetData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1-12312011"/>
    </sheetNames>
    <sheetDataSet>
      <sheetData sheetId="0" refreshError="1">
        <row r="57">
          <cell r="M57">
            <v>1125.8</v>
          </cell>
        </row>
        <row r="86">
          <cell r="M86">
            <v>858.99999999999989</v>
          </cell>
        </row>
        <row r="117">
          <cell r="M117">
            <v>760.4</v>
          </cell>
        </row>
        <row r="147">
          <cell r="M147">
            <v>438.2</v>
          </cell>
        </row>
        <row r="178">
          <cell r="M178">
            <v>198.20000000000002</v>
          </cell>
        </row>
        <row r="208">
          <cell r="M208">
            <v>128</v>
          </cell>
        </row>
        <row r="239">
          <cell r="M239">
            <v>31.6</v>
          </cell>
        </row>
        <row r="270">
          <cell r="M270">
            <v>23.6</v>
          </cell>
        </row>
        <row r="300">
          <cell r="M300">
            <v>176.29999999999995</v>
          </cell>
        </row>
        <row r="331">
          <cell r="M331">
            <v>353.1</v>
          </cell>
        </row>
        <row r="361">
          <cell r="M361">
            <v>566</v>
          </cell>
        </row>
        <row r="392">
          <cell r="M392">
            <v>776.49999999999989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2-12312012"/>
    </sheetNames>
    <sheetDataSet>
      <sheetData sheetId="0" refreshError="1">
        <row r="57">
          <cell r="M57">
            <v>622.4</v>
          </cell>
        </row>
        <row r="86">
          <cell r="M86">
            <v>759.70000000000027</v>
          </cell>
        </row>
        <row r="117">
          <cell r="M117">
            <v>497.09999999999985</v>
          </cell>
        </row>
        <row r="147">
          <cell r="M147">
            <v>434.7999999999999</v>
          </cell>
        </row>
        <row r="178">
          <cell r="M178">
            <v>199.29999999999998</v>
          </cell>
        </row>
        <row r="208">
          <cell r="M208">
            <v>42.2</v>
          </cell>
        </row>
        <row r="239">
          <cell r="M239">
            <v>1.4</v>
          </cell>
        </row>
        <row r="270">
          <cell r="M270">
            <v>45.099999999999994</v>
          </cell>
        </row>
        <row r="300">
          <cell r="M300">
            <v>210.2</v>
          </cell>
        </row>
        <row r="331">
          <cell r="M331">
            <v>423.09999999999991</v>
          </cell>
        </row>
        <row r="361">
          <cell r="M361">
            <v>643.69999999999993</v>
          </cell>
        </row>
        <row r="392">
          <cell r="M392">
            <v>897.5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3-12312013"/>
    </sheetNames>
    <sheetDataSet>
      <sheetData sheetId="0" refreshError="1">
        <row r="57">
          <cell r="M57">
            <v>1010.4000000000001</v>
          </cell>
        </row>
        <row r="86">
          <cell r="M86">
            <v>925.09999999999957</v>
          </cell>
        </row>
        <row r="117">
          <cell r="M117">
            <v>830.70000000000016</v>
          </cell>
        </row>
        <row r="147">
          <cell r="M147">
            <v>584.19999999999993</v>
          </cell>
        </row>
        <row r="178">
          <cell r="M178">
            <v>279.30000000000007</v>
          </cell>
        </row>
        <row r="208">
          <cell r="M208">
            <v>82.399999999999991</v>
          </cell>
        </row>
        <row r="239">
          <cell r="M239">
            <v>44.400000000000006</v>
          </cell>
        </row>
        <row r="270">
          <cell r="M270">
            <v>67.2</v>
          </cell>
        </row>
        <row r="300">
          <cell r="M300">
            <v>133.6</v>
          </cell>
        </row>
        <row r="331">
          <cell r="M331">
            <v>346.4</v>
          </cell>
        </row>
        <row r="361">
          <cell r="M361">
            <v>610.9</v>
          </cell>
        </row>
        <row r="392">
          <cell r="M392">
            <v>1170.2000000000003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4-12312014"/>
    </sheetNames>
    <sheetDataSet>
      <sheetData sheetId="0" refreshError="1">
        <row r="57">
          <cell r="M57">
            <v>1216.3</v>
          </cell>
        </row>
        <row r="86">
          <cell r="M86">
            <v>1021.7999999999998</v>
          </cell>
        </row>
        <row r="117">
          <cell r="M117">
            <v>928.20000000000027</v>
          </cell>
        </row>
        <row r="147">
          <cell r="M147">
            <v>554.60000000000014</v>
          </cell>
        </row>
        <row r="178">
          <cell r="M178">
            <v>237.80000000000007</v>
          </cell>
        </row>
        <row r="208">
          <cell r="M208">
            <v>78.7</v>
          </cell>
        </row>
        <row r="239">
          <cell r="M239">
            <v>54.20000000000001</v>
          </cell>
        </row>
        <row r="270">
          <cell r="M270">
            <v>59.599999999999994</v>
          </cell>
        </row>
        <row r="300">
          <cell r="M300">
            <v>167.50000000000003</v>
          </cell>
        </row>
        <row r="331">
          <cell r="M331">
            <v>389.5</v>
          </cell>
        </row>
        <row r="361">
          <cell r="M361">
            <v>781.20000000000027</v>
          </cell>
        </row>
        <row r="392">
          <cell r="M392">
            <v>821.99999999999977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5-12312015"/>
    </sheetNames>
    <sheetDataSet>
      <sheetData sheetId="0" refreshError="1">
        <row r="57">
          <cell r="M57">
            <v>1031.4999999999998</v>
          </cell>
        </row>
        <row r="86">
          <cell r="M86">
            <v>1110.2000000000003</v>
          </cell>
        </row>
        <row r="117">
          <cell r="M117">
            <v>713.69999999999982</v>
          </cell>
        </row>
        <row r="147">
          <cell r="M147">
            <v>459</v>
          </cell>
        </row>
        <row r="178">
          <cell r="M178">
            <v>245.7</v>
          </cell>
        </row>
        <row r="208">
          <cell r="M208">
            <v>80.2</v>
          </cell>
        </row>
        <row r="239">
          <cell r="M239">
            <v>22.4</v>
          </cell>
        </row>
        <row r="270">
          <cell r="M270">
            <v>66.7</v>
          </cell>
        </row>
        <row r="300">
          <cell r="M300">
            <v>101.2</v>
          </cell>
        </row>
        <row r="331">
          <cell r="M331">
            <v>357.5</v>
          </cell>
        </row>
        <row r="361">
          <cell r="M361">
            <v>502.50000000000006</v>
          </cell>
        </row>
        <row r="392">
          <cell r="M392">
            <v>733.30000000000018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558"/>
  <sheetViews>
    <sheetView topLeftCell="A80" zoomScaleNormal="100" workbookViewId="0">
      <selection activeCell="E287" sqref="E287"/>
    </sheetView>
  </sheetViews>
  <sheetFormatPr defaultRowHeight="12.75" x14ac:dyDescent="0.2"/>
  <cols>
    <col min="1" max="1" width="20.28515625" style="112" customWidth="1"/>
    <col min="2" max="2" width="11" style="112" customWidth="1"/>
    <col min="3" max="4" width="11.140625" style="112" customWidth="1"/>
    <col min="5" max="5" width="12.7109375" style="112" customWidth="1"/>
    <col min="6" max="6" width="11.42578125" style="112" customWidth="1"/>
    <col min="7" max="7" width="11.28515625" style="112" customWidth="1"/>
    <col min="8" max="8" width="35.42578125" style="112" customWidth="1"/>
    <col min="9" max="9" width="13.140625" style="112" customWidth="1"/>
    <col min="10" max="10" width="14.5703125" style="112" customWidth="1"/>
    <col min="11" max="11" width="37.42578125" style="112" customWidth="1"/>
    <col min="12" max="12" width="11" style="112" customWidth="1"/>
    <col min="13" max="13" width="15.28515625" style="112" hidden="1" customWidth="1"/>
    <col min="14" max="14" width="13.5703125" style="112" bestFit="1" customWidth="1"/>
    <col min="15" max="15" width="14.28515625" style="112" bestFit="1" customWidth="1"/>
    <col min="16" max="16" width="13.5703125" style="112" bestFit="1" customWidth="1"/>
    <col min="17" max="21" width="10.5703125" style="112" customWidth="1"/>
    <col min="22" max="22" width="12.85546875" style="112" bestFit="1" customWidth="1"/>
    <col min="23" max="23" width="22.140625" style="112" customWidth="1"/>
    <col min="24" max="25" width="10.28515625" style="112" bestFit="1" customWidth="1"/>
    <col min="26" max="26" width="10.85546875" style="112" bestFit="1" customWidth="1"/>
    <col min="27" max="27" width="10.5703125" style="112" customWidth="1"/>
    <col min="28" max="28" width="12.85546875" style="112" customWidth="1"/>
    <col min="29" max="29" width="9.140625" style="112"/>
    <col min="30" max="30" width="9.42578125" style="112" customWidth="1"/>
    <col min="31" max="31" width="5.5703125" style="112" bestFit="1" customWidth="1"/>
    <col min="32" max="32" width="9.140625" style="112"/>
    <col min="33" max="33" width="10.140625" style="112" bestFit="1" customWidth="1"/>
    <col min="34" max="34" width="9.140625" style="112"/>
    <col min="35" max="35" width="10.140625" style="112" bestFit="1" customWidth="1"/>
    <col min="36" max="36" width="9.140625" style="112"/>
    <col min="37" max="37" width="9" style="112" customWidth="1"/>
    <col min="38" max="256" width="9.140625" style="112"/>
    <col min="257" max="257" width="26.85546875" style="112" customWidth="1"/>
    <col min="258" max="258" width="0" style="112" hidden="1" customWidth="1"/>
    <col min="259" max="259" width="12.42578125" style="112" customWidth="1"/>
    <col min="260" max="261" width="11.140625" style="112" customWidth="1"/>
    <col min="262" max="262" width="12.140625" style="112" customWidth="1"/>
    <col min="263" max="263" width="14" style="112" customWidth="1"/>
    <col min="264" max="264" width="12.5703125" style="112" customWidth="1"/>
    <col min="265" max="266" width="13.140625" style="112" customWidth="1"/>
    <col min="267" max="268" width="9.140625" style="112"/>
    <col min="269" max="269" width="11" style="112" customWidth="1"/>
    <col min="270" max="512" width="9.140625" style="112"/>
    <col min="513" max="513" width="26.85546875" style="112" customWidth="1"/>
    <col min="514" max="514" width="0" style="112" hidden="1" customWidth="1"/>
    <col min="515" max="515" width="12.42578125" style="112" customWidth="1"/>
    <col min="516" max="517" width="11.140625" style="112" customWidth="1"/>
    <col min="518" max="518" width="12.140625" style="112" customWidth="1"/>
    <col min="519" max="519" width="14" style="112" customWidth="1"/>
    <col min="520" max="520" width="12.5703125" style="112" customWidth="1"/>
    <col min="521" max="522" width="13.140625" style="112" customWidth="1"/>
    <col min="523" max="524" width="9.140625" style="112"/>
    <col min="525" max="525" width="11" style="112" customWidth="1"/>
    <col min="526" max="768" width="9.140625" style="112"/>
    <col min="769" max="769" width="26.85546875" style="112" customWidth="1"/>
    <col min="770" max="770" width="0" style="112" hidden="1" customWidth="1"/>
    <col min="771" max="771" width="12.42578125" style="112" customWidth="1"/>
    <col min="772" max="773" width="11.140625" style="112" customWidth="1"/>
    <col min="774" max="774" width="12.140625" style="112" customWidth="1"/>
    <col min="775" max="775" width="14" style="112" customWidth="1"/>
    <col min="776" max="776" width="12.5703125" style="112" customWidth="1"/>
    <col min="777" max="778" width="13.140625" style="112" customWidth="1"/>
    <col min="779" max="780" width="9.140625" style="112"/>
    <col min="781" max="781" width="11" style="112" customWidth="1"/>
    <col min="782" max="1024" width="9.140625" style="112"/>
    <col min="1025" max="1025" width="26.85546875" style="112" customWidth="1"/>
    <col min="1026" max="1026" width="0" style="112" hidden="1" customWidth="1"/>
    <col min="1027" max="1027" width="12.42578125" style="112" customWidth="1"/>
    <col min="1028" max="1029" width="11.140625" style="112" customWidth="1"/>
    <col min="1030" max="1030" width="12.140625" style="112" customWidth="1"/>
    <col min="1031" max="1031" width="14" style="112" customWidth="1"/>
    <col min="1032" max="1032" width="12.5703125" style="112" customWidth="1"/>
    <col min="1033" max="1034" width="13.140625" style="112" customWidth="1"/>
    <col min="1035" max="1036" width="9.140625" style="112"/>
    <col min="1037" max="1037" width="11" style="112" customWidth="1"/>
    <col min="1038" max="1280" width="9.140625" style="112"/>
    <col min="1281" max="1281" width="26.85546875" style="112" customWidth="1"/>
    <col min="1282" max="1282" width="0" style="112" hidden="1" customWidth="1"/>
    <col min="1283" max="1283" width="12.42578125" style="112" customWidth="1"/>
    <col min="1284" max="1285" width="11.140625" style="112" customWidth="1"/>
    <col min="1286" max="1286" width="12.140625" style="112" customWidth="1"/>
    <col min="1287" max="1287" width="14" style="112" customWidth="1"/>
    <col min="1288" max="1288" width="12.5703125" style="112" customWidth="1"/>
    <col min="1289" max="1290" width="13.140625" style="112" customWidth="1"/>
    <col min="1291" max="1292" width="9.140625" style="112"/>
    <col min="1293" max="1293" width="11" style="112" customWidth="1"/>
    <col min="1294" max="1536" width="9.140625" style="112"/>
    <col min="1537" max="1537" width="26.85546875" style="112" customWidth="1"/>
    <col min="1538" max="1538" width="0" style="112" hidden="1" customWidth="1"/>
    <col min="1539" max="1539" width="12.42578125" style="112" customWidth="1"/>
    <col min="1540" max="1541" width="11.140625" style="112" customWidth="1"/>
    <col min="1542" max="1542" width="12.140625" style="112" customWidth="1"/>
    <col min="1543" max="1543" width="14" style="112" customWidth="1"/>
    <col min="1544" max="1544" width="12.5703125" style="112" customWidth="1"/>
    <col min="1545" max="1546" width="13.140625" style="112" customWidth="1"/>
    <col min="1547" max="1548" width="9.140625" style="112"/>
    <col min="1549" max="1549" width="11" style="112" customWidth="1"/>
    <col min="1550" max="1792" width="9.140625" style="112"/>
    <col min="1793" max="1793" width="26.85546875" style="112" customWidth="1"/>
    <col min="1794" max="1794" width="0" style="112" hidden="1" customWidth="1"/>
    <col min="1795" max="1795" width="12.42578125" style="112" customWidth="1"/>
    <col min="1796" max="1797" width="11.140625" style="112" customWidth="1"/>
    <col min="1798" max="1798" width="12.140625" style="112" customWidth="1"/>
    <col min="1799" max="1799" width="14" style="112" customWidth="1"/>
    <col min="1800" max="1800" width="12.5703125" style="112" customWidth="1"/>
    <col min="1801" max="1802" width="13.140625" style="112" customWidth="1"/>
    <col min="1803" max="1804" width="9.140625" style="112"/>
    <col min="1805" max="1805" width="11" style="112" customWidth="1"/>
    <col min="1806" max="2048" width="9.140625" style="112"/>
    <col min="2049" max="2049" width="26.85546875" style="112" customWidth="1"/>
    <col min="2050" max="2050" width="0" style="112" hidden="1" customWidth="1"/>
    <col min="2051" max="2051" width="12.42578125" style="112" customWidth="1"/>
    <col min="2052" max="2053" width="11.140625" style="112" customWidth="1"/>
    <col min="2054" max="2054" width="12.140625" style="112" customWidth="1"/>
    <col min="2055" max="2055" width="14" style="112" customWidth="1"/>
    <col min="2056" max="2056" width="12.5703125" style="112" customWidth="1"/>
    <col min="2057" max="2058" width="13.140625" style="112" customWidth="1"/>
    <col min="2059" max="2060" width="9.140625" style="112"/>
    <col min="2061" max="2061" width="11" style="112" customWidth="1"/>
    <col min="2062" max="2304" width="9.140625" style="112"/>
    <col min="2305" max="2305" width="26.85546875" style="112" customWidth="1"/>
    <col min="2306" max="2306" width="0" style="112" hidden="1" customWidth="1"/>
    <col min="2307" max="2307" width="12.42578125" style="112" customWidth="1"/>
    <col min="2308" max="2309" width="11.140625" style="112" customWidth="1"/>
    <col min="2310" max="2310" width="12.140625" style="112" customWidth="1"/>
    <col min="2311" max="2311" width="14" style="112" customWidth="1"/>
    <col min="2312" max="2312" width="12.5703125" style="112" customWidth="1"/>
    <col min="2313" max="2314" width="13.140625" style="112" customWidth="1"/>
    <col min="2315" max="2316" width="9.140625" style="112"/>
    <col min="2317" max="2317" width="11" style="112" customWidth="1"/>
    <col min="2318" max="2560" width="9.140625" style="112"/>
    <col min="2561" max="2561" width="26.85546875" style="112" customWidth="1"/>
    <col min="2562" max="2562" width="0" style="112" hidden="1" customWidth="1"/>
    <col min="2563" max="2563" width="12.42578125" style="112" customWidth="1"/>
    <col min="2564" max="2565" width="11.140625" style="112" customWidth="1"/>
    <col min="2566" max="2566" width="12.140625" style="112" customWidth="1"/>
    <col min="2567" max="2567" width="14" style="112" customWidth="1"/>
    <col min="2568" max="2568" width="12.5703125" style="112" customWidth="1"/>
    <col min="2569" max="2570" width="13.140625" style="112" customWidth="1"/>
    <col min="2571" max="2572" width="9.140625" style="112"/>
    <col min="2573" max="2573" width="11" style="112" customWidth="1"/>
    <col min="2574" max="2816" width="9.140625" style="112"/>
    <col min="2817" max="2817" width="26.85546875" style="112" customWidth="1"/>
    <col min="2818" max="2818" width="0" style="112" hidden="1" customWidth="1"/>
    <col min="2819" max="2819" width="12.42578125" style="112" customWidth="1"/>
    <col min="2820" max="2821" width="11.140625" style="112" customWidth="1"/>
    <col min="2822" max="2822" width="12.140625" style="112" customWidth="1"/>
    <col min="2823" max="2823" width="14" style="112" customWidth="1"/>
    <col min="2824" max="2824" width="12.5703125" style="112" customWidth="1"/>
    <col min="2825" max="2826" width="13.140625" style="112" customWidth="1"/>
    <col min="2827" max="2828" width="9.140625" style="112"/>
    <col min="2829" max="2829" width="11" style="112" customWidth="1"/>
    <col min="2830" max="3072" width="9.140625" style="112"/>
    <col min="3073" max="3073" width="26.85546875" style="112" customWidth="1"/>
    <col min="3074" max="3074" width="0" style="112" hidden="1" customWidth="1"/>
    <col min="3075" max="3075" width="12.42578125" style="112" customWidth="1"/>
    <col min="3076" max="3077" width="11.140625" style="112" customWidth="1"/>
    <col min="3078" max="3078" width="12.140625" style="112" customWidth="1"/>
    <col min="3079" max="3079" width="14" style="112" customWidth="1"/>
    <col min="3080" max="3080" width="12.5703125" style="112" customWidth="1"/>
    <col min="3081" max="3082" width="13.140625" style="112" customWidth="1"/>
    <col min="3083" max="3084" width="9.140625" style="112"/>
    <col min="3085" max="3085" width="11" style="112" customWidth="1"/>
    <col min="3086" max="3328" width="9.140625" style="112"/>
    <col min="3329" max="3329" width="26.85546875" style="112" customWidth="1"/>
    <col min="3330" max="3330" width="0" style="112" hidden="1" customWidth="1"/>
    <col min="3331" max="3331" width="12.42578125" style="112" customWidth="1"/>
    <col min="3332" max="3333" width="11.140625" style="112" customWidth="1"/>
    <col min="3334" max="3334" width="12.140625" style="112" customWidth="1"/>
    <col min="3335" max="3335" width="14" style="112" customWidth="1"/>
    <col min="3336" max="3336" width="12.5703125" style="112" customWidth="1"/>
    <col min="3337" max="3338" width="13.140625" style="112" customWidth="1"/>
    <col min="3339" max="3340" width="9.140625" style="112"/>
    <col min="3341" max="3341" width="11" style="112" customWidth="1"/>
    <col min="3342" max="3584" width="9.140625" style="112"/>
    <col min="3585" max="3585" width="26.85546875" style="112" customWidth="1"/>
    <col min="3586" max="3586" width="0" style="112" hidden="1" customWidth="1"/>
    <col min="3587" max="3587" width="12.42578125" style="112" customWidth="1"/>
    <col min="3588" max="3589" width="11.140625" style="112" customWidth="1"/>
    <col min="3590" max="3590" width="12.140625" style="112" customWidth="1"/>
    <col min="3591" max="3591" width="14" style="112" customWidth="1"/>
    <col min="3592" max="3592" width="12.5703125" style="112" customWidth="1"/>
    <col min="3593" max="3594" width="13.140625" style="112" customWidth="1"/>
    <col min="3595" max="3596" width="9.140625" style="112"/>
    <col min="3597" max="3597" width="11" style="112" customWidth="1"/>
    <col min="3598" max="3840" width="9.140625" style="112"/>
    <col min="3841" max="3841" width="26.85546875" style="112" customWidth="1"/>
    <col min="3842" max="3842" width="0" style="112" hidden="1" customWidth="1"/>
    <col min="3843" max="3843" width="12.42578125" style="112" customWidth="1"/>
    <col min="3844" max="3845" width="11.140625" style="112" customWidth="1"/>
    <col min="3846" max="3846" width="12.140625" style="112" customWidth="1"/>
    <col min="3847" max="3847" width="14" style="112" customWidth="1"/>
    <col min="3848" max="3848" width="12.5703125" style="112" customWidth="1"/>
    <col min="3849" max="3850" width="13.140625" style="112" customWidth="1"/>
    <col min="3851" max="3852" width="9.140625" style="112"/>
    <col min="3853" max="3853" width="11" style="112" customWidth="1"/>
    <col min="3854" max="4096" width="9.140625" style="112"/>
    <col min="4097" max="4097" width="26.85546875" style="112" customWidth="1"/>
    <col min="4098" max="4098" width="0" style="112" hidden="1" customWidth="1"/>
    <col min="4099" max="4099" width="12.42578125" style="112" customWidth="1"/>
    <col min="4100" max="4101" width="11.140625" style="112" customWidth="1"/>
    <col min="4102" max="4102" width="12.140625" style="112" customWidth="1"/>
    <col min="4103" max="4103" width="14" style="112" customWidth="1"/>
    <col min="4104" max="4104" width="12.5703125" style="112" customWidth="1"/>
    <col min="4105" max="4106" width="13.140625" style="112" customWidth="1"/>
    <col min="4107" max="4108" width="9.140625" style="112"/>
    <col min="4109" max="4109" width="11" style="112" customWidth="1"/>
    <col min="4110" max="4352" width="9.140625" style="112"/>
    <col min="4353" max="4353" width="26.85546875" style="112" customWidth="1"/>
    <col min="4354" max="4354" width="0" style="112" hidden="1" customWidth="1"/>
    <col min="4355" max="4355" width="12.42578125" style="112" customWidth="1"/>
    <col min="4356" max="4357" width="11.140625" style="112" customWidth="1"/>
    <col min="4358" max="4358" width="12.140625" style="112" customWidth="1"/>
    <col min="4359" max="4359" width="14" style="112" customWidth="1"/>
    <col min="4360" max="4360" width="12.5703125" style="112" customWidth="1"/>
    <col min="4361" max="4362" width="13.140625" style="112" customWidth="1"/>
    <col min="4363" max="4364" width="9.140625" style="112"/>
    <col min="4365" max="4365" width="11" style="112" customWidth="1"/>
    <col min="4366" max="4608" width="9.140625" style="112"/>
    <col min="4609" max="4609" width="26.85546875" style="112" customWidth="1"/>
    <col min="4610" max="4610" width="0" style="112" hidden="1" customWidth="1"/>
    <col min="4611" max="4611" width="12.42578125" style="112" customWidth="1"/>
    <col min="4612" max="4613" width="11.140625" style="112" customWidth="1"/>
    <col min="4614" max="4614" width="12.140625" style="112" customWidth="1"/>
    <col min="4615" max="4615" width="14" style="112" customWidth="1"/>
    <col min="4616" max="4616" width="12.5703125" style="112" customWidth="1"/>
    <col min="4617" max="4618" width="13.140625" style="112" customWidth="1"/>
    <col min="4619" max="4620" width="9.140625" style="112"/>
    <col min="4621" max="4621" width="11" style="112" customWidth="1"/>
    <col min="4622" max="4864" width="9.140625" style="112"/>
    <col min="4865" max="4865" width="26.85546875" style="112" customWidth="1"/>
    <col min="4866" max="4866" width="0" style="112" hidden="1" customWidth="1"/>
    <col min="4867" max="4867" width="12.42578125" style="112" customWidth="1"/>
    <col min="4868" max="4869" width="11.140625" style="112" customWidth="1"/>
    <col min="4870" max="4870" width="12.140625" style="112" customWidth="1"/>
    <col min="4871" max="4871" width="14" style="112" customWidth="1"/>
    <col min="4872" max="4872" width="12.5703125" style="112" customWidth="1"/>
    <col min="4873" max="4874" width="13.140625" style="112" customWidth="1"/>
    <col min="4875" max="4876" width="9.140625" style="112"/>
    <col min="4877" max="4877" width="11" style="112" customWidth="1"/>
    <col min="4878" max="5120" width="9.140625" style="112"/>
    <col min="5121" max="5121" width="26.85546875" style="112" customWidth="1"/>
    <col min="5122" max="5122" width="0" style="112" hidden="1" customWidth="1"/>
    <col min="5123" max="5123" width="12.42578125" style="112" customWidth="1"/>
    <col min="5124" max="5125" width="11.140625" style="112" customWidth="1"/>
    <col min="5126" max="5126" width="12.140625" style="112" customWidth="1"/>
    <col min="5127" max="5127" width="14" style="112" customWidth="1"/>
    <col min="5128" max="5128" width="12.5703125" style="112" customWidth="1"/>
    <col min="5129" max="5130" width="13.140625" style="112" customWidth="1"/>
    <col min="5131" max="5132" width="9.140625" style="112"/>
    <col min="5133" max="5133" width="11" style="112" customWidth="1"/>
    <col min="5134" max="5376" width="9.140625" style="112"/>
    <col min="5377" max="5377" width="26.85546875" style="112" customWidth="1"/>
    <col min="5378" max="5378" width="0" style="112" hidden="1" customWidth="1"/>
    <col min="5379" max="5379" width="12.42578125" style="112" customWidth="1"/>
    <col min="5380" max="5381" width="11.140625" style="112" customWidth="1"/>
    <col min="5382" max="5382" width="12.140625" style="112" customWidth="1"/>
    <col min="5383" max="5383" width="14" style="112" customWidth="1"/>
    <col min="5384" max="5384" width="12.5703125" style="112" customWidth="1"/>
    <col min="5385" max="5386" width="13.140625" style="112" customWidth="1"/>
    <col min="5387" max="5388" width="9.140625" style="112"/>
    <col min="5389" max="5389" width="11" style="112" customWidth="1"/>
    <col min="5390" max="5632" width="9.140625" style="112"/>
    <col min="5633" max="5633" width="26.85546875" style="112" customWidth="1"/>
    <col min="5634" max="5634" width="0" style="112" hidden="1" customWidth="1"/>
    <col min="5635" max="5635" width="12.42578125" style="112" customWidth="1"/>
    <col min="5636" max="5637" width="11.140625" style="112" customWidth="1"/>
    <col min="5638" max="5638" width="12.140625" style="112" customWidth="1"/>
    <col min="5639" max="5639" width="14" style="112" customWidth="1"/>
    <col min="5640" max="5640" width="12.5703125" style="112" customWidth="1"/>
    <col min="5641" max="5642" width="13.140625" style="112" customWidth="1"/>
    <col min="5643" max="5644" width="9.140625" style="112"/>
    <col min="5645" max="5645" width="11" style="112" customWidth="1"/>
    <col min="5646" max="5888" width="9.140625" style="112"/>
    <col min="5889" max="5889" width="26.85546875" style="112" customWidth="1"/>
    <col min="5890" max="5890" width="0" style="112" hidden="1" customWidth="1"/>
    <col min="5891" max="5891" width="12.42578125" style="112" customWidth="1"/>
    <col min="5892" max="5893" width="11.140625" style="112" customWidth="1"/>
    <col min="5894" max="5894" width="12.140625" style="112" customWidth="1"/>
    <col min="5895" max="5895" width="14" style="112" customWidth="1"/>
    <col min="5896" max="5896" width="12.5703125" style="112" customWidth="1"/>
    <col min="5897" max="5898" width="13.140625" style="112" customWidth="1"/>
    <col min="5899" max="5900" width="9.140625" style="112"/>
    <col min="5901" max="5901" width="11" style="112" customWidth="1"/>
    <col min="5902" max="6144" width="9.140625" style="112"/>
    <col min="6145" max="6145" width="26.85546875" style="112" customWidth="1"/>
    <col min="6146" max="6146" width="0" style="112" hidden="1" customWidth="1"/>
    <col min="6147" max="6147" width="12.42578125" style="112" customWidth="1"/>
    <col min="6148" max="6149" width="11.140625" style="112" customWidth="1"/>
    <col min="6150" max="6150" width="12.140625" style="112" customWidth="1"/>
    <col min="6151" max="6151" width="14" style="112" customWidth="1"/>
    <col min="6152" max="6152" width="12.5703125" style="112" customWidth="1"/>
    <col min="6153" max="6154" width="13.140625" style="112" customWidth="1"/>
    <col min="6155" max="6156" width="9.140625" style="112"/>
    <col min="6157" max="6157" width="11" style="112" customWidth="1"/>
    <col min="6158" max="6400" width="9.140625" style="112"/>
    <col min="6401" max="6401" width="26.85546875" style="112" customWidth="1"/>
    <col min="6402" max="6402" width="0" style="112" hidden="1" customWidth="1"/>
    <col min="6403" max="6403" width="12.42578125" style="112" customWidth="1"/>
    <col min="6404" max="6405" width="11.140625" style="112" customWidth="1"/>
    <col min="6406" max="6406" width="12.140625" style="112" customWidth="1"/>
    <col min="6407" max="6407" width="14" style="112" customWidth="1"/>
    <col min="6408" max="6408" width="12.5703125" style="112" customWidth="1"/>
    <col min="6409" max="6410" width="13.140625" style="112" customWidth="1"/>
    <col min="6411" max="6412" width="9.140625" style="112"/>
    <col min="6413" max="6413" width="11" style="112" customWidth="1"/>
    <col min="6414" max="6656" width="9.140625" style="112"/>
    <col min="6657" max="6657" width="26.85546875" style="112" customWidth="1"/>
    <col min="6658" max="6658" width="0" style="112" hidden="1" customWidth="1"/>
    <col min="6659" max="6659" width="12.42578125" style="112" customWidth="1"/>
    <col min="6660" max="6661" width="11.140625" style="112" customWidth="1"/>
    <col min="6662" max="6662" width="12.140625" style="112" customWidth="1"/>
    <col min="6663" max="6663" width="14" style="112" customWidth="1"/>
    <col min="6664" max="6664" width="12.5703125" style="112" customWidth="1"/>
    <col min="6665" max="6666" width="13.140625" style="112" customWidth="1"/>
    <col min="6667" max="6668" width="9.140625" style="112"/>
    <col min="6669" max="6669" width="11" style="112" customWidth="1"/>
    <col min="6670" max="6912" width="9.140625" style="112"/>
    <col min="6913" max="6913" width="26.85546875" style="112" customWidth="1"/>
    <col min="6914" max="6914" width="0" style="112" hidden="1" customWidth="1"/>
    <col min="6915" max="6915" width="12.42578125" style="112" customWidth="1"/>
    <col min="6916" max="6917" width="11.140625" style="112" customWidth="1"/>
    <col min="6918" max="6918" width="12.140625" style="112" customWidth="1"/>
    <col min="6919" max="6919" width="14" style="112" customWidth="1"/>
    <col min="6920" max="6920" width="12.5703125" style="112" customWidth="1"/>
    <col min="6921" max="6922" width="13.140625" style="112" customWidth="1"/>
    <col min="6923" max="6924" width="9.140625" style="112"/>
    <col min="6925" max="6925" width="11" style="112" customWidth="1"/>
    <col min="6926" max="7168" width="9.140625" style="112"/>
    <col min="7169" max="7169" width="26.85546875" style="112" customWidth="1"/>
    <col min="7170" max="7170" width="0" style="112" hidden="1" customWidth="1"/>
    <col min="7171" max="7171" width="12.42578125" style="112" customWidth="1"/>
    <col min="7172" max="7173" width="11.140625" style="112" customWidth="1"/>
    <col min="7174" max="7174" width="12.140625" style="112" customWidth="1"/>
    <col min="7175" max="7175" width="14" style="112" customWidth="1"/>
    <col min="7176" max="7176" width="12.5703125" style="112" customWidth="1"/>
    <col min="7177" max="7178" width="13.140625" style="112" customWidth="1"/>
    <col min="7179" max="7180" width="9.140625" style="112"/>
    <col min="7181" max="7181" width="11" style="112" customWidth="1"/>
    <col min="7182" max="7424" width="9.140625" style="112"/>
    <col min="7425" max="7425" width="26.85546875" style="112" customWidth="1"/>
    <col min="7426" max="7426" width="0" style="112" hidden="1" customWidth="1"/>
    <col min="7427" max="7427" width="12.42578125" style="112" customWidth="1"/>
    <col min="7428" max="7429" width="11.140625" style="112" customWidth="1"/>
    <col min="7430" max="7430" width="12.140625" style="112" customWidth="1"/>
    <col min="7431" max="7431" width="14" style="112" customWidth="1"/>
    <col min="7432" max="7432" width="12.5703125" style="112" customWidth="1"/>
    <col min="7433" max="7434" width="13.140625" style="112" customWidth="1"/>
    <col min="7435" max="7436" width="9.140625" style="112"/>
    <col min="7437" max="7437" width="11" style="112" customWidth="1"/>
    <col min="7438" max="7680" width="9.140625" style="112"/>
    <col min="7681" max="7681" width="26.85546875" style="112" customWidth="1"/>
    <col min="7682" max="7682" width="0" style="112" hidden="1" customWidth="1"/>
    <col min="7683" max="7683" width="12.42578125" style="112" customWidth="1"/>
    <col min="7684" max="7685" width="11.140625" style="112" customWidth="1"/>
    <col min="7686" max="7686" width="12.140625" style="112" customWidth="1"/>
    <col min="7687" max="7687" width="14" style="112" customWidth="1"/>
    <col min="7688" max="7688" width="12.5703125" style="112" customWidth="1"/>
    <col min="7689" max="7690" width="13.140625" style="112" customWidth="1"/>
    <col min="7691" max="7692" width="9.140625" style="112"/>
    <col min="7693" max="7693" width="11" style="112" customWidth="1"/>
    <col min="7694" max="7936" width="9.140625" style="112"/>
    <col min="7937" max="7937" width="26.85546875" style="112" customWidth="1"/>
    <col min="7938" max="7938" width="0" style="112" hidden="1" customWidth="1"/>
    <col min="7939" max="7939" width="12.42578125" style="112" customWidth="1"/>
    <col min="7940" max="7941" width="11.140625" style="112" customWidth="1"/>
    <col min="7942" max="7942" width="12.140625" style="112" customWidth="1"/>
    <col min="7943" max="7943" width="14" style="112" customWidth="1"/>
    <col min="7944" max="7944" width="12.5703125" style="112" customWidth="1"/>
    <col min="7945" max="7946" width="13.140625" style="112" customWidth="1"/>
    <col min="7947" max="7948" width="9.140625" style="112"/>
    <col min="7949" max="7949" width="11" style="112" customWidth="1"/>
    <col min="7950" max="8192" width="9.140625" style="112"/>
    <col min="8193" max="8193" width="26.85546875" style="112" customWidth="1"/>
    <col min="8194" max="8194" width="0" style="112" hidden="1" customWidth="1"/>
    <col min="8195" max="8195" width="12.42578125" style="112" customWidth="1"/>
    <col min="8196" max="8197" width="11.140625" style="112" customWidth="1"/>
    <col min="8198" max="8198" width="12.140625" style="112" customWidth="1"/>
    <col min="8199" max="8199" width="14" style="112" customWidth="1"/>
    <col min="8200" max="8200" width="12.5703125" style="112" customWidth="1"/>
    <col min="8201" max="8202" width="13.140625" style="112" customWidth="1"/>
    <col min="8203" max="8204" width="9.140625" style="112"/>
    <col min="8205" max="8205" width="11" style="112" customWidth="1"/>
    <col min="8206" max="8448" width="9.140625" style="112"/>
    <col min="8449" max="8449" width="26.85546875" style="112" customWidth="1"/>
    <col min="8450" max="8450" width="0" style="112" hidden="1" customWidth="1"/>
    <col min="8451" max="8451" width="12.42578125" style="112" customWidth="1"/>
    <col min="8452" max="8453" width="11.140625" style="112" customWidth="1"/>
    <col min="8454" max="8454" width="12.140625" style="112" customWidth="1"/>
    <col min="8455" max="8455" width="14" style="112" customWidth="1"/>
    <col min="8456" max="8456" width="12.5703125" style="112" customWidth="1"/>
    <col min="8457" max="8458" width="13.140625" style="112" customWidth="1"/>
    <col min="8459" max="8460" width="9.140625" style="112"/>
    <col min="8461" max="8461" width="11" style="112" customWidth="1"/>
    <col min="8462" max="8704" width="9.140625" style="112"/>
    <col min="8705" max="8705" width="26.85546875" style="112" customWidth="1"/>
    <col min="8706" max="8706" width="0" style="112" hidden="1" customWidth="1"/>
    <col min="8707" max="8707" width="12.42578125" style="112" customWidth="1"/>
    <col min="8708" max="8709" width="11.140625" style="112" customWidth="1"/>
    <col min="8710" max="8710" width="12.140625" style="112" customWidth="1"/>
    <col min="8711" max="8711" width="14" style="112" customWidth="1"/>
    <col min="8712" max="8712" width="12.5703125" style="112" customWidth="1"/>
    <col min="8713" max="8714" width="13.140625" style="112" customWidth="1"/>
    <col min="8715" max="8716" width="9.140625" style="112"/>
    <col min="8717" max="8717" width="11" style="112" customWidth="1"/>
    <col min="8718" max="8960" width="9.140625" style="112"/>
    <col min="8961" max="8961" width="26.85546875" style="112" customWidth="1"/>
    <col min="8962" max="8962" width="0" style="112" hidden="1" customWidth="1"/>
    <col min="8963" max="8963" width="12.42578125" style="112" customWidth="1"/>
    <col min="8964" max="8965" width="11.140625" style="112" customWidth="1"/>
    <col min="8966" max="8966" width="12.140625" style="112" customWidth="1"/>
    <col min="8967" max="8967" width="14" style="112" customWidth="1"/>
    <col min="8968" max="8968" width="12.5703125" style="112" customWidth="1"/>
    <col min="8969" max="8970" width="13.140625" style="112" customWidth="1"/>
    <col min="8971" max="8972" width="9.140625" style="112"/>
    <col min="8973" max="8973" width="11" style="112" customWidth="1"/>
    <col min="8974" max="9216" width="9.140625" style="112"/>
    <col min="9217" max="9217" width="26.85546875" style="112" customWidth="1"/>
    <col min="9218" max="9218" width="0" style="112" hidden="1" customWidth="1"/>
    <col min="9219" max="9219" width="12.42578125" style="112" customWidth="1"/>
    <col min="9220" max="9221" width="11.140625" style="112" customWidth="1"/>
    <col min="9222" max="9222" width="12.140625" style="112" customWidth="1"/>
    <col min="9223" max="9223" width="14" style="112" customWidth="1"/>
    <col min="9224" max="9224" width="12.5703125" style="112" customWidth="1"/>
    <col min="9225" max="9226" width="13.140625" style="112" customWidth="1"/>
    <col min="9227" max="9228" width="9.140625" style="112"/>
    <col min="9229" max="9229" width="11" style="112" customWidth="1"/>
    <col min="9230" max="9472" width="9.140625" style="112"/>
    <col min="9473" max="9473" width="26.85546875" style="112" customWidth="1"/>
    <col min="9474" max="9474" width="0" style="112" hidden="1" customWidth="1"/>
    <col min="9475" max="9475" width="12.42578125" style="112" customWidth="1"/>
    <col min="9476" max="9477" width="11.140625" style="112" customWidth="1"/>
    <col min="9478" max="9478" width="12.140625" style="112" customWidth="1"/>
    <col min="9479" max="9479" width="14" style="112" customWidth="1"/>
    <col min="9480" max="9480" width="12.5703125" style="112" customWidth="1"/>
    <col min="9481" max="9482" width="13.140625" style="112" customWidth="1"/>
    <col min="9483" max="9484" width="9.140625" style="112"/>
    <col min="9485" max="9485" width="11" style="112" customWidth="1"/>
    <col min="9486" max="9728" width="9.140625" style="112"/>
    <col min="9729" max="9729" width="26.85546875" style="112" customWidth="1"/>
    <col min="9730" max="9730" width="0" style="112" hidden="1" customWidth="1"/>
    <col min="9731" max="9731" width="12.42578125" style="112" customWidth="1"/>
    <col min="9732" max="9733" width="11.140625" style="112" customWidth="1"/>
    <col min="9734" max="9734" width="12.140625" style="112" customWidth="1"/>
    <col min="9735" max="9735" width="14" style="112" customWidth="1"/>
    <col min="9736" max="9736" width="12.5703125" style="112" customWidth="1"/>
    <col min="9737" max="9738" width="13.140625" style="112" customWidth="1"/>
    <col min="9739" max="9740" width="9.140625" style="112"/>
    <col min="9741" max="9741" width="11" style="112" customWidth="1"/>
    <col min="9742" max="9984" width="9.140625" style="112"/>
    <col min="9985" max="9985" width="26.85546875" style="112" customWidth="1"/>
    <col min="9986" max="9986" width="0" style="112" hidden="1" customWidth="1"/>
    <col min="9987" max="9987" width="12.42578125" style="112" customWidth="1"/>
    <col min="9988" max="9989" width="11.140625" style="112" customWidth="1"/>
    <col min="9990" max="9990" width="12.140625" style="112" customWidth="1"/>
    <col min="9991" max="9991" width="14" style="112" customWidth="1"/>
    <col min="9992" max="9992" width="12.5703125" style="112" customWidth="1"/>
    <col min="9993" max="9994" width="13.140625" style="112" customWidth="1"/>
    <col min="9995" max="9996" width="9.140625" style="112"/>
    <col min="9997" max="9997" width="11" style="112" customWidth="1"/>
    <col min="9998" max="10240" width="9.140625" style="112"/>
    <col min="10241" max="10241" width="26.85546875" style="112" customWidth="1"/>
    <col min="10242" max="10242" width="0" style="112" hidden="1" customWidth="1"/>
    <col min="10243" max="10243" width="12.42578125" style="112" customWidth="1"/>
    <col min="10244" max="10245" width="11.140625" style="112" customWidth="1"/>
    <col min="10246" max="10246" width="12.140625" style="112" customWidth="1"/>
    <col min="10247" max="10247" width="14" style="112" customWidth="1"/>
    <col min="10248" max="10248" width="12.5703125" style="112" customWidth="1"/>
    <col min="10249" max="10250" width="13.140625" style="112" customWidth="1"/>
    <col min="10251" max="10252" width="9.140625" style="112"/>
    <col min="10253" max="10253" width="11" style="112" customWidth="1"/>
    <col min="10254" max="10496" width="9.140625" style="112"/>
    <col min="10497" max="10497" width="26.85546875" style="112" customWidth="1"/>
    <col min="10498" max="10498" width="0" style="112" hidden="1" customWidth="1"/>
    <col min="10499" max="10499" width="12.42578125" style="112" customWidth="1"/>
    <col min="10500" max="10501" width="11.140625" style="112" customWidth="1"/>
    <col min="10502" max="10502" width="12.140625" style="112" customWidth="1"/>
    <col min="10503" max="10503" width="14" style="112" customWidth="1"/>
    <col min="10504" max="10504" width="12.5703125" style="112" customWidth="1"/>
    <col min="10505" max="10506" width="13.140625" style="112" customWidth="1"/>
    <col min="10507" max="10508" width="9.140625" style="112"/>
    <col min="10509" max="10509" width="11" style="112" customWidth="1"/>
    <col min="10510" max="10752" width="9.140625" style="112"/>
    <col min="10753" max="10753" width="26.85546875" style="112" customWidth="1"/>
    <col min="10754" max="10754" width="0" style="112" hidden="1" customWidth="1"/>
    <col min="10755" max="10755" width="12.42578125" style="112" customWidth="1"/>
    <col min="10756" max="10757" width="11.140625" style="112" customWidth="1"/>
    <col min="10758" max="10758" width="12.140625" style="112" customWidth="1"/>
    <col min="10759" max="10759" width="14" style="112" customWidth="1"/>
    <col min="10760" max="10760" width="12.5703125" style="112" customWidth="1"/>
    <col min="10761" max="10762" width="13.140625" style="112" customWidth="1"/>
    <col min="10763" max="10764" width="9.140625" style="112"/>
    <col min="10765" max="10765" width="11" style="112" customWidth="1"/>
    <col min="10766" max="11008" width="9.140625" style="112"/>
    <col min="11009" max="11009" width="26.85546875" style="112" customWidth="1"/>
    <col min="11010" max="11010" width="0" style="112" hidden="1" customWidth="1"/>
    <col min="11011" max="11011" width="12.42578125" style="112" customWidth="1"/>
    <col min="11012" max="11013" width="11.140625" style="112" customWidth="1"/>
    <col min="11014" max="11014" width="12.140625" style="112" customWidth="1"/>
    <col min="11015" max="11015" width="14" style="112" customWidth="1"/>
    <col min="11016" max="11016" width="12.5703125" style="112" customWidth="1"/>
    <col min="11017" max="11018" width="13.140625" style="112" customWidth="1"/>
    <col min="11019" max="11020" width="9.140625" style="112"/>
    <col min="11021" max="11021" width="11" style="112" customWidth="1"/>
    <col min="11022" max="11264" width="9.140625" style="112"/>
    <col min="11265" max="11265" width="26.85546875" style="112" customWidth="1"/>
    <col min="11266" max="11266" width="0" style="112" hidden="1" customWidth="1"/>
    <col min="11267" max="11267" width="12.42578125" style="112" customWidth="1"/>
    <col min="11268" max="11269" width="11.140625" style="112" customWidth="1"/>
    <col min="11270" max="11270" width="12.140625" style="112" customWidth="1"/>
    <col min="11271" max="11271" width="14" style="112" customWidth="1"/>
    <col min="11272" max="11272" width="12.5703125" style="112" customWidth="1"/>
    <col min="11273" max="11274" width="13.140625" style="112" customWidth="1"/>
    <col min="11275" max="11276" width="9.140625" style="112"/>
    <col min="11277" max="11277" width="11" style="112" customWidth="1"/>
    <col min="11278" max="11520" width="9.140625" style="112"/>
    <col min="11521" max="11521" width="26.85546875" style="112" customWidth="1"/>
    <col min="11522" max="11522" width="0" style="112" hidden="1" customWidth="1"/>
    <col min="11523" max="11523" width="12.42578125" style="112" customWidth="1"/>
    <col min="11524" max="11525" width="11.140625" style="112" customWidth="1"/>
    <col min="11526" max="11526" width="12.140625" style="112" customWidth="1"/>
    <col min="11527" max="11527" width="14" style="112" customWidth="1"/>
    <col min="11528" max="11528" width="12.5703125" style="112" customWidth="1"/>
    <col min="11529" max="11530" width="13.140625" style="112" customWidth="1"/>
    <col min="11531" max="11532" width="9.140625" style="112"/>
    <col min="11533" max="11533" width="11" style="112" customWidth="1"/>
    <col min="11534" max="11776" width="9.140625" style="112"/>
    <col min="11777" max="11777" width="26.85546875" style="112" customWidth="1"/>
    <col min="11778" max="11778" width="0" style="112" hidden="1" customWidth="1"/>
    <col min="11779" max="11779" width="12.42578125" style="112" customWidth="1"/>
    <col min="11780" max="11781" width="11.140625" style="112" customWidth="1"/>
    <col min="11782" max="11782" width="12.140625" style="112" customWidth="1"/>
    <col min="11783" max="11783" width="14" style="112" customWidth="1"/>
    <col min="11784" max="11784" width="12.5703125" style="112" customWidth="1"/>
    <col min="11785" max="11786" width="13.140625" style="112" customWidth="1"/>
    <col min="11787" max="11788" width="9.140625" style="112"/>
    <col min="11789" max="11789" width="11" style="112" customWidth="1"/>
    <col min="11790" max="12032" width="9.140625" style="112"/>
    <col min="12033" max="12033" width="26.85546875" style="112" customWidth="1"/>
    <col min="12034" max="12034" width="0" style="112" hidden="1" customWidth="1"/>
    <col min="12035" max="12035" width="12.42578125" style="112" customWidth="1"/>
    <col min="12036" max="12037" width="11.140625" style="112" customWidth="1"/>
    <col min="12038" max="12038" width="12.140625" style="112" customWidth="1"/>
    <col min="12039" max="12039" width="14" style="112" customWidth="1"/>
    <col min="12040" max="12040" width="12.5703125" style="112" customWidth="1"/>
    <col min="12041" max="12042" width="13.140625" style="112" customWidth="1"/>
    <col min="12043" max="12044" width="9.140625" style="112"/>
    <col min="12045" max="12045" width="11" style="112" customWidth="1"/>
    <col min="12046" max="12288" width="9.140625" style="112"/>
    <col min="12289" max="12289" width="26.85546875" style="112" customWidth="1"/>
    <col min="12290" max="12290" width="0" style="112" hidden="1" customWidth="1"/>
    <col min="12291" max="12291" width="12.42578125" style="112" customWidth="1"/>
    <col min="12292" max="12293" width="11.140625" style="112" customWidth="1"/>
    <col min="12294" max="12294" width="12.140625" style="112" customWidth="1"/>
    <col min="12295" max="12295" width="14" style="112" customWidth="1"/>
    <col min="12296" max="12296" width="12.5703125" style="112" customWidth="1"/>
    <col min="12297" max="12298" width="13.140625" style="112" customWidth="1"/>
    <col min="12299" max="12300" width="9.140625" style="112"/>
    <col min="12301" max="12301" width="11" style="112" customWidth="1"/>
    <col min="12302" max="12544" width="9.140625" style="112"/>
    <col min="12545" max="12545" width="26.85546875" style="112" customWidth="1"/>
    <col min="12546" max="12546" width="0" style="112" hidden="1" customWidth="1"/>
    <col min="12547" max="12547" width="12.42578125" style="112" customWidth="1"/>
    <col min="12548" max="12549" width="11.140625" style="112" customWidth="1"/>
    <col min="12550" max="12550" width="12.140625" style="112" customWidth="1"/>
    <col min="12551" max="12551" width="14" style="112" customWidth="1"/>
    <col min="12552" max="12552" width="12.5703125" style="112" customWidth="1"/>
    <col min="12553" max="12554" width="13.140625" style="112" customWidth="1"/>
    <col min="12555" max="12556" width="9.140625" style="112"/>
    <col min="12557" max="12557" width="11" style="112" customWidth="1"/>
    <col min="12558" max="12800" width="9.140625" style="112"/>
    <col min="12801" max="12801" width="26.85546875" style="112" customWidth="1"/>
    <col min="12802" max="12802" width="0" style="112" hidden="1" customWidth="1"/>
    <col min="12803" max="12803" width="12.42578125" style="112" customWidth="1"/>
    <col min="12804" max="12805" width="11.140625" style="112" customWidth="1"/>
    <col min="12806" max="12806" width="12.140625" style="112" customWidth="1"/>
    <col min="12807" max="12807" width="14" style="112" customWidth="1"/>
    <col min="12808" max="12808" width="12.5703125" style="112" customWidth="1"/>
    <col min="12809" max="12810" width="13.140625" style="112" customWidth="1"/>
    <col min="12811" max="12812" width="9.140625" style="112"/>
    <col min="12813" max="12813" width="11" style="112" customWidth="1"/>
    <col min="12814" max="13056" width="9.140625" style="112"/>
    <col min="13057" max="13057" width="26.85546875" style="112" customWidth="1"/>
    <col min="13058" max="13058" width="0" style="112" hidden="1" customWidth="1"/>
    <col min="13059" max="13059" width="12.42578125" style="112" customWidth="1"/>
    <col min="13060" max="13061" width="11.140625" style="112" customWidth="1"/>
    <col min="13062" max="13062" width="12.140625" style="112" customWidth="1"/>
    <col min="13063" max="13063" width="14" style="112" customWidth="1"/>
    <col min="13064" max="13064" width="12.5703125" style="112" customWidth="1"/>
    <col min="13065" max="13066" width="13.140625" style="112" customWidth="1"/>
    <col min="13067" max="13068" width="9.140625" style="112"/>
    <col min="13069" max="13069" width="11" style="112" customWidth="1"/>
    <col min="13070" max="13312" width="9.140625" style="112"/>
    <col min="13313" max="13313" width="26.85546875" style="112" customWidth="1"/>
    <col min="13314" max="13314" width="0" style="112" hidden="1" customWidth="1"/>
    <col min="13315" max="13315" width="12.42578125" style="112" customWidth="1"/>
    <col min="13316" max="13317" width="11.140625" style="112" customWidth="1"/>
    <col min="13318" max="13318" width="12.140625" style="112" customWidth="1"/>
    <col min="13319" max="13319" width="14" style="112" customWidth="1"/>
    <col min="13320" max="13320" width="12.5703125" style="112" customWidth="1"/>
    <col min="13321" max="13322" width="13.140625" style="112" customWidth="1"/>
    <col min="13323" max="13324" width="9.140625" style="112"/>
    <col min="13325" max="13325" width="11" style="112" customWidth="1"/>
    <col min="13326" max="13568" width="9.140625" style="112"/>
    <col min="13569" max="13569" width="26.85546875" style="112" customWidth="1"/>
    <col min="13570" max="13570" width="0" style="112" hidden="1" customWidth="1"/>
    <col min="13571" max="13571" width="12.42578125" style="112" customWidth="1"/>
    <col min="13572" max="13573" width="11.140625" style="112" customWidth="1"/>
    <col min="13574" max="13574" width="12.140625" style="112" customWidth="1"/>
    <col min="13575" max="13575" width="14" style="112" customWidth="1"/>
    <col min="13576" max="13576" width="12.5703125" style="112" customWidth="1"/>
    <col min="13577" max="13578" width="13.140625" style="112" customWidth="1"/>
    <col min="13579" max="13580" width="9.140625" style="112"/>
    <col min="13581" max="13581" width="11" style="112" customWidth="1"/>
    <col min="13582" max="13824" width="9.140625" style="112"/>
    <col min="13825" max="13825" width="26.85546875" style="112" customWidth="1"/>
    <col min="13826" max="13826" width="0" style="112" hidden="1" customWidth="1"/>
    <col min="13827" max="13827" width="12.42578125" style="112" customWidth="1"/>
    <col min="13828" max="13829" width="11.140625" style="112" customWidth="1"/>
    <col min="13830" max="13830" width="12.140625" style="112" customWidth="1"/>
    <col min="13831" max="13831" width="14" style="112" customWidth="1"/>
    <col min="13832" max="13832" width="12.5703125" style="112" customWidth="1"/>
    <col min="13833" max="13834" width="13.140625" style="112" customWidth="1"/>
    <col min="13835" max="13836" width="9.140625" style="112"/>
    <col min="13837" max="13837" width="11" style="112" customWidth="1"/>
    <col min="13838" max="14080" width="9.140625" style="112"/>
    <col min="14081" max="14081" width="26.85546875" style="112" customWidth="1"/>
    <col min="14082" max="14082" width="0" style="112" hidden="1" customWidth="1"/>
    <col min="14083" max="14083" width="12.42578125" style="112" customWidth="1"/>
    <col min="14084" max="14085" width="11.140625" style="112" customWidth="1"/>
    <col min="14086" max="14086" width="12.140625" style="112" customWidth="1"/>
    <col min="14087" max="14087" width="14" style="112" customWidth="1"/>
    <col min="14088" max="14088" width="12.5703125" style="112" customWidth="1"/>
    <col min="14089" max="14090" width="13.140625" style="112" customWidth="1"/>
    <col min="14091" max="14092" width="9.140625" style="112"/>
    <col min="14093" max="14093" width="11" style="112" customWidth="1"/>
    <col min="14094" max="14336" width="9.140625" style="112"/>
    <col min="14337" max="14337" width="26.85546875" style="112" customWidth="1"/>
    <col min="14338" max="14338" width="0" style="112" hidden="1" customWidth="1"/>
    <col min="14339" max="14339" width="12.42578125" style="112" customWidth="1"/>
    <col min="14340" max="14341" width="11.140625" style="112" customWidth="1"/>
    <col min="14342" max="14342" width="12.140625" style="112" customWidth="1"/>
    <col min="14343" max="14343" width="14" style="112" customWidth="1"/>
    <col min="14344" max="14344" width="12.5703125" style="112" customWidth="1"/>
    <col min="14345" max="14346" width="13.140625" style="112" customWidth="1"/>
    <col min="14347" max="14348" width="9.140625" style="112"/>
    <col min="14349" max="14349" width="11" style="112" customWidth="1"/>
    <col min="14350" max="14592" width="9.140625" style="112"/>
    <col min="14593" max="14593" width="26.85546875" style="112" customWidth="1"/>
    <col min="14594" max="14594" width="0" style="112" hidden="1" customWidth="1"/>
    <col min="14595" max="14595" width="12.42578125" style="112" customWidth="1"/>
    <col min="14596" max="14597" width="11.140625" style="112" customWidth="1"/>
    <col min="14598" max="14598" width="12.140625" style="112" customWidth="1"/>
    <col min="14599" max="14599" width="14" style="112" customWidth="1"/>
    <col min="14600" max="14600" width="12.5703125" style="112" customWidth="1"/>
    <col min="14601" max="14602" width="13.140625" style="112" customWidth="1"/>
    <col min="14603" max="14604" width="9.140625" style="112"/>
    <col min="14605" max="14605" width="11" style="112" customWidth="1"/>
    <col min="14606" max="14848" width="9.140625" style="112"/>
    <col min="14849" max="14849" width="26.85546875" style="112" customWidth="1"/>
    <col min="14850" max="14850" width="0" style="112" hidden="1" customWidth="1"/>
    <col min="14851" max="14851" width="12.42578125" style="112" customWidth="1"/>
    <col min="14852" max="14853" width="11.140625" style="112" customWidth="1"/>
    <col min="14854" max="14854" width="12.140625" style="112" customWidth="1"/>
    <col min="14855" max="14855" width="14" style="112" customWidth="1"/>
    <col min="14856" max="14856" width="12.5703125" style="112" customWidth="1"/>
    <col min="14857" max="14858" width="13.140625" style="112" customWidth="1"/>
    <col min="14859" max="14860" width="9.140625" style="112"/>
    <col min="14861" max="14861" width="11" style="112" customWidth="1"/>
    <col min="14862" max="15104" width="9.140625" style="112"/>
    <col min="15105" max="15105" width="26.85546875" style="112" customWidth="1"/>
    <col min="15106" max="15106" width="0" style="112" hidden="1" customWidth="1"/>
    <col min="15107" max="15107" width="12.42578125" style="112" customWidth="1"/>
    <col min="15108" max="15109" width="11.140625" style="112" customWidth="1"/>
    <col min="15110" max="15110" width="12.140625" style="112" customWidth="1"/>
    <col min="15111" max="15111" width="14" style="112" customWidth="1"/>
    <col min="15112" max="15112" width="12.5703125" style="112" customWidth="1"/>
    <col min="15113" max="15114" width="13.140625" style="112" customWidth="1"/>
    <col min="15115" max="15116" width="9.140625" style="112"/>
    <col min="15117" max="15117" width="11" style="112" customWidth="1"/>
    <col min="15118" max="15360" width="9.140625" style="112"/>
    <col min="15361" max="15361" width="26.85546875" style="112" customWidth="1"/>
    <col min="15362" max="15362" width="0" style="112" hidden="1" customWidth="1"/>
    <col min="15363" max="15363" width="12.42578125" style="112" customWidth="1"/>
    <col min="15364" max="15365" width="11.140625" style="112" customWidth="1"/>
    <col min="15366" max="15366" width="12.140625" style="112" customWidth="1"/>
    <col min="15367" max="15367" width="14" style="112" customWidth="1"/>
    <col min="15368" max="15368" width="12.5703125" style="112" customWidth="1"/>
    <col min="15369" max="15370" width="13.140625" style="112" customWidth="1"/>
    <col min="15371" max="15372" width="9.140625" style="112"/>
    <col min="15373" max="15373" width="11" style="112" customWidth="1"/>
    <col min="15374" max="15616" width="9.140625" style="112"/>
    <col min="15617" max="15617" width="26.85546875" style="112" customWidth="1"/>
    <col min="15618" max="15618" width="0" style="112" hidden="1" customWidth="1"/>
    <col min="15619" max="15619" width="12.42578125" style="112" customWidth="1"/>
    <col min="15620" max="15621" width="11.140625" style="112" customWidth="1"/>
    <col min="15622" max="15622" width="12.140625" style="112" customWidth="1"/>
    <col min="15623" max="15623" width="14" style="112" customWidth="1"/>
    <col min="15624" max="15624" width="12.5703125" style="112" customWidth="1"/>
    <col min="15625" max="15626" width="13.140625" style="112" customWidth="1"/>
    <col min="15627" max="15628" width="9.140625" style="112"/>
    <col min="15629" max="15629" width="11" style="112" customWidth="1"/>
    <col min="15630" max="15872" width="9.140625" style="112"/>
    <col min="15873" max="15873" width="26.85546875" style="112" customWidth="1"/>
    <col min="15874" max="15874" width="0" style="112" hidden="1" customWidth="1"/>
    <col min="15875" max="15875" width="12.42578125" style="112" customWidth="1"/>
    <col min="15876" max="15877" width="11.140625" style="112" customWidth="1"/>
    <col min="15878" max="15878" width="12.140625" style="112" customWidth="1"/>
    <col min="15879" max="15879" width="14" style="112" customWidth="1"/>
    <col min="15880" max="15880" width="12.5703125" style="112" customWidth="1"/>
    <col min="15881" max="15882" width="13.140625" style="112" customWidth="1"/>
    <col min="15883" max="15884" width="9.140625" style="112"/>
    <col min="15885" max="15885" width="11" style="112" customWidth="1"/>
    <col min="15886" max="16128" width="9.140625" style="112"/>
    <col min="16129" max="16129" width="26.85546875" style="112" customWidth="1"/>
    <col min="16130" max="16130" width="0" style="112" hidden="1" customWidth="1"/>
    <col min="16131" max="16131" width="12.42578125" style="112" customWidth="1"/>
    <col min="16132" max="16133" width="11.140625" style="112" customWidth="1"/>
    <col min="16134" max="16134" width="12.140625" style="112" customWidth="1"/>
    <col min="16135" max="16135" width="14" style="112" customWidth="1"/>
    <col min="16136" max="16136" width="12.5703125" style="112" customWidth="1"/>
    <col min="16137" max="16138" width="13.140625" style="112" customWidth="1"/>
    <col min="16139" max="16140" width="9.140625" style="112"/>
    <col min="16141" max="16141" width="11" style="112" customWidth="1"/>
    <col min="16142" max="16384" width="9.140625" style="112"/>
  </cols>
  <sheetData>
    <row r="1" spans="10:23" x14ac:dyDescent="0.2">
      <c r="K1" s="262" t="s">
        <v>174</v>
      </c>
      <c r="L1" s="262"/>
      <c r="M1" s="262"/>
      <c r="N1" s="262"/>
      <c r="O1" s="262"/>
      <c r="P1" s="262"/>
      <c r="Q1" s="262"/>
      <c r="R1" s="262"/>
      <c r="S1" s="262"/>
      <c r="T1" s="262"/>
    </row>
    <row r="2" spans="10:23" ht="51" x14ac:dyDescent="0.2">
      <c r="J2" s="112" t="s">
        <v>92</v>
      </c>
      <c r="K2" s="122"/>
      <c r="L2" s="123" t="s">
        <v>220</v>
      </c>
      <c r="M2" s="123" t="s">
        <v>199</v>
      </c>
      <c r="N2" s="123" t="s">
        <v>200</v>
      </c>
      <c r="O2" s="123" t="s">
        <v>201</v>
      </c>
      <c r="P2" s="123" t="s">
        <v>202</v>
      </c>
      <c r="Q2" s="123" t="s">
        <v>203</v>
      </c>
      <c r="R2" s="123" t="s">
        <v>204</v>
      </c>
      <c r="S2" s="123" t="s">
        <v>205</v>
      </c>
      <c r="T2" s="123" t="s">
        <v>206</v>
      </c>
      <c r="U2"/>
    </row>
    <row r="3" spans="10:23" x14ac:dyDescent="0.2">
      <c r="K3" s="263" t="s">
        <v>175</v>
      </c>
      <c r="L3" s="264"/>
      <c r="M3" s="264"/>
      <c r="N3" s="264"/>
      <c r="O3" s="264"/>
      <c r="P3" s="286"/>
      <c r="Q3" s="264"/>
      <c r="R3" s="264"/>
      <c r="S3" s="264"/>
      <c r="T3" s="265"/>
      <c r="U3" s="334"/>
    </row>
    <row r="4" spans="10:23" ht="15" customHeight="1" x14ac:dyDescent="0.2">
      <c r="J4" s="285"/>
      <c r="K4" s="124" t="s">
        <v>66</v>
      </c>
      <c r="L4" s="125">
        <f>638393.7-3914.43-16000</f>
        <v>618479.2699999999</v>
      </c>
      <c r="M4" s="289">
        <v>746244</v>
      </c>
      <c r="N4" s="126">
        <f>661388.56+15470</f>
        <v>676858.56</v>
      </c>
      <c r="O4" s="126">
        <f>716322.67+35470.73+39000-16887.56</f>
        <v>773905.84</v>
      </c>
      <c r="P4" s="126">
        <f>630580.65+147690.31+17920.65+55283.13-69489.96</f>
        <v>781984.78</v>
      </c>
      <c r="Q4" s="126">
        <f>587091.75+127522.48+17858.13+36626.2</f>
        <v>769098.55999999994</v>
      </c>
      <c r="R4" s="126">
        <f>733070.8228-4200</f>
        <v>728870.82279999997</v>
      </c>
      <c r="S4" s="126">
        <f>616083.74+100746.32</f>
        <v>716830.06</v>
      </c>
      <c r="T4" s="335">
        <v>835938.64</v>
      </c>
      <c r="U4" s="336"/>
    </row>
    <row r="5" spans="10:23" x14ac:dyDescent="0.2">
      <c r="J5" s="285"/>
      <c r="K5" s="124" t="s">
        <v>176</v>
      </c>
      <c r="L5" s="125">
        <f>241044.79-655.07-5300</f>
        <v>235089.72</v>
      </c>
      <c r="M5" s="289">
        <v>287448</v>
      </c>
      <c r="N5" s="126">
        <f>247420.01+1626.3</f>
        <v>249046.31</v>
      </c>
      <c r="O5" s="126">
        <f>260250.82+7600.18+10000-1777.43</f>
        <v>276073.57</v>
      </c>
      <c r="P5" s="126">
        <f>228667.88+55572.57+3908.68+11220.53-24119.57</f>
        <v>275250.09000000003</v>
      </c>
      <c r="Q5" s="126">
        <f>214198.91+48853.45+518.78+7482.21</f>
        <v>271053.35000000003</v>
      </c>
      <c r="R5" s="126">
        <v>265789</v>
      </c>
      <c r="S5" s="126">
        <f>208565.28+49336.54</f>
        <v>257901.82</v>
      </c>
      <c r="T5" s="335">
        <v>286975.13</v>
      </c>
      <c r="U5" s="336"/>
      <c r="V5" s="112">
        <v>267295</v>
      </c>
      <c r="W5" s="112" t="s">
        <v>298</v>
      </c>
    </row>
    <row r="6" spans="10:23" x14ac:dyDescent="0.2">
      <c r="J6" s="285"/>
      <c r="K6" s="124" t="s">
        <v>177</v>
      </c>
      <c r="L6" s="125">
        <f>144804.67-56.5+1382.36-3549.69</f>
        <v>142580.84</v>
      </c>
      <c r="M6" s="289">
        <v>115030</v>
      </c>
      <c r="N6" s="126">
        <f>150686.57+371</f>
        <v>151057.57</v>
      </c>
      <c r="O6" s="126">
        <f>161905.92+1616.77+3397.75-3330.27</f>
        <v>163590.17000000001</v>
      </c>
      <c r="P6" s="126">
        <f>122874.98+52079.5+1609.66+2651.63+7771.87-13070.62</f>
        <v>173917.02</v>
      </c>
      <c r="Q6" s="126">
        <f>121295.52+102908.14+1485.84+4203.19+1428.48</f>
        <v>231321.17</v>
      </c>
      <c r="R6" s="126">
        <v>225123.39</v>
      </c>
      <c r="S6" s="126">
        <f>114992.76+76145</f>
        <v>191137.76</v>
      </c>
      <c r="T6" s="335">
        <v>196020.46</v>
      </c>
      <c r="U6" s="336"/>
      <c r="W6" s="112" t="s">
        <v>299</v>
      </c>
    </row>
    <row r="7" spans="10:23" x14ac:dyDescent="0.2">
      <c r="J7" s="285"/>
      <c r="K7" s="124" t="s">
        <v>207</v>
      </c>
      <c r="L7" s="125">
        <f>76398.98-6-952.44</f>
        <v>75440.539999999994</v>
      </c>
      <c r="M7" s="289">
        <v>84093</v>
      </c>
      <c r="N7" s="126">
        <v>91060.55</v>
      </c>
      <c r="O7" s="126">
        <f>114986.49-3330</f>
        <v>111656.49</v>
      </c>
      <c r="P7" s="126">
        <f>121750.11-9352.98</f>
        <v>112397.13</v>
      </c>
      <c r="Q7" s="126">
        <f>91599.85+21545.88</f>
        <v>113145.73000000001</v>
      </c>
      <c r="R7" s="126">
        <v>113226</v>
      </c>
      <c r="S7" s="126">
        <f>91650+21537.95</f>
        <v>113187.95</v>
      </c>
      <c r="T7" s="335">
        <v>96515.92</v>
      </c>
      <c r="U7" s="334"/>
    </row>
    <row r="8" spans="10:23" x14ac:dyDescent="0.2">
      <c r="K8" s="127" t="s">
        <v>10</v>
      </c>
      <c r="L8" s="128">
        <f t="shared" ref="L8:T8" si="0">SUM(L4:L7)</f>
        <v>1071590.3699999999</v>
      </c>
      <c r="M8" s="290">
        <f t="shared" si="0"/>
        <v>1232815</v>
      </c>
      <c r="N8" s="128">
        <f t="shared" si="0"/>
        <v>1168022.9900000002</v>
      </c>
      <c r="O8" s="128">
        <f t="shared" si="0"/>
        <v>1325226.0699999998</v>
      </c>
      <c r="P8" s="128">
        <f t="shared" si="0"/>
        <v>1343549.02</v>
      </c>
      <c r="Q8" s="128">
        <f t="shared" si="0"/>
        <v>1384618.8099999998</v>
      </c>
      <c r="R8" s="128">
        <f t="shared" si="0"/>
        <v>1333009.2127999999</v>
      </c>
      <c r="S8" s="128">
        <f t="shared" si="0"/>
        <v>1279057.5900000001</v>
      </c>
      <c r="T8" s="128">
        <f t="shared" si="0"/>
        <v>1415450.15</v>
      </c>
      <c r="V8" s="112">
        <v>114150</v>
      </c>
      <c r="W8" s="112" t="s">
        <v>297</v>
      </c>
    </row>
    <row r="9" spans="10:23" x14ac:dyDescent="0.2">
      <c r="K9" s="263" t="s">
        <v>178</v>
      </c>
      <c r="L9" s="284"/>
      <c r="M9" s="288"/>
      <c r="N9" s="282"/>
      <c r="O9" s="282"/>
      <c r="P9" s="282"/>
      <c r="Q9" s="282"/>
      <c r="R9" s="291"/>
      <c r="S9" s="288"/>
      <c r="T9" s="265"/>
      <c r="V9" s="324">
        <v>1353154</v>
      </c>
    </row>
    <row r="10" spans="10:23" ht="15" customHeight="1" x14ac:dyDescent="0.2">
      <c r="K10" s="124" t="s">
        <v>296</v>
      </c>
      <c r="L10" s="125">
        <f>3914.43+6+655.7+56.5</f>
        <v>4632.63</v>
      </c>
      <c r="M10" s="126">
        <v>4200</v>
      </c>
      <c r="N10" s="126">
        <f>4007.26+6+677.25+50.5</f>
        <v>4741.01</v>
      </c>
      <c r="O10" s="126">
        <v>4845.26</v>
      </c>
      <c r="P10" s="126">
        <f>4474.5+6.5+752.75+51.25-379</f>
        <v>4906</v>
      </c>
      <c r="Q10" s="126">
        <f>4135.5+4.25+693+51</f>
        <v>4883.75</v>
      </c>
      <c r="R10" s="126">
        <v>4875</v>
      </c>
      <c r="S10" s="126">
        <v>4875</v>
      </c>
      <c r="T10" s="126">
        <v>4875</v>
      </c>
    </row>
    <row r="11" spans="10:23" x14ac:dyDescent="0.2">
      <c r="K11" s="124" t="s">
        <v>282</v>
      </c>
      <c r="L11" s="125">
        <v>34911</v>
      </c>
      <c r="M11" s="292">
        <v>34911</v>
      </c>
      <c r="N11" s="126">
        <v>31625</v>
      </c>
      <c r="O11" s="126">
        <v>31625</v>
      </c>
      <c r="P11" s="126">
        <v>31625</v>
      </c>
      <c r="Q11" s="126">
        <v>31625</v>
      </c>
      <c r="R11" s="126">
        <v>32609</v>
      </c>
      <c r="S11" s="126">
        <v>32609</v>
      </c>
      <c r="T11" s="126">
        <v>32609</v>
      </c>
      <c r="W11" s="287">
        <f>V9-R8</f>
        <v>20144.787200000137</v>
      </c>
    </row>
    <row r="12" spans="10:23" x14ac:dyDescent="0.2">
      <c r="K12" s="124" t="s">
        <v>281</v>
      </c>
      <c r="L12" s="125">
        <v>4809</v>
      </c>
      <c r="M12" s="292">
        <v>6024</v>
      </c>
      <c r="N12" s="126">
        <v>6423.61</v>
      </c>
      <c r="O12" s="126">
        <v>6376.17</v>
      </c>
      <c r="P12" s="126">
        <v>8072.25</v>
      </c>
      <c r="Q12" s="126">
        <v>9299.65</v>
      </c>
      <c r="R12" s="126">
        <v>7286</v>
      </c>
      <c r="S12" s="126">
        <v>7543</v>
      </c>
      <c r="T12" s="126">
        <v>7543</v>
      </c>
    </row>
    <row r="13" spans="10:23" x14ac:dyDescent="0.2">
      <c r="K13" s="124" t="s">
        <v>283</v>
      </c>
      <c r="L13" s="125">
        <f>3800+225.6+1459+845</f>
        <v>6329.6</v>
      </c>
      <c r="M13" s="292">
        <v>7100</v>
      </c>
      <c r="N13" s="126">
        <f>3325+642.96+1385.64+725</f>
        <v>6078.6</v>
      </c>
      <c r="O13" s="126">
        <f>3325+728.63+1674+550</f>
        <v>6277.63</v>
      </c>
      <c r="P13" s="126">
        <f>3150+790.38+1925+775</f>
        <v>6640.38</v>
      </c>
      <c r="Q13" s="126">
        <f>2875+842.4+425+400</f>
        <v>4542.3999999999996</v>
      </c>
      <c r="R13" s="126">
        <v>5861</v>
      </c>
      <c r="S13" s="126">
        <v>5885</v>
      </c>
      <c r="T13" s="126">
        <v>5885</v>
      </c>
    </row>
    <row r="14" spans="10:23" x14ac:dyDescent="0.2">
      <c r="K14" s="122" t="s">
        <v>286</v>
      </c>
      <c r="L14" s="299">
        <f>13231.89+61077.92+15187.5</f>
        <v>89497.31</v>
      </c>
      <c r="M14" s="292">
        <v>75000</v>
      </c>
      <c r="N14" s="293">
        <f>11599.67+8749.24+38258.65+8000</f>
        <v>66607.56</v>
      </c>
      <c r="O14" s="293">
        <f>350+11745.54+46711.92+11600</f>
        <v>70407.459999999992</v>
      </c>
      <c r="P14" s="293">
        <f>78460.73+37704.46+12175</f>
        <v>128340.19</v>
      </c>
      <c r="Q14" s="293">
        <f>32175.17+17473.91+32930.01+8645</f>
        <v>91224.09</v>
      </c>
      <c r="R14" s="293">
        <v>59171</v>
      </c>
      <c r="S14" s="293">
        <v>70000</v>
      </c>
      <c r="T14" s="126">
        <v>70000</v>
      </c>
    </row>
    <row r="15" spans="10:23" x14ac:dyDescent="0.2">
      <c r="K15" s="122" t="s">
        <v>287</v>
      </c>
      <c r="L15" s="321">
        <v>-24173.54</v>
      </c>
      <c r="M15" s="294">
        <v>-20000</v>
      </c>
      <c r="N15" s="293">
        <f>-22426.09-7331.42</f>
        <v>-29757.510000000002</v>
      </c>
      <c r="O15" s="126">
        <f>-20.66-4182.13-39664.89-14340</f>
        <v>-58207.68</v>
      </c>
      <c r="P15" s="293">
        <f>-1737.51-51583.34-29596.52-4097.5</f>
        <v>-87014.87</v>
      </c>
      <c r="Q15" s="293">
        <v>-23704.97</v>
      </c>
      <c r="R15" s="293">
        <v>-34351</v>
      </c>
      <c r="S15" s="293">
        <v>-34351</v>
      </c>
      <c r="T15" s="130">
        <v>-34351</v>
      </c>
    </row>
    <row r="16" spans="10:23" ht="13.9" customHeight="1" x14ac:dyDescent="0.2">
      <c r="K16" s="124" t="s">
        <v>284</v>
      </c>
      <c r="L16" s="125">
        <f>2992+3130.16+1772.5+11.5+16+1999.58</f>
        <v>9921.74</v>
      </c>
      <c r="M16" s="292">
        <v>9000</v>
      </c>
      <c r="N16" s="126">
        <f>2561.4+2049.12+1785.75+6.5+11.5+5245.71</f>
        <v>11659.98</v>
      </c>
      <c r="O16" s="126">
        <f>2358.4+2677.93+1934.35+5.75+9.9+3767.6</f>
        <v>10753.93</v>
      </c>
      <c r="P16" s="126">
        <f>2333.1+2315.82+1789.5+4+6.5+6754.7</f>
        <v>13203.619999999999</v>
      </c>
      <c r="Q16" s="126">
        <f>224+2393.6+2029.72+1788.5+4+7.5+6631.43</f>
        <v>13078.75</v>
      </c>
      <c r="R16" s="126">
        <f>2820+5980</f>
        <v>8800</v>
      </c>
      <c r="S16" s="126">
        <f>2820+5600</f>
        <v>8420</v>
      </c>
      <c r="T16" s="126">
        <v>8420</v>
      </c>
    </row>
    <row r="17" spans="1:20" x14ac:dyDescent="0.2">
      <c r="K17" s="124" t="s">
        <v>285</v>
      </c>
      <c r="L17" s="125">
        <v>11012.14</v>
      </c>
      <c r="M17" s="292">
        <v>9000</v>
      </c>
      <c r="N17" s="126">
        <v>12876.34</v>
      </c>
      <c r="O17" s="126">
        <v>5332.11</v>
      </c>
      <c r="P17" s="126">
        <v>7789.03</v>
      </c>
      <c r="Q17" s="126">
        <v>9491.31</v>
      </c>
      <c r="R17" s="126">
        <v>8872</v>
      </c>
      <c r="S17" s="126">
        <v>7789</v>
      </c>
      <c r="T17" s="126">
        <v>7789</v>
      </c>
    </row>
    <row r="18" spans="1:20" x14ac:dyDescent="0.2">
      <c r="K18" s="127" t="s">
        <v>10</v>
      </c>
      <c r="L18" s="131">
        <f t="shared" ref="L18:T18" si="1">SUM(L10:L17)</f>
        <v>136939.87999999998</v>
      </c>
      <c r="M18" s="131">
        <f>SUM(M10:M17)</f>
        <v>125235</v>
      </c>
      <c r="N18" s="131">
        <f>SUM(N10:N17)</f>
        <v>110254.58999999998</v>
      </c>
      <c r="O18" s="131">
        <f t="shared" si="1"/>
        <v>77409.87999999999</v>
      </c>
      <c r="P18" s="131">
        <f t="shared" si="1"/>
        <v>113561.60000000001</v>
      </c>
      <c r="Q18" s="131">
        <f t="shared" si="1"/>
        <v>140439.98000000001</v>
      </c>
      <c r="R18" s="131">
        <f>SUM(R10:R17)</f>
        <v>93123</v>
      </c>
      <c r="S18" s="131">
        <f t="shared" si="1"/>
        <v>102770</v>
      </c>
      <c r="T18" s="131">
        <f t="shared" si="1"/>
        <v>102770</v>
      </c>
    </row>
    <row r="19" spans="1:20" x14ac:dyDescent="0.2">
      <c r="K19" s="127" t="s">
        <v>179</v>
      </c>
      <c r="L19" s="132">
        <f t="shared" ref="L19:Q19" si="2">L8+L18</f>
        <v>1208530.2499999998</v>
      </c>
      <c r="M19" s="132">
        <f t="shared" si="2"/>
        <v>1358050</v>
      </c>
      <c r="N19" s="132">
        <f t="shared" si="2"/>
        <v>1278277.5800000003</v>
      </c>
      <c r="O19" s="132">
        <f t="shared" si="2"/>
        <v>1402635.9499999997</v>
      </c>
      <c r="P19" s="132">
        <f t="shared" si="2"/>
        <v>1457110.62</v>
      </c>
      <c r="Q19" s="132">
        <f t="shared" si="2"/>
        <v>1525058.7899999998</v>
      </c>
      <c r="R19" s="132">
        <f>R8+R18</f>
        <v>1426132.2127999999</v>
      </c>
      <c r="S19" s="132">
        <f>S8+S18</f>
        <v>1381827.59</v>
      </c>
      <c r="T19" s="132">
        <f>T8+T18</f>
        <v>1518220.15</v>
      </c>
    </row>
    <row r="20" spans="1:20" x14ac:dyDescent="0.2">
      <c r="K20" s="112" t="s">
        <v>292</v>
      </c>
      <c r="L20" s="287"/>
      <c r="M20" s="287"/>
      <c r="N20" s="287"/>
      <c r="O20" s="287"/>
      <c r="P20" s="287"/>
      <c r="Q20" s="287"/>
    </row>
    <row r="21" spans="1:20" x14ac:dyDescent="0.2">
      <c r="K21" s="112" t="s">
        <v>291</v>
      </c>
      <c r="N21" s="283"/>
      <c r="R21" s="112">
        <v>1446277</v>
      </c>
    </row>
    <row r="22" spans="1:20" x14ac:dyDescent="0.2">
      <c r="A22" s="376" t="s">
        <v>180</v>
      </c>
      <c r="B22" s="376"/>
      <c r="C22" s="376"/>
      <c r="D22" s="376"/>
      <c r="E22" s="376"/>
      <c r="F22" s="376"/>
      <c r="G22" s="376"/>
      <c r="S22" s="283"/>
    </row>
    <row r="23" spans="1:20" ht="51" x14ac:dyDescent="0.2">
      <c r="A23" s="207" t="s">
        <v>152</v>
      </c>
      <c r="B23" s="153" t="s">
        <v>213</v>
      </c>
      <c r="C23" s="153" t="s">
        <v>153</v>
      </c>
      <c r="D23" s="153" t="s">
        <v>212</v>
      </c>
      <c r="E23" s="153" t="s">
        <v>153</v>
      </c>
      <c r="F23" s="153" t="s">
        <v>154</v>
      </c>
      <c r="G23" s="153" t="s">
        <v>155</v>
      </c>
      <c r="K23" s="295"/>
      <c r="N23" s="112" t="s">
        <v>92</v>
      </c>
      <c r="O23" s="112" t="s">
        <v>92</v>
      </c>
      <c r="T23" s="283"/>
    </row>
    <row r="24" spans="1:20" x14ac:dyDescent="0.2">
      <c r="A24" s="364" t="s">
        <v>156</v>
      </c>
      <c r="B24" s="364"/>
      <c r="C24" s="364"/>
      <c r="D24" s="364"/>
      <c r="E24" s="364"/>
      <c r="F24" s="364"/>
      <c r="G24" s="364"/>
      <c r="L24" s="54"/>
      <c r="P24" s="135">
        <v>11113021</v>
      </c>
    </row>
    <row r="25" spans="1:20" x14ac:dyDescent="0.2">
      <c r="A25" s="208"/>
      <c r="B25" s="134"/>
      <c r="C25" s="134"/>
      <c r="D25" s="134"/>
      <c r="E25" s="134"/>
      <c r="F25" s="134"/>
      <c r="G25" s="134"/>
      <c r="K25" s="273"/>
      <c r="L25" s="322" t="s">
        <v>307</v>
      </c>
      <c r="M25" s="136">
        <v>1424</v>
      </c>
      <c r="N25" s="266"/>
      <c r="P25" s="135">
        <f>[12]Summary!$K$17</f>
        <v>6246086.669440615</v>
      </c>
    </row>
    <row r="26" spans="1:20" x14ac:dyDescent="0.2">
      <c r="A26" s="187" t="s">
        <v>199</v>
      </c>
      <c r="B26" s="122"/>
      <c r="C26" s="134"/>
      <c r="D26" s="138">
        <f>G71</f>
        <v>23.044163833736508</v>
      </c>
      <c r="E26" s="122"/>
      <c r="F26" s="139">
        <f>G91</f>
        <v>2297</v>
      </c>
      <c r="G26" s="134"/>
      <c r="K26" s="273"/>
      <c r="L26" s="322" t="s">
        <v>308</v>
      </c>
      <c r="M26" s="136">
        <v>235</v>
      </c>
      <c r="N26" s="266"/>
      <c r="P26" s="135">
        <f>[12]Summary!$K$21</f>
        <v>5218563.3844691971</v>
      </c>
    </row>
    <row r="27" spans="1:20" x14ac:dyDescent="0.2">
      <c r="A27" s="208"/>
      <c r="B27" s="134"/>
      <c r="C27" s="134"/>
      <c r="D27" s="134"/>
      <c r="E27" s="134"/>
      <c r="F27" s="134"/>
      <c r="G27" s="134"/>
      <c r="K27" s="273"/>
      <c r="L27" s="322" t="s">
        <v>309</v>
      </c>
      <c r="M27" s="136">
        <v>15</v>
      </c>
      <c r="N27" s="266"/>
      <c r="P27" s="272">
        <f>[12]Summary!$K$36</f>
        <v>466492.7798266997</v>
      </c>
    </row>
    <row r="28" spans="1:20" x14ac:dyDescent="0.2">
      <c r="A28" s="187">
        <v>2003</v>
      </c>
      <c r="B28" s="140">
        <f>Summary!B11/1000000</f>
        <v>41.47081434334104</v>
      </c>
      <c r="C28" s="118"/>
      <c r="D28" s="140">
        <f t="shared" ref="D28:D40" si="3">B28*F150</f>
        <v>41.389866666809972</v>
      </c>
      <c r="E28" s="118"/>
      <c r="F28" s="139">
        <f>Summary!B43</f>
        <v>2416</v>
      </c>
      <c r="G28" s="118"/>
      <c r="H28" s="54"/>
      <c r="K28" s="274"/>
      <c r="L28" s="323"/>
      <c r="M28" s="136">
        <v>623</v>
      </c>
      <c r="N28" s="266"/>
      <c r="P28" s="135">
        <f>SUM(P24:P27)</f>
        <v>23044163.833736513</v>
      </c>
    </row>
    <row r="29" spans="1:20" x14ac:dyDescent="0.2">
      <c r="A29" s="187">
        <v>2004</v>
      </c>
      <c r="B29" s="140">
        <f>Summary!C11/1000000</f>
        <v>36.191443999999997</v>
      </c>
      <c r="C29" s="118">
        <f>B29-B28</f>
        <v>-5.2793703433410428</v>
      </c>
      <c r="D29" s="140">
        <f t="shared" si="3"/>
        <v>35.957903066659171</v>
      </c>
      <c r="E29" s="118">
        <f>D29-D28</f>
        <v>-5.4319636001508016</v>
      </c>
      <c r="F29" s="139">
        <f>Summary!C43</f>
        <v>2375.5</v>
      </c>
      <c r="G29" s="141">
        <f>F29-F28</f>
        <v>-40.5</v>
      </c>
      <c r="K29" s="273"/>
      <c r="L29" s="322"/>
      <c r="P29" s="135"/>
    </row>
    <row r="30" spans="1:20" x14ac:dyDescent="0.2">
      <c r="A30" s="187">
        <v>2005</v>
      </c>
      <c r="B30" s="140">
        <f>Summary!D11/1000000</f>
        <v>43.304828000000001</v>
      </c>
      <c r="C30" s="118">
        <f t="shared" ref="C30:E42" si="4">B30-B29</f>
        <v>7.1133840000000035</v>
      </c>
      <c r="D30" s="140">
        <f t="shared" si="3"/>
        <v>43.185714794816668</v>
      </c>
      <c r="E30" s="118">
        <f t="shared" si="4"/>
        <v>7.2278117281574978</v>
      </c>
      <c r="F30" s="139">
        <f>Summary!D43</f>
        <v>2355</v>
      </c>
      <c r="G30" s="141">
        <f t="shared" ref="G30:G42" si="5">F30-F29</f>
        <v>-20.5</v>
      </c>
      <c r="H30" s="54"/>
      <c r="K30" s="326" t="s">
        <v>300</v>
      </c>
    </row>
    <row r="31" spans="1:20" ht="25.5" x14ac:dyDescent="0.2">
      <c r="A31" s="187">
        <v>2006</v>
      </c>
      <c r="B31" s="140">
        <f>Summary!E11/1000000</f>
        <v>43.320424000000003</v>
      </c>
      <c r="C31" s="118">
        <f t="shared" si="4"/>
        <v>1.5596000000002164E-2</v>
      </c>
      <c r="D31" s="140">
        <f t="shared" si="3"/>
        <v>43.610876143556041</v>
      </c>
      <c r="E31" s="118">
        <f t="shared" si="4"/>
        <v>0.42516134873937261</v>
      </c>
      <c r="F31" s="139">
        <f>Summary!E43</f>
        <v>2344</v>
      </c>
      <c r="G31" s="141">
        <f t="shared" si="5"/>
        <v>-11</v>
      </c>
      <c r="K31" s="306" t="s">
        <v>178</v>
      </c>
      <c r="L31" s="325" t="s">
        <v>220</v>
      </c>
      <c r="M31" s="123" t="s">
        <v>200</v>
      </c>
      <c r="N31" s="330" t="s">
        <v>301</v>
      </c>
      <c r="O31" s="330" t="s">
        <v>302</v>
      </c>
    </row>
    <row r="32" spans="1:20" x14ac:dyDescent="0.2">
      <c r="A32" s="187">
        <v>2007</v>
      </c>
      <c r="B32" s="140">
        <f>Summary!F11/1000000</f>
        <v>38.478814</v>
      </c>
      <c r="C32" s="118">
        <f t="shared" si="4"/>
        <v>-4.8416100000000029</v>
      </c>
      <c r="D32" s="140">
        <f t="shared" si="3"/>
        <v>38.333952244759814</v>
      </c>
      <c r="E32" s="118">
        <f t="shared" si="4"/>
        <v>-5.2769238987962268</v>
      </c>
      <c r="F32" s="139">
        <f>Summary!F43</f>
        <v>2329</v>
      </c>
      <c r="G32" s="141">
        <f t="shared" si="5"/>
        <v>-15</v>
      </c>
      <c r="H32" s="54"/>
      <c r="K32" s="124" t="s">
        <v>296</v>
      </c>
      <c r="L32" s="126">
        <f>3914.43+6+655.7+56.5</f>
        <v>4632.63</v>
      </c>
      <c r="M32" s="126">
        <v>4741.01</v>
      </c>
      <c r="N32" s="126">
        <f>M32-L32</f>
        <v>108.38000000000011</v>
      </c>
      <c r="O32" s="331">
        <f>(M32-L32)/L32</f>
        <v>2.3394918221399098E-2</v>
      </c>
    </row>
    <row r="33" spans="1:15" x14ac:dyDescent="0.2">
      <c r="A33" s="187">
        <v>2008</v>
      </c>
      <c r="B33" s="140">
        <f>Summary!G11/1000000</f>
        <v>24.562881000000001</v>
      </c>
      <c r="C33" s="118">
        <f t="shared" si="4"/>
        <v>-13.915932999999999</v>
      </c>
      <c r="D33" s="140">
        <f t="shared" si="3"/>
        <v>24.191079763209256</v>
      </c>
      <c r="E33" s="118">
        <f t="shared" si="4"/>
        <v>-14.142872481550558</v>
      </c>
      <c r="F33" s="139">
        <f>Summary!G43</f>
        <v>2311.5</v>
      </c>
      <c r="G33" s="141">
        <f t="shared" si="5"/>
        <v>-17.5</v>
      </c>
      <c r="H33" s="54"/>
      <c r="K33" s="124" t="s">
        <v>282</v>
      </c>
      <c r="L33" s="126">
        <v>34911</v>
      </c>
      <c r="M33" s="126">
        <v>31625</v>
      </c>
      <c r="N33" s="126">
        <v>-3286</v>
      </c>
      <c r="O33" s="331">
        <f>(M33-L33)/L33</f>
        <v>-9.4125060869067051E-2</v>
      </c>
    </row>
    <row r="34" spans="1:15" x14ac:dyDescent="0.2">
      <c r="A34" s="187">
        <v>2009</v>
      </c>
      <c r="B34" s="140">
        <f>Summary!H11/1000000</f>
        <v>23.302412889999999</v>
      </c>
      <c r="C34" s="118">
        <f t="shared" si="4"/>
        <v>-1.2604681100000015</v>
      </c>
      <c r="D34" s="140">
        <f t="shared" si="3"/>
        <v>23.198379464042748</v>
      </c>
      <c r="E34" s="118">
        <f t="shared" si="4"/>
        <v>-0.9927002991665077</v>
      </c>
      <c r="F34" s="139">
        <f>Summary!H43</f>
        <v>2315</v>
      </c>
      <c r="G34" s="141">
        <f t="shared" si="5"/>
        <v>3.5</v>
      </c>
      <c r="K34" s="124" t="s">
        <v>281</v>
      </c>
      <c r="L34" s="126">
        <v>4809</v>
      </c>
      <c r="M34" s="126">
        <v>6423.61</v>
      </c>
      <c r="N34" s="126">
        <f t="shared" ref="N34:N39" si="6">M34-L34</f>
        <v>1614.6099999999997</v>
      </c>
      <c r="O34" s="331">
        <f t="shared" ref="O34:O39" si="7">(M34-L34)/L34</f>
        <v>0.33574755666458717</v>
      </c>
    </row>
    <row r="35" spans="1:15" x14ac:dyDescent="0.2">
      <c r="A35" s="187">
        <v>2010</v>
      </c>
      <c r="B35" s="140">
        <f>Summary!I11/1000000</f>
        <v>22.917248280000003</v>
      </c>
      <c r="C35" s="118">
        <f t="shared" si="4"/>
        <v>-0.3851646099999968</v>
      </c>
      <c r="D35" s="140">
        <f t="shared" si="3"/>
        <v>23.757720929688642</v>
      </c>
      <c r="E35" s="118">
        <f t="shared" si="4"/>
        <v>0.55934146564589327</v>
      </c>
      <c r="F35" s="139">
        <f>Summary!I43</f>
        <v>2307.5000000999999</v>
      </c>
      <c r="G35" s="141">
        <f t="shared" si="5"/>
        <v>-7.499999900000148</v>
      </c>
      <c r="H35" s="54"/>
      <c r="K35" s="124" t="s">
        <v>283</v>
      </c>
      <c r="L35" s="126">
        <f>3800+225.6+1459+845</f>
        <v>6329.6</v>
      </c>
      <c r="M35" s="126">
        <v>6078.6</v>
      </c>
      <c r="N35" s="126">
        <f t="shared" si="6"/>
        <v>-251</v>
      </c>
      <c r="O35" s="331">
        <f t="shared" si="7"/>
        <v>-3.9654954499494438E-2</v>
      </c>
    </row>
    <row r="36" spans="1:15" x14ac:dyDescent="0.2">
      <c r="A36" s="187">
        <v>2011</v>
      </c>
      <c r="B36" s="140">
        <f>Summary!J11/1000000</f>
        <v>22.38384988</v>
      </c>
      <c r="C36" s="118">
        <f t="shared" si="4"/>
        <v>-0.53339840000000294</v>
      </c>
      <c r="D36" s="140">
        <f t="shared" si="3"/>
        <v>22.475620349995943</v>
      </c>
      <c r="E36" s="118">
        <f t="shared" si="4"/>
        <v>-1.282100579692699</v>
      </c>
      <c r="F36" s="139">
        <f>Summary!J43</f>
        <v>2293.5000000999999</v>
      </c>
      <c r="G36" s="141">
        <f t="shared" si="5"/>
        <v>-14</v>
      </c>
      <c r="K36" s="122" t="s">
        <v>286</v>
      </c>
      <c r="L36" s="126">
        <f>13231.89+61077.92+15187.5</f>
        <v>89497.31</v>
      </c>
      <c r="M36" s="126">
        <v>66607.56</v>
      </c>
      <c r="N36" s="126">
        <f t="shared" si="6"/>
        <v>-22889.75</v>
      </c>
      <c r="O36" s="331">
        <f t="shared" si="7"/>
        <v>-0.25575908370877293</v>
      </c>
    </row>
    <row r="37" spans="1:15" x14ac:dyDescent="0.2">
      <c r="A37" s="187">
        <v>2012</v>
      </c>
      <c r="B37" s="140">
        <f>Summary!K11/1000000</f>
        <v>21.958203150000003</v>
      </c>
      <c r="C37" s="118">
        <f t="shared" si="4"/>
        <v>-0.42564672999999686</v>
      </c>
      <c r="D37" s="140">
        <f t="shared" si="3"/>
        <v>22.478644710148931</v>
      </c>
      <c r="E37" s="118">
        <f t="shared" si="4"/>
        <v>3.0243601529882369E-3</v>
      </c>
      <c r="F37" s="139">
        <f>Summary!K43</f>
        <v>2298.5000000999999</v>
      </c>
      <c r="G37" s="141">
        <f t="shared" si="5"/>
        <v>5</v>
      </c>
      <c r="H37" s="54"/>
      <c r="K37" s="122" t="s">
        <v>287</v>
      </c>
      <c r="L37" s="126">
        <v>-24173.54</v>
      </c>
      <c r="M37" s="126">
        <v>-29757.510000000002</v>
      </c>
      <c r="N37" s="126">
        <f t="shared" si="6"/>
        <v>-5583.9700000000012</v>
      </c>
      <c r="O37" s="331">
        <f t="shared" si="7"/>
        <v>0.23099512938527006</v>
      </c>
    </row>
    <row r="38" spans="1:15" ht="25.5" x14ac:dyDescent="0.2">
      <c r="A38" s="187">
        <v>2013</v>
      </c>
      <c r="B38" s="140">
        <f>Summary!L11/1000000</f>
        <v>22.559900230000004</v>
      </c>
      <c r="C38" s="118">
        <f>B38-B37</f>
        <v>0.60169708000000099</v>
      </c>
      <c r="D38" s="140">
        <f t="shared" si="3"/>
        <v>22.216537842875379</v>
      </c>
      <c r="E38" s="118">
        <f>D38-D37</f>
        <v>-0.26210686727355181</v>
      </c>
      <c r="F38" s="139">
        <f>Summary!L43</f>
        <v>2300.0000000999999</v>
      </c>
      <c r="G38" s="141">
        <f>F38-F37</f>
        <v>1.5</v>
      </c>
      <c r="H38" s="54"/>
      <c r="K38" s="124" t="s">
        <v>284</v>
      </c>
      <c r="L38" s="126">
        <f>2992+3130.16+1772.5+11.5+16+1999.58</f>
        <v>9921.74</v>
      </c>
      <c r="M38" s="126">
        <v>11659.98</v>
      </c>
      <c r="N38" s="126">
        <f t="shared" si="6"/>
        <v>1738.2399999999998</v>
      </c>
      <c r="O38" s="331">
        <f t="shared" si="7"/>
        <v>0.17519507667001954</v>
      </c>
    </row>
    <row r="39" spans="1:15" x14ac:dyDescent="0.2">
      <c r="A39" s="187">
        <v>2014</v>
      </c>
      <c r="B39" s="140">
        <f>Summary!M11/1000000</f>
        <v>23.377488100000001</v>
      </c>
      <c r="C39" s="118">
        <f t="shared" si="4"/>
        <v>0.817587869999997</v>
      </c>
      <c r="D39" s="140">
        <f t="shared" si="3"/>
        <v>23.024535187709112</v>
      </c>
      <c r="E39" s="118">
        <f t="shared" si="4"/>
        <v>0.80799734483373342</v>
      </c>
      <c r="F39" s="139">
        <f>Summary!M43</f>
        <v>2296.5000000999999</v>
      </c>
      <c r="G39" s="141">
        <f t="shared" si="5"/>
        <v>-3.5</v>
      </c>
      <c r="H39" s="54"/>
      <c r="K39" s="124" t="s">
        <v>285</v>
      </c>
      <c r="L39" s="126">
        <v>11012.14</v>
      </c>
      <c r="M39" s="126">
        <v>12876.34</v>
      </c>
      <c r="N39" s="126">
        <f t="shared" si="6"/>
        <v>1864.2000000000007</v>
      </c>
      <c r="O39" s="331">
        <f t="shared" si="7"/>
        <v>0.16928589720072582</v>
      </c>
    </row>
    <row r="40" spans="1:15" x14ac:dyDescent="0.2">
      <c r="A40" s="187">
        <v>2015</v>
      </c>
      <c r="B40" s="140">
        <f>Summary!N11/1000000</f>
        <v>32.370291439999995</v>
      </c>
      <c r="C40" s="118">
        <f t="shared" si="4"/>
        <v>8.9928033399999947</v>
      </c>
      <c r="D40" s="140">
        <f t="shared" si="3"/>
        <v>32.495062515622351</v>
      </c>
      <c r="E40" s="118">
        <f t="shared" si="4"/>
        <v>9.4705273279132385</v>
      </c>
      <c r="F40" s="139">
        <f>Summary!N43</f>
        <v>2285.5000000999999</v>
      </c>
      <c r="G40" s="141">
        <f t="shared" si="5"/>
        <v>-11</v>
      </c>
      <c r="K40" s="127" t="s">
        <v>10</v>
      </c>
      <c r="L40" s="131">
        <f>SUM(L32:L39)</f>
        <v>136939.87999999998</v>
      </c>
      <c r="M40" s="131">
        <f>SUM(M32:M39)</f>
        <v>110254.58999999998</v>
      </c>
      <c r="N40" s="131">
        <f>SUM(N32:N39)</f>
        <v>-26685.290000000005</v>
      </c>
      <c r="O40" s="332">
        <f>(M40-L40)/L40</f>
        <v>-0.194868653309759</v>
      </c>
    </row>
    <row r="41" spans="1:15" ht="12.75" customHeight="1" x14ac:dyDescent="0.2">
      <c r="A41" s="124" t="s">
        <v>208</v>
      </c>
      <c r="B41" s="122"/>
      <c r="C41" s="118"/>
      <c r="D41" s="140">
        <f>Summary!O11/1000000</f>
        <v>27.203248338352505</v>
      </c>
      <c r="E41" s="118">
        <f t="shared" si="4"/>
        <v>-5.2918141772698455</v>
      </c>
      <c r="F41" s="139">
        <f>Summary!O43</f>
        <v>2270.4312960422712</v>
      </c>
      <c r="G41" s="141">
        <f t="shared" si="5"/>
        <v>-15.06870405772861</v>
      </c>
      <c r="H41" s="54"/>
      <c r="K41" s="327"/>
      <c r="L41" s="328"/>
      <c r="M41" s="329"/>
    </row>
    <row r="42" spans="1:15" x14ac:dyDescent="0.2">
      <c r="A42" s="187" t="s">
        <v>209</v>
      </c>
      <c r="B42" s="122"/>
      <c r="C42" s="118"/>
      <c r="D42" s="140">
        <f>Summary!P11/1000000</f>
        <v>30.307737853940871</v>
      </c>
      <c r="E42" s="118">
        <f t="shared" si="4"/>
        <v>3.1044895155883658</v>
      </c>
      <c r="F42" s="139">
        <f>Summary!P43</f>
        <v>2259.9387192985905</v>
      </c>
      <c r="G42" s="141">
        <f t="shared" si="5"/>
        <v>-10.492576743680729</v>
      </c>
      <c r="H42" s="54"/>
      <c r="K42" s="21" t="s">
        <v>303</v>
      </c>
    </row>
    <row r="43" spans="1:15" ht="25.5" x14ac:dyDescent="0.2">
      <c r="H43" s="54"/>
      <c r="K43" s="306" t="s">
        <v>178</v>
      </c>
      <c r="L43" s="123" t="s">
        <v>200</v>
      </c>
      <c r="M43" s="123" t="s">
        <v>201</v>
      </c>
      <c r="N43" s="330" t="s">
        <v>301</v>
      </c>
      <c r="O43" s="330" t="s">
        <v>302</v>
      </c>
    </row>
    <row r="44" spans="1:15" x14ac:dyDescent="0.2">
      <c r="A44" s="21" t="s">
        <v>216</v>
      </c>
      <c r="B44" s="21"/>
      <c r="C44" s="21"/>
      <c r="D44" s="21"/>
      <c r="K44" s="124" t="s">
        <v>296</v>
      </c>
      <c r="L44" s="126">
        <v>4741.01</v>
      </c>
      <c r="M44" s="126">
        <v>4845.26</v>
      </c>
      <c r="N44" s="126">
        <f t="shared" ref="N44:N51" si="8">M44-L44</f>
        <v>104.25</v>
      </c>
      <c r="O44" s="331">
        <f>(M44-L44)/L44</f>
        <v>2.1988985469340919E-2</v>
      </c>
    </row>
    <row r="45" spans="1:15" ht="12.75" customHeight="1" x14ac:dyDescent="0.2">
      <c r="A45" s="201" t="s">
        <v>152</v>
      </c>
      <c r="B45" s="142" t="str">
        <f>Summary!A14</f>
        <v>Residential</v>
      </c>
      <c r="C45" s="142" t="str">
        <f>Summary!A18</f>
        <v>GS&lt;50 kW</v>
      </c>
      <c r="D45" s="142" t="str">
        <f>Summary!A22</f>
        <v>GS&gt;50 kW</v>
      </c>
      <c r="E45" s="142" t="str">
        <f>Summary!A27</f>
        <v>Intermediate</v>
      </c>
      <c r="F45" s="142" t="str">
        <f>Summary!A32</f>
        <v>Street Lights</v>
      </c>
      <c r="G45" s="142" t="s">
        <v>10</v>
      </c>
      <c r="K45" s="124" t="s">
        <v>282</v>
      </c>
      <c r="L45" s="126">
        <v>31625</v>
      </c>
      <c r="M45" s="126">
        <v>31625</v>
      </c>
      <c r="N45" s="126">
        <f t="shared" si="8"/>
        <v>0</v>
      </c>
      <c r="O45" s="331">
        <f t="shared" ref="O45:O52" si="9">(M45-L45)/L45</f>
        <v>0</v>
      </c>
    </row>
    <row r="46" spans="1:15" ht="14.25" customHeight="1" x14ac:dyDescent="0.2">
      <c r="A46" s="119" t="s">
        <v>214</v>
      </c>
      <c r="B46" s="120"/>
      <c r="C46" s="120"/>
      <c r="D46" s="120"/>
      <c r="E46" s="120"/>
      <c r="F46" s="120"/>
      <c r="G46" s="121"/>
      <c r="K46" s="124" t="s">
        <v>281</v>
      </c>
      <c r="L46" s="126">
        <v>6423.61</v>
      </c>
      <c r="M46" s="126">
        <v>6376.17</v>
      </c>
      <c r="N46" s="126">
        <f t="shared" si="8"/>
        <v>-47.4399999999996</v>
      </c>
      <c r="O46" s="331">
        <f t="shared" si="9"/>
        <v>-7.3852553315035627E-3</v>
      </c>
    </row>
    <row r="47" spans="1:15" x14ac:dyDescent="0.2">
      <c r="A47" s="137">
        <f t="shared" ref="A47:A59" si="10">A28</f>
        <v>2003</v>
      </c>
      <c r="B47" s="140">
        <f>Summary!B16/1000000</f>
        <v>11.188981307929177</v>
      </c>
      <c r="C47" s="140">
        <f>Summary!B20/1000000</f>
        <v>6.1663884626635879</v>
      </c>
      <c r="D47" s="140">
        <f>Summary!B24/1000000</f>
        <v>7.4973354503464211</v>
      </c>
      <c r="E47" s="140">
        <f>Summary!B29/1000000</f>
        <v>16.081346227867591</v>
      </c>
      <c r="F47" s="140">
        <f>Summary!B34/1000000</f>
        <v>0.53676289453425707</v>
      </c>
      <c r="G47" s="140">
        <f t="shared" ref="G47:G59" si="11">SUM(B47:F47)</f>
        <v>41.470814343341033</v>
      </c>
      <c r="H47" s="143"/>
      <c r="K47" s="124" t="s">
        <v>283</v>
      </c>
      <c r="L47" s="126">
        <v>6078.6</v>
      </c>
      <c r="M47" s="126">
        <f>3325+728.63+1674+550</f>
        <v>6277.63</v>
      </c>
      <c r="N47" s="126">
        <f t="shared" si="8"/>
        <v>199.02999999999975</v>
      </c>
      <c r="O47" s="331">
        <f t="shared" si="9"/>
        <v>3.2742736814398009E-2</v>
      </c>
    </row>
    <row r="48" spans="1:15" x14ac:dyDescent="0.2">
      <c r="A48" s="137">
        <f t="shared" si="10"/>
        <v>2004</v>
      </c>
      <c r="B48" s="140">
        <f>Summary!C16/1000000</f>
        <v>10.84929</v>
      </c>
      <c r="C48" s="140">
        <f>Summary!C20/1000000</f>
        <v>5.632822</v>
      </c>
      <c r="D48" s="140">
        <f>Summary!C24/1000000</f>
        <v>7.1560329999999999</v>
      </c>
      <c r="E48" s="140">
        <f>Summary!C29/1000000</f>
        <v>12.033248</v>
      </c>
      <c r="F48" s="140">
        <f>Summary!C34/1000000</f>
        <v>0.52005100000000004</v>
      </c>
      <c r="G48" s="140">
        <f t="shared" si="11"/>
        <v>36.191444000000004</v>
      </c>
      <c r="H48" s="143"/>
      <c r="K48" s="122" t="s">
        <v>286</v>
      </c>
      <c r="L48" s="126">
        <v>66607.56</v>
      </c>
      <c r="M48" s="126">
        <f>350+11745.54+46711.92+11600</f>
        <v>70407.459999999992</v>
      </c>
      <c r="N48" s="126">
        <f t="shared" si="8"/>
        <v>3799.8999999999942</v>
      </c>
      <c r="O48" s="331">
        <f t="shared" si="9"/>
        <v>5.7049079714074413E-2</v>
      </c>
    </row>
    <row r="49" spans="1:15" x14ac:dyDescent="0.2">
      <c r="A49" s="137">
        <f t="shared" si="10"/>
        <v>2005</v>
      </c>
      <c r="B49" s="140">
        <f>Summary!D16/1000000</f>
        <v>11.133051</v>
      </c>
      <c r="C49" s="140">
        <f>Summary!D20/1000000</f>
        <v>5.6758870000000003</v>
      </c>
      <c r="D49" s="140">
        <f>Summary!D24/1000000</f>
        <v>7.2216329999999997</v>
      </c>
      <c r="E49" s="140">
        <f>Summary!D29/1000000</f>
        <v>18.768447999999999</v>
      </c>
      <c r="F49" s="140">
        <f>Summary!D34/1000000</f>
        <v>0.50580899999999995</v>
      </c>
      <c r="G49" s="140">
        <f t="shared" si="11"/>
        <v>43.304828000000001</v>
      </c>
      <c r="H49" s="143"/>
      <c r="K49" s="122" t="s">
        <v>287</v>
      </c>
      <c r="L49" s="126">
        <v>-29757.510000000002</v>
      </c>
      <c r="M49" s="126">
        <v>-58208</v>
      </c>
      <c r="N49" s="126">
        <f t="shared" si="8"/>
        <v>-28450.489999999998</v>
      </c>
      <c r="O49" s="331">
        <f t="shared" si="9"/>
        <v>0.95607764224896497</v>
      </c>
    </row>
    <row r="50" spans="1:15" ht="25.5" x14ac:dyDescent="0.2">
      <c r="A50" s="137">
        <f t="shared" si="10"/>
        <v>2006</v>
      </c>
      <c r="B50" s="140">
        <f>Summary!E16/1000000</f>
        <v>10.762942000000001</v>
      </c>
      <c r="C50" s="140">
        <f>Summary!E20/1000000</f>
        <v>5.4965380000000001</v>
      </c>
      <c r="D50" s="140">
        <f>Summary!E24/1000000</f>
        <v>6.9347529999999997</v>
      </c>
      <c r="E50" s="140">
        <f>Summary!E29/1000000</f>
        <v>19.638898000000001</v>
      </c>
      <c r="F50" s="140">
        <f>Summary!E34/1000000</f>
        <v>0.48729299999999998</v>
      </c>
      <c r="G50" s="140">
        <f t="shared" si="11"/>
        <v>43.320424000000003</v>
      </c>
      <c r="H50" s="143"/>
      <c r="K50" s="124" t="s">
        <v>284</v>
      </c>
      <c r="L50" s="126">
        <v>11659.98</v>
      </c>
      <c r="M50" s="126">
        <f>2358.4+2677.93+1934.35+5.75+9.9+3767.6</f>
        <v>10753.93</v>
      </c>
      <c r="N50" s="126">
        <f t="shared" si="8"/>
        <v>-906.04999999999927</v>
      </c>
      <c r="O50" s="331">
        <f t="shared" si="9"/>
        <v>-7.770596519033475E-2</v>
      </c>
    </row>
    <row r="51" spans="1:15" ht="12.75" customHeight="1" x14ac:dyDescent="0.2">
      <c r="A51" s="137">
        <f t="shared" si="10"/>
        <v>2007</v>
      </c>
      <c r="B51" s="140">
        <f>Summary!F16/1000000</f>
        <v>10.963265</v>
      </c>
      <c r="C51" s="140">
        <f>Summary!F20/1000000</f>
        <v>5.6633560000000003</v>
      </c>
      <c r="D51" s="140">
        <f>Summary!F24/1000000</f>
        <v>7.2215129999999998</v>
      </c>
      <c r="E51" s="140">
        <f>Summary!F29/1000000</f>
        <v>14.122517</v>
      </c>
      <c r="F51" s="140">
        <f>Summary!F34/1000000</f>
        <v>0.50816300000000003</v>
      </c>
      <c r="G51" s="140">
        <f t="shared" si="11"/>
        <v>38.478814000000007</v>
      </c>
      <c r="H51" s="143"/>
      <c r="K51" s="124" t="s">
        <v>285</v>
      </c>
      <c r="L51" s="126">
        <v>12876.34</v>
      </c>
      <c r="M51" s="126">
        <v>5332.11</v>
      </c>
      <c r="N51" s="126">
        <f t="shared" si="8"/>
        <v>-7544.2300000000005</v>
      </c>
      <c r="O51" s="331">
        <f t="shared" si="9"/>
        <v>-0.58589863268599618</v>
      </c>
    </row>
    <row r="52" spans="1:15" x14ac:dyDescent="0.2">
      <c r="A52" s="137">
        <f t="shared" si="10"/>
        <v>2008</v>
      </c>
      <c r="B52" s="140">
        <f>Summary!G16/1000000</f>
        <v>10.340422</v>
      </c>
      <c r="C52" s="140">
        <f>Summary!G20/1000000</f>
        <v>5.3864859999999997</v>
      </c>
      <c r="D52" s="140">
        <f>Summary!G24/1000000</f>
        <v>7.206213</v>
      </c>
      <c r="E52" s="140">
        <f>Summary!G29/1000000</f>
        <v>1.140822</v>
      </c>
      <c r="F52" s="140">
        <f>Summary!G34/1000000</f>
        <v>0.48893799999999998</v>
      </c>
      <c r="G52" s="140">
        <f t="shared" si="11"/>
        <v>24.562881000000001</v>
      </c>
      <c r="H52" s="143"/>
      <c r="K52" s="127" t="s">
        <v>10</v>
      </c>
      <c r="L52" s="131">
        <f>SUM(L44:L51)</f>
        <v>110254.58999999998</v>
      </c>
      <c r="M52" s="131">
        <f>SUM(M44:M51)</f>
        <v>77409.559999999983</v>
      </c>
      <c r="N52" s="131">
        <f>SUM(N44:N51)</f>
        <v>-32845.030000000006</v>
      </c>
      <c r="O52" s="332">
        <f t="shared" si="9"/>
        <v>-0.29790170187018977</v>
      </c>
    </row>
    <row r="53" spans="1:15" x14ac:dyDescent="0.2">
      <c r="A53" s="137">
        <f t="shared" si="10"/>
        <v>2009</v>
      </c>
      <c r="B53" s="140">
        <f>Summary!H16/1000000</f>
        <v>9.7517739999999993</v>
      </c>
      <c r="C53" s="140">
        <f>Summary!H20/1000000</f>
        <v>4.9589129999999999</v>
      </c>
      <c r="D53" s="140">
        <f>Summary!H24/1000000</f>
        <v>8.0948810000000009</v>
      </c>
      <c r="E53" s="140">
        <v>0</v>
      </c>
      <c r="F53" s="140">
        <f>Summary!H34/1000000</f>
        <v>0.49684489000000004</v>
      </c>
      <c r="G53" s="140">
        <f t="shared" si="11"/>
        <v>23.302412889999999</v>
      </c>
      <c r="H53" s="143"/>
    </row>
    <row r="54" spans="1:15" x14ac:dyDescent="0.2">
      <c r="A54" s="137">
        <f t="shared" si="10"/>
        <v>2010</v>
      </c>
      <c r="B54" s="140">
        <f>Summary!I16/1000000</f>
        <v>9.9265679900000006</v>
      </c>
      <c r="C54" s="140">
        <f>Summary!I20/1000000</f>
        <v>5.016254</v>
      </c>
      <c r="D54" s="140">
        <f>Summary!I24/1000000</f>
        <v>7.4888579999999996</v>
      </c>
      <c r="E54" s="140">
        <v>0</v>
      </c>
      <c r="F54" s="140">
        <f>Summary!I34/1000000</f>
        <v>0.48556828999999996</v>
      </c>
      <c r="G54" s="140">
        <f t="shared" si="11"/>
        <v>22.917248279999999</v>
      </c>
      <c r="H54" s="143"/>
      <c r="K54" s="21" t="s">
        <v>304</v>
      </c>
    </row>
    <row r="55" spans="1:15" ht="25.5" x14ac:dyDescent="0.2">
      <c r="A55" s="137">
        <f t="shared" si="10"/>
        <v>2011</v>
      </c>
      <c r="B55" s="140">
        <f>Summary!J16/1000000</f>
        <v>9.6192039200000004</v>
      </c>
      <c r="C55" s="140">
        <f>Summary!J20/1000000</f>
        <v>5.6190451599999998</v>
      </c>
      <c r="D55" s="140">
        <f>Summary!J24/1000000</f>
        <v>6.6759000000000004</v>
      </c>
      <c r="E55" s="140">
        <v>0</v>
      </c>
      <c r="F55" s="140">
        <f>Summary!J34/1000000</f>
        <v>0.46970079999999997</v>
      </c>
      <c r="G55" s="140">
        <f t="shared" si="11"/>
        <v>22.38384988</v>
      </c>
      <c r="H55" s="143"/>
      <c r="K55" s="306" t="s">
        <v>178</v>
      </c>
      <c r="L55" s="123" t="s">
        <v>201</v>
      </c>
      <c r="M55" s="123" t="s">
        <v>202</v>
      </c>
      <c r="N55" s="330" t="s">
        <v>301</v>
      </c>
      <c r="O55" s="330" t="s">
        <v>302</v>
      </c>
    </row>
    <row r="56" spans="1:15" x14ac:dyDescent="0.2">
      <c r="A56" s="137">
        <f t="shared" si="10"/>
        <v>2012</v>
      </c>
      <c r="B56" s="140">
        <f>Summary!K16/1000000</f>
        <v>9.4455611400000006</v>
      </c>
      <c r="C56" s="140">
        <f>Summary!K20/1000000</f>
        <v>5.3203554899999999</v>
      </c>
      <c r="D56" s="140">
        <f>Summary!K24/1000000</f>
        <v>6.7227499999999996</v>
      </c>
      <c r="E56" s="140">
        <v>0</v>
      </c>
      <c r="F56" s="140">
        <f>Summary!K34/1000000</f>
        <v>0.46953652000000001</v>
      </c>
      <c r="G56" s="140">
        <f t="shared" si="11"/>
        <v>21.958203149999996</v>
      </c>
      <c r="H56" s="143"/>
      <c r="K56" s="124" t="s">
        <v>296</v>
      </c>
      <c r="L56" s="126">
        <v>4845.26</v>
      </c>
      <c r="M56" s="126">
        <f>4474.5+6.5+752.75+51.25-379</f>
        <v>4906</v>
      </c>
      <c r="N56" s="126">
        <f>M56-L56</f>
        <v>60.739999999999782</v>
      </c>
      <c r="O56" s="331">
        <f>(M56-L56)/L56</f>
        <v>1.2535962982378608E-2</v>
      </c>
    </row>
    <row r="57" spans="1:15" x14ac:dyDescent="0.2">
      <c r="A57" s="137">
        <f t="shared" si="10"/>
        <v>2013</v>
      </c>
      <c r="B57" s="140">
        <f>Summary!L16/1000000</f>
        <v>9.8337943900000013</v>
      </c>
      <c r="C57" s="140">
        <f>Summary!L20/1000000</f>
        <v>5.2381142399999998</v>
      </c>
      <c r="D57" s="140">
        <f>Summary!L24/1000000</f>
        <v>7.0202679999999997</v>
      </c>
      <c r="E57" s="140">
        <v>0</v>
      </c>
      <c r="F57" s="140">
        <f>Summary!L34/1000000</f>
        <v>0.46772359999999996</v>
      </c>
      <c r="G57" s="140">
        <f t="shared" si="11"/>
        <v>22.55990023</v>
      </c>
      <c r="H57" s="143"/>
      <c r="K57" s="124" t="s">
        <v>282</v>
      </c>
      <c r="L57" s="126">
        <v>31625</v>
      </c>
      <c r="M57" s="126">
        <v>31625</v>
      </c>
      <c r="N57" s="126">
        <f t="shared" ref="N57:N63" si="12">M57-L57</f>
        <v>0</v>
      </c>
      <c r="O57" s="331">
        <f>(M57-L57)/L57</f>
        <v>0</v>
      </c>
    </row>
    <row r="58" spans="1:15" x14ac:dyDescent="0.2">
      <c r="A58" s="137">
        <f t="shared" si="10"/>
        <v>2014</v>
      </c>
      <c r="B58" s="140">
        <f>Summary!M16/1000000</f>
        <v>9.7430056</v>
      </c>
      <c r="C58" s="140">
        <f>Summary!M20/1000000</f>
        <v>5.3159989000000003</v>
      </c>
      <c r="D58" s="140">
        <f>Summary!M24/1000000</f>
        <v>7.8519209999999999</v>
      </c>
      <c r="E58" s="140">
        <v>0</v>
      </c>
      <c r="F58" s="140">
        <f>Summary!M34/1000000</f>
        <v>0.46656259999999999</v>
      </c>
      <c r="G58" s="140">
        <f t="shared" si="11"/>
        <v>23.377488100000001</v>
      </c>
      <c r="H58" s="143"/>
      <c r="K58" s="124" t="s">
        <v>281</v>
      </c>
      <c r="L58" s="126">
        <v>6376.17</v>
      </c>
      <c r="M58" s="126">
        <v>8072.25</v>
      </c>
      <c r="N58" s="126">
        <f t="shared" si="12"/>
        <v>1696.08</v>
      </c>
      <c r="O58" s="331">
        <f t="shared" ref="O58:O63" si="13">(M58-L58)/L58</f>
        <v>0.26600294534179608</v>
      </c>
    </row>
    <row r="59" spans="1:15" x14ac:dyDescent="0.2">
      <c r="A59" s="137">
        <f t="shared" si="10"/>
        <v>2015</v>
      </c>
      <c r="B59" s="140">
        <f>Summary!N16/1000000</f>
        <v>9.2253635999999997</v>
      </c>
      <c r="C59" s="140">
        <f>Summary!N20/1000000</f>
        <v>5.1102317099999999</v>
      </c>
      <c r="D59" s="140">
        <f>Summary!N24/1000000</f>
        <v>17.571100000000001</v>
      </c>
      <c r="E59" s="140">
        <v>0</v>
      </c>
      <c r="F59" s="140">
        <f>Summary!N34/1000000</f>
        <v>0.46359613</v>
      </c>
      <c r="G59" s="140">
        <f t="shared" si="11"/>
        <v>32.370291440000003</v>
      </c>
      <c r="H59" s="143"/>
      <c r="K59" s="124" t="s">
        <v>283</v>
      </c>
      <c r="L59" s="126">
        <f>3325+728.63+1674+550</f>
        <v>6277.63</v>
      </c>
      <c r="M59" s="126">
        <f>3150+790.38+1925+775</f>
        <v>6640.38</v>
      </c>
      <c r="N59" s="126">
        <f t="shared" si="12"/>
        <v>362.75</v>
      </c>
      <c r="O59" s="331">
        <f t="shared" si="13"/>
        <v>5.7784546078695299E-2</v>
      </c>
    </row>
    <row r="60" spans="1:15" x14ac:dyDescent="0.2">
      <c r="A60" s="119" t="s">
        <v>215</v>
      </c>
      <c r="B60" s="120"/>
      <c r="C60" s="120"/>
      <c r="D60" s="120"/>
      <c r="E60" s="120"/>
      <c r="F60" s="120"/>
      <c r="G60" s="121"/>
      <c r="I60" s="144"/>
      <c r="K60" s="122" t="s">
        <v>286</v>
      </c>
      <c r="L60" s="126">
        <f>350+11745.54+46711.92+11600</f>
        <v>70407.459999999992</v>
      </c>
      <c r="M60" s="126">
        <f>78460.73+37704.46+12175</f>
        <v>128340.19</v>
      </c>
      <c r="N60" s="126">
        <f t="shared" si="12"/>
        <v>57932.73000000001</v>
      </c>
      <c r="O60" s="331">
        <f t="shared" si="13"/>
        <v>0.82282090562562571</v>
      </c>
    </row>
    <row r="61" spans="1:15" x14ac:dyDescent="0.2">
      <c r="A61" s="137">
        <f>A47</f>
        <v>2003</v>
      </c>
      <c r="B61" s="138">
        <f t="shared" ref="B61:B70" si="14">B47*F150</f>
        <v>11.167141321086193</v>
      </c>
      <c r="C61" s="138">
        <f t="shared" ref="C61:C70" si="15">C47*F150</f>
        <v>6.1543521709595463</v>
      </c>
      <c r="D61" s="138">
        <f t="shared" ref="D61:D70" si="16">D47*F150</f>
        <v>7.4827012577343579</v>
      </c>
      <c r="E61" s="138">
        <f t="shared" ref="E61:E70" si="17">E47*F150</f>
        <v>16.049956740266499</v>
      </c>
      <c r="F61" s="138">
        <f t="shared" ref="F61:F70" si="18">F47*F150</f>
        <v>0.53571517676337088</v>
      </c>
      <c r="G61" s="140">
        <f t="shared" ref="G61:G76" si="19">SUM(B61:F61)</f>
        <v>41.389866666809965</v>
      </c>
      <c r="H61" s="143"/>
      <c r="K61" s="122" t="s">
        <v>287</v>
      </c>
      <c r="L61" s="126">
        <f>-20.66-4182.13-39664.89-14340</f>
        <v>-58207.68</v>
      </c>
      <c r="M61" s="126">
        <f>-1737.51-51583.34-29596.52-4097.5</f>
        <v>-87014.87</v>
      </c>
      <c r="N61" s="126">
        <f t="shared" si="12"/>
        <v>-28807.189999999995</v>
      </c>
      <c r="O61" s="331">
        <f t="shared" si="13"/>
        <v>0.49490359347769908</v>
      </c>
    </row>
    <row r="62" spans="1:15" ht="25.5" x14ac:dyDescent="0.2">
      <c r="A62" s="137">
        <f t="shared" ref="A62:A69" si="20">A48</f>
        <v>2004</v>
      </c>
      <c r="B62" s="138">
        <f t="shared" si="14"/>
        <v>10.779280267515016</v>
      </c>
      <c r="C62" s="138">
        <f t="shared" si="15"/>
        <v>5.5964737816967256</v>
      </c>
      <c r="D62" s="138">
        <f t="shared" si="16"/>
        <v>7.1098556044299936</v>
      </c>
      <c r="E62" s="138">
        <f t="shared" si="17"/>
        <v>11.955598266846453</v>
      </c>
      <c r="F62" s="138">
        <f t="shared" si="18"/>
        <v>0.51669514617098933</v>
      </c>
      <c r="G62" s="140">
        <f t="shared" si="19"/>
        <v>35.957903066659178</v>
      </c>
      <c r="H62" s="143"/>
      <c r="K62" s="124" t="s">
        <v>284</v>
      </c>
      <c r="L62" s="126">
        <f>2358.4+2677.93+1934.35+5.75+9.9+3767.6</f>
        <v>10753.93</v>
      </c>
      <c r="M62" s="126">
        <f>2333.1+2315.82+1789.5+4+6.5+6754.7</f>
        <v>13203.619999999999</v>
      </c>
      <c r="N62" s="126">
        <f t="shared" si="12"/>
        <v>2449.6899999999987</v>
      </c>
      <c r="O62" s="331">
        <f t="shared" si="13"/>
        <v>0.22779486197139079</v>
      </c>
    </row>
    <row r="63" spans="1:15" x14ac:dyDescent="0.2">
      <c r="A63" s="137">
        <f t="shared" si="20"/>
        <v>2005</v>
      </c>
      <c r="B63" s="138">
        <f t="shared" si="14"/>
        <v>11.102428701071124</v>
      </c>
      <c r="C63" s="138">
        <f t="shared" si="15"/>
        <v>5.660275043457224</v>
      </c>
      <c r="D63" s="138">
        <f t="shared" si="16"/>
        <v>7.2017693521571369</v>
      </c>
      <c r="E63" s="138">
        <f t="shared" si="17"/>
        <v>18.716823964047315</v>
      </c>
      <c r="F63" s="138">
        <f t="shared" si="18"/>
        <v>0.50441773408386292</v>
      </c>
      <c r="G63" s="140">
        <f t="shared" si="19"/>
        <v>43.185714794816668</v>
      </c>
      <c r="H63" s="143"/>
      <c r="K63" s="124" t="s">
        <v>285</v>
      </c>
      <c r="L63" s="126">
        <v>5332.11</v>
      </c>
      <c r="M63" s="126">
        <v>7789.03</v>
      </c>
      <c r="N63" s="126">
        <f t="shared" si="12"/>
        <v>2456.92</v>
      </c>
      <c r="O63" s="331">
        <f t="shared" si="13"/>
        <v>0.46077819099756012</v>
      </c>
    </row>
    <row r="64" spans="1:15" x14ac:dyDescent="0.2">
      <c r="A64" s="137" t="s">
        <v>293</v>
      </c>
      <c r="B64" s="138">
        <f t="shared" si="14"/>
        <v>10.835104718787548</v>
      </c>
      <c r="C64" s="138">
        <f t="shared" si="15"/>
        <v>5.5333908536155878</v>
      </c>
      <c r="D64" s="138">
        <f t="shared" si="16"/>
        <v>6.9812487100577236</v>
      </c>
      <c r="E64" s="138">
        <f t="shared" si="17"/>
        <v>19.770571688631911</v>
      </c>
      <c r="F64" s="138">
        <f t="shared" si="18"/>
        <v>0.490560172463267</v>
      </c>
      <c r="G64" s="140">
        <f t="shared" si="19"/>
        <v>43.610876143556034</v>
      </c>
      <c r="H64" s="143"/>
      <c r="K64" s="127" t="s">
        <v>10</v>
      </c>
      <c r="L64" s="131">
        <f>SUM(L56:L63)</f>
        <v>77409.87999999999</v>
      </c>
      <c r="M64" s="131">
        <f>SUM(M56:M63)</f>
        <v>113561.60000000001</v>
      </c>
      <c r="N64" s="131">
        <f>SUM(N56:N63)</f>
        <v>36151.720000000016</v>
      </c>
      <c r="O64" s="332">
        <f>(M64-L64)/L64</f>
        <v>0.46701687174815437</v>
      </c>
    </row>
    <row r="65" spans="1:15" x14ac:dyDescent="0.2">
      <c r="A65" s="137">
        <f t="shared" si="20"/>
        <v>2007</v>
      </c>
      <c r="B65" s="138">
        <f t="shared" si="14"/>
        <v>10.921991435511675</v>
      </c>
      <c r="C65" s="138">
        <f t="shared" si="15"/>
        <v>5.6420350806309667</v>
      </c>
      <c r="D65" s="138">
        <f t="shared" si="16"/>
        <v>7.1943260641274493</v>
      </c>
      <c r="E65" s="138">
        <f t="shared" si="17"/>
        <v>14.069349753186485</v>
      </c>
      <c r="F65" s="138">
        <f t="shared" si="18"/>
        <v>0.50624991130324037</v>
      </c>
      <c r="G65" s="140">
        <f t="shared" si="19"/>
        <v>38.333952244759814</v>
      </c>
      <c r="H65" s="143"/>
    </row>
    <row r="66" spans="1:15" x14ac:dyDescent="0.2">
      <c r="A66" s="137">
        <f t="shared" si="20"/>
        <v>2008</v>
      </c>
      <c r="B66" s="138">
        <f t="shared" si="14"/>
        <v>10.183902018140452</v>
      </c>
      <c r="C66" s="138">
        <f t="shared" si="15"/>
        <v>5.3049523168479285</v>
      </c>
      <c r="D66" s="138">
        <f t="shared" si="16"/>
        <v>7.0971346347228339</v>
      </c>
      <c r="E66" s="138">
        <f t="shared" si="17"/>
        <v>1.12355370681574</v>
      </c>
      <c r="F66" s="138">
        <f t="shared" si="18"/>
        <v>0.48153708668229944</v>
      </c>
      <c r="G66" s="140">
        <f t="shared" si="19"/>
        <v>24.191079763209256</v>
      </c>
      <c r="H66" s="143"/>
      <c r="K66" s="21" t="s">
        <v>305</v>
      </c>
    </row>
    <row r="67" spans="1:15" ht="25.5" x14ac:dyDescent="0.2">
      <c r="A67" s="137">
        <f t="shared" si="20"/>
        <v>2009</v>
      </c>
      <c r="B67" s="138">
        <f t="shared" si="14"/>
        <v>9.70823728716387</v>
      </c>
      <c r="C67" s="138">
        <f t="shared" si="15"/>
        <v>4.9367739747046695</v>
      </c>
      <c r="D67" s="138">
        <f t="shared" si="16"/>
        <v>8.0587414719982604</v>
      </c>
      <c r="E67" s="138">
        <f t="shared" si="17"/>
        <v>0</v>
      </c>
      <c r="F67" s="138">
        <f t="shared" si="18"/>
        <v>0.49462673017594871</v>
      </c>
      <c r="G67" s="140">
        <f t="shared" si="19"/>
        <v>23.198379464042748</v>
      </c>
      <c r="H67" s="143"/>
      <c r="K67" s="306" t="s">
        <v>178</v>
      </c>
      <c r="L67" s="123" t="s">
        <v>202</v>
      </c>
      <c r="M67" s="123" t="s">
        <v>203</v>
      </c>
      <c r="N67" s="330" t="s">
        <v>301</v>
      </c>
      <c r="O67" s="330" t="s">
        <v>302</v>
      </c>
    </row>
    <row r="68" spans="1:15" x14ac:dyDescent="0.2">
      <c r="A68" s="137">
        <f t="shared" si="20"/>
        <v>2010</v>
      </c>
      <c r="B68" s="138">
        <f t="shared" si="14"/>
        <v>10.290617320833087</v>
      </c>
      <c r="C68" s="138">
        <f t="shared" si="15"/>
        <v>5.2002213000606528</v>
      </c>
      <c r="D68" s="138">
        <f t="shared" si="16"/>
        <v>7.76350617108496</v>
      </c>
      <c r="E68" s="138">
        <f t="shared" si="17"/>
        <v>0</v>
      </c>
      <c r="F68" s="138">
        <f t="shared" si="18"/>
        <v>0.50337613770993805</v>
      </c>
      <c r="G68" s="140">
        <f t="shared" si="19"/>
        <v>23.757720929688638</v>
      </c>
      <c r="H68" s="143"/>
      <c r="K68" s="124" t="s">
        <v>296</v>
      </c>
      <c r="L68" s="126">
        <f>4474.5+6.5+752.75+51.25-379</f>
        <v>4906</v>
      </c>
      <c r="M68" s="126">
        <f>4135.5+4.25+693+51</f>
        <v>4883.75</v>
      </c>
      <c r="N68" s="126">
        <f>M68-L68</f>
        <v>-22.25</v>
      </c>
      <c r="O68" s="331">
        <f>(M68-L68)/L68</f>
        <v>-4.5352629433346925E-3</v>
      </c>
    </row>
    <row r="69" spans="1:15" x14ac:dyDescent="0.2">
      <c r="A69" s="137">
        <f t="shared" si="20"/>
        <v>2011</v>
      </c>
      <c r="B69" s="138">
        <f t="shared" si="14"/>
        <v>9.6586412316982866</v>
      </c>
      <c r="C69" s="138">
        <f t="shared" si="15"/>
        <v>5.6420824131099918</v>
      </c>
      <c r="D69" s="138">
        <f t="shared" si="16"/>
        <v>6.7032702014591035</v>
      </c>
      <c r="E69" s="138">
        <f t="shared" si="17"/>
        <v>0</v>
      </c>
      <c r="F69" s="138">
        <f t="shared" si="18"/>
        <v>0.47162650372856119</v>
      </c>
      <c r="G69" s="140">
        <f t="shared" si="19"/>
        <v>22.475620349995946</v>
      </c>
      <c r="H69" s="143"/>
      <c r="K69" s="124" t="s">
        <v>282</v>
      </c>
      <c r="L69" s="126">
        <v>31625</v>
      </c>
      <c r="M69" s="126">
        <v>31625</v>
      </c>
      <c r="N69" s="126">
        <f t="shared" ref="N69:N75" si="21">M69-L69</f>
        <v>0</v>
      </c>
      <c r="O69" s="331">
        <f>(M69-L69)/L69</f>
        <v>0</v>
      </c>
    </row>
    <row r="70" spans="1:15" x14ac:dyDescent="0.2">
      <c r="A70" s="137">
        <f>A56</f>
        <v>2012</v>
      </c>
      <c r="B70" s="138">
        <f t="shared" si="14"/>
        <v>9.6694347667536391</v>
      </c>
      <c r="C70" s="138">
        <f t="shared" si="15"/>
        <v>5.4464557037947019</v>
      </c>
      <c r="D70" s="138">
        <f t="shared" si="16"/>
        <v>6.8820890167032491</v>
      </c>
      <c r="E70" s="138">
        <f t="shared" si="17"/>
        <v>0</v>
      </c>
      <c r="F70" s="138">
        <f t="shared" si="18"/>
        <v>0.48066522289733604</v>
      </c>
      <c r="G70" s="140">
        <f t="shared" si="19"/>
        <v>22.478644710148927</v>
      </c>
      <c r="H70" s="143"/>
      <c r="K70" s="124" t="s">
        <v>281</v>
      </c>
      <c r="L70" s="126">
        <v>8072.25</v>
      </c>
      <c r="M70" s="126">
        <v>9299.65</v>
      </c>
      <c r="N70" s="126">
        <f t="shared" si="21"/>
        <v>1227.3999999999996</v>
      </c>
      <c r="O70" s="331">
        <f t="shared" ref="O70:O75" si="22">(M70-L70)/L70</f>
        <v>0.15205178234073519</v>
      </c>
    </row>
    <row r="71" spans="1:15" x14ac:dyDescent="0.2">
      <c r="A71" s="137" t="str">
        <f>A26</f>
        <v>2012 Board Approved</v>
      </c>
      <c r="B71" s="138">
        <f>P24/1000000</f>
        <v>11.113021</v>
      </c>
      <c r="C71" s="138">
        <f>P25/1000000</f>
        <v>6.246086669440615</v>
      </c>
      <c r="D71" s="138">
        <f>P26/1000000</f>
        <v>5.2185633844691974</v>
      </c>
      <c r="E71" s="138">
        <v>0</v>
      </c>
      <c r="F71" s="138">
        <f>P27/1000000</f>
        <v>0.46649277982669968</v>
      </c>
      <c r="G71" s="140">
        <f t="shared" si="19"/>
        <v>23.044163833736508</v>
      </c>
      <c r="H71" s="143"/>
      <c r="K71" s="124" t="s">
        <v>283</v>
      </c>
      <c r="L71" s="126">
        <f>3150+790.38+1925+775</f>
        <v>6640.38</v>
      </c>
      <c r="M71" s="126">
        <f>2875+842.4+425+400</f>
        <v>4542.3999999999996</v>
      </c>
      <c r="N71" s="126">
        <f t="shared" si="21"/>
        <v>-2097.9800000000005</v>
      </c>
      <c r="O71" s="331">
        <f t="shared" si="22"/>
        <v>-0.31594276231179547</v>
      </c>
    </row>
    <row r="72" spans="1:15" x14ac:dyDescent="0.2">
      <c r="A72" s="137">
        <f>A57</f>
        <v>2013</v>
      </c>
      <c r="B72" s="138">
        <f>B57*F160</f>
        <v>9.6841237318047586</v>
      </c>
      <c r="C72" s="138">
        <f>C57*F160</f>
        <v>5.1583899774305157</v>
      </c>
      <c r="D72" s="138">
        <f>D57*F160</f>
        <v>6.9134193014614693</v>
      </c>
      <c r="E72" s="138">
        <f>E57*F160</f>
        <v>0</v>
      </c>
      <c r="F72" s="138">
        <f>F57*F160</f>
        <v>0.46060483217863524</v>
      </c>
      <c r="G72" s="140">
        <f t="shared" si="19"/>
        <v>22.216537842875379</v>
      </c>
      <c r="H72" s="143"/>
      <c r="K72" s="122" t="s">
        <v>286</v>
      </c>
      <c r="L72" s="126">
        <f>78460.73+37704.46+12175</f>
        <v>128340.19</v>
      </c>
      <c r="M72" s="126">
        <f>32175.17+17473.91+32930.01+8645</f>
        <v>91224.09</v>
      </c>
      <c r="N72" s="126">
        <f t="shared" si="21"/>
        <v>-37116.100000000006</v>
      </c>
      <c r="O72" s="331">
        <f t="shared" si="22"/>
        <v>-0.28920091204477727</v>
      </c>
    </row>
    <row r="73" spans="1:15" x14ac:dyDescent="0.2">
      <c r="A73" s="137">
        <f>A58</f>
        <v>2014</v>
      </c>
      <c r="B73" s="138">
        <f>B58*F161</f>
        <v>9.5959058694268755</v>
      </c>
      <c r="C73" s="138">
        <f>C58*F161</f>
        <v>5.2357380402590366</v>
      </c>
      <c r="D73" s="138">
        <f>D58*F161</f>
        <v>7.7333728321141617</v>
      </c>
      <c r="E73" s="138">
        <f>E58*F161</f>
        <v>0</v>
      </c>
      <c r="F73" s="138">
        <f>F58*F161</f>
        <v>0.45951844590903895</v>
      </c>
      <c r="G73" s="140">
        <f t="shared" si="19"/>
        <v>23.024535187709112</v>
      </c>
      <c r="H73" s="143"/>
      <c r="K73" s="122" t="s">
        <v>287</v>
      </c>
      <c r="L73" s="126">
        <f>-1737.51-51583.34-29596.52-4097.5</f>
        <v>-87014.87</v>
      </c>
      <c r="M73" s="126">
        <v>-23704.97</v>
      </c>
      <c r="N73" s="126">
        <f t="shared" si="21"/>
        <v>63309.899999999994</v>
      </c>
      <c r="O73" s="331">
        <f t="shared" si="22"/>
        <v>-0.72757564310559786</v>
      </c>
    </row>
    <row r="74" spans="1:15" ht="25.5" x14ac:dyDescent="0.2">
      <c r="A74" s="137">
        <f>A59</f>
        <v>2015</v>
      </c>
      <c r="B74" s="138">
        <f>B59*F162</f>
        <v>9.2609227033683723</v>
      </c>
      <c r="C74" s="138">
        <f>C59*F162</f>
        <v>5.1299290645424511</v>
      </c>
      <c r="D74" s="138">
        <f>D59*F162</f>
        <v>17.638827689475136</v>
      </c>
      <c r="E74" s="138">
        <f>E59*F162</f>
        <v>0</v>
      </c>
      <c r="F74" s="138">
        <f>F59*F162</f>
        <v>0.46538305823639464</v>
      </c>
      <c r="G74" s="140">
        <f t="shared" si="19"/>
        <v>32.495062515622358</v>
      </c>
      <c r="H74" s="143"/>
      <c r="K74" s="124" t="s">
        <v>284</v>
      </c>
      <c r="L74" s="126">
        <f>2333.1+2315.82+1789.5+4+6.5+6754.7</f>
        <v>13203.619999999999</v>
      </c>
      <c r="M74" s="126">
        <f>224+2393.6+2029.72+1788.5+4+7.5+6631.43</f>
        <v>13078.75</v>
      </c>
      <c r="N74" s="126">
        <f t="shared" si="21"/>
        <v>-124.86999999999898</v>
      </c>
      <c r="O74" s="331">
        <f t="shared" si="22"/>
        <v>-9.4572549043367652E-3</v>
      </c>
    </row>
    <row r="75" spans="1:15" ht="15" customHeight="1" x14ac:dyDescent="0.2">
      <c r="A75" s="200" t="str">
        <f>A41</f>
        <v>2016 Bridge</v>
      </c>
      <c r="B75" s="140">
        <f>Summary!O16/1000000</f>
        <v>9.6205543751475933</v>
      </c>
      <c r="C75" s="140">
        <f>Summary!O20/1000000</f>
        <v>5.2500910085293615</v>
      </c>
      <c r="D75" s="140">
        <f>Summary!O24/1000000</f>
        <v>11.870853821209415</v>
      </c>
      <c r="E75" s="138">
        <f>E60*F163</f>
        <v>0</v>
      </c>
      <c r="F75" s="140">
        <f>Summary!O34/1000000</f>
        <v>0.46174913346613544</v>
      </c>
      <c r="G75" s="140">
        <f t="shared" si="19"/>
        <v>27.203248338352505</v>
      </c>
      <c r="H75" s="143"/>
      <c r="K75" s="124" t="s">
        <v>285</v>
      </c>
      <c r="L75" s="126">
        <v>7789.03</v>
      </c>
      <c r="M75" s="126">
        <v>9491.31</v>
      </c>
      <c r="N75" s="126">
        <f t="shared" si="21"/>
        <v>1702.2799999999997</v>
      </c>
      <c r="O75" s="331">
        <f t="shared" si="22"/>
        <v>0.2185483943443535</v>
      </c>
    </row>
    <row r="76" spans="1:15" x14ac:dyDescent="0.2">
      <c r="A76" s="200" t="str">
        <f>A42</f>
        <v>2017 Test</v>
      </c>
      <c r="B76" s="140">
        <f>Summary!P16/1000000</f>
        <v>9.682146529962532</v>
      </c>
      <c r="C76" s="140">
        <f>Summary!P20/1000000</f>
        <v>5.1192807263826205</v>
      </c>
      <c r="D76" s="140">
        <f>Summary!P24/1000000</f>
        <v>15.044561464129583</v>
      </c>
      <c r="E76" s="138">
        <f>E71*F164</f>
        <v>0</v>
      </c>
      <c r="F76" s="140">
        <f>Summary!P34/1000000</f>
        <v>0.46174913346613544</v>
      </c>
      <c r="G76" s="140">
        <f t="shared" si="19"/>
        <v>30.307737853940871</v>
      </c>
      <c r="H76" s="143"/>
      <c r="K76" s="127" t="s">
        <v>10</v>
      </c>
      <c r="L76" s="131">
        <f>SUM(L68:L75)</f>
        <v>113561.60000000001</v>
      </c>
      <c r="M76" s="131">
        <f>SUM(M68:M75)</f>
        <v>140439.98000000001</v>
      </c>
      <c r="N76" s="131">
        <f>SUM(N68:N75)</f>
        <v>26878.379999999986</v>
      </c>
      <c r="O76" s="332">
        <f>(M76-L76)/L76</f>
        <v>0.23668546410054106</v>
      </c>
    </row>
    <row r="77" spans="1:15" x14ac:dyDescent="0.2">
      <c r="A77" s="145"/>
      <c r="B77" s="147"/>
      <c r="C77" s="147"/>
      <c r="D77" s="147"/>
      <c r="E77" s="148"/>
      <c r="F77" s="147"/>
      <c r="G77" s="147"/>
      <c r="H77" s="143"/>
    </row>
    <row r="78" spans="1:15" x14ac:dyDescent="0.2">
      <c r="A78" s="366" t="s">
        <v>217</v>
      </c>
      <c r="B78" s="367"/>
      <c r="C78" s="367"/>
      <c r="D78" s="367"/>
      <c r="E78" s="367"/>
      <c r="F78" s="367"/>
      <c r="G78" s="368"/>
    </row>
    <row r="79" spans="1:15" x14ac:dyDescent="0.2">
      <c r="A79" s="366" t="s">
        <v>135</v>
      </c>
      <c r="B79" s="367"/>
      <c r="C79" s="367"/>
      <c r="D79" s="367"/>
      <c r="E79" s="367"/>
      <c r="F79" s="367"/>
      <c r="G79" s="368"/>
      <c r="K79" s="21" t="s">
        <v>306</v>
      </c>
    </row>
    <row r="80" spans="1:15" ht="24.75" customHeight="1" x14ac:dyDescent="0.2">
      <c r="A80" s="201" t="str">
        <f>A45</f>
        <v>Year</v>
      </c>
      <c r="B80" s="142" t="str">
        <f>B45</f>
        <v>Residential</v>
      </c>
      <c r="C80" s="142" t="str">
        <f t="shared" ref="C80:G80" si="23">C45</f>
        <v>GS&lt;50 kW</v>
      </c>
      <c r="D80" s="142" t="str">
        <f t="shared" si="23"/>
        <v>GS&gt;50 kW</v>
      </c>
      <c r="E80" s="142" t="str">
        <f t="shared" si="23"/>
        <v>Intermediate</v>
      </c>
      <c r="F80" s="142" t="str">
        <f t="shared" si="23"/>
        <v>Street Lights</v>
      </c>
      <c r="G80" s="142" t="str">
        <f t="shared" si="23"/>
        <v>Total</v>
      </c>
      <c r="K80" s="306" t="s">
        <v>178</v>
      </c>
      <c r="L80" s="123" t="s">
        <v>203</v>
      </c>
      <c r="M80" s="123" t="s">
        <v>204</v>
      </c>
      <c r="N80" s="330" t="s">
        <v>301</v>
      </c>
      <c r="O80" s="330" t="s">
        <v>302</v>
      </c>
    </row>
    <row r="81" spans="1:15" x14ac:dyDescent="0.2">
      <c r="A81" s="137">
        <f t="shared" ref="A81:A90" si="24">A47</f>
        <v>2003</v>
      </c>
      <c r="B81" s="149">
        <f>Summary!B15</f>
        <v>1502</v>
      </c>
      <c r="C81" s="149">
        <f>Summary!B19</f>
        <v>270</v>
      </c>
      <c r="D81" s="149">
        <f>Summary!B23</f>
        <v>21.5</v>
      </c>
      <c r="E81" s="149">
        <f>Summary!B28</f>
        <v>1</v>
      </c>
      <c r="F81" s="149">
        <f>Summary!B33</f>
        <v>621.5</v>
      </c>
      <c r="G81" s="150">
        <f t="shared" ref="G81:G96" si="25">SUM(B81:F81)</f>
        <v>2416</v>
      </c>
      <c r="H81" s="136"/>
      <c r="K81" s="124" t="s">
        <v>296</v>
      </c>
      <c r="L81" s="126">
        <f>4135.5+4.25+693+51</f>
        <v>4883.75</v>
      </c>
      <c r="M81" s="126">
        <v>4875</v>
      </c>
      <c r="N81" s="126">
        <f>M81-L81</f>
        <v>-8.75</v>
      </c>
      <c r="O81" s="331">
        <f>(M81-L81)/L81</f>
        <v>-1.7916560020476069E-3</v>
      </c>
    </row>
    <row r="82" spans="1:15" ht="12.75" customHeight="1" x14ac:dyDescent="0.2">
      <c r="A82" s="137">
        <f t="shared" si="24"/>
        <v>2004</v>
      </c>
      <c r="B82" s="149">
        <f>Summary!C15</f>
        <v>1481.5</v>
      </c>
      <c r="C82" s="149">
        <f>Summary!C19</f>
        <v>254.5</v>
      </c>
      <c r="D82" s="149">
        <f>Summary!C23</f>
        <v>21</v>
      </c>
      <c r="E82" s="149">
        <f>Summary!C28</f>
        <v>1</v>
      </c>
      <c r="F82" s="149">
        <f>Summary!C33</f>
        <v>617.5</v>
      </c>
      <c r="G82" s="150">
        <f t="shared" si="25"/>
        <v>2375.5</v>
      </c>
      <c r="H82" s="136"/>
      <c r="K82" s="124" t="s">
        <v>282</v>
      </c>
      <c r="L82" s="126">
        <v>31625</v>
      </c>
      <c r="M82" s="126">
        <v>32609</v>
      </c>
      <c r="N82" s="126">
        <f t="shared" ref="N82:N88" si="26">M82-L82</f>
        <v>984</v>
      </c>
      <c r="O82" s="331">
        <f>(M82-L82)/L82</f>
        <v>3.1114624505928855E-2</v>
      </c>
    </row>
    <row r="83" spans="1:15" x14ac:dyDescent="0.2">
      <c r="A83" s="137">
        <f t="shared" si="24"/>
        <v>2005</v>
      </c>
      <c r="B83" s="149">
        <f>Summary!D15</f>
        <v>1467.5</v>
      </c>
      <c r="C83" s="149">
        <f>Summary!D19</f>
        <v>246.5</v>
      </c>
      <c r="D83" s="149">
        <f>Summary!D23</f>
        <v>20.5</v>
      </c>
      <c r="E83" s="149">
        <f>Summary!D28</f>
        <v>1</v>
      </c>
      <c r="F83" s="149">
        <f>Summary!D33</f>
        <v>619.5</v>
      </c>
      <c r="G83" s="150">
        <f t="shared" si="25"/>
        <v>2355</v>
      </c>
      <c r="H83" s="136"/>
      <c r="K83" s="124" t="s">
        <v>281</v>
      </c>
      <c r="L83" s="126">
        <v>9299.65</v>
      </c>
      <c r="M83" s="126">
        <v>7286</v>
      </c>
      <c r="N83" s="126">
        <f t="shared" si="26"/>
        <v>-2013.6499999999996</v>
      </c>
      <c r="O83" s="331">
        <f t="shared" ref="O83:O88" si="27">(M83-L83)/L83</f>
        <v>-0.21652965434183002</v>
      </c>
    </row>
    <row r="84" spans="1:15" x14ac:dyDescent="0.2">
      <c r="A84" s="137">
        <f t="shared" si="24"/>
        <v>2006</v>
      </c>
      <c r="B84" s="149">
        <f>Summary!E15</f>
        <v>1456</v>
      </c>
      <c r="C84" s="149">
        <f>Summary!E19</f>
        <v>246</v>
      </c>
      <c r="D84" s="149">
        <f>Summary!E23</f>
        <v>20</v>
      </c>
      <c r="E84" s="149">
        <f>Summary!E28</f>
        <v>1</v>
      </c>
      <c r="F84" s="149">
        <f>Summary!E33</f>
        <v>621</v>
      </c>
      <c r="G84" s="150">
        <f t="shared" si="25"/>
        <v>2344</v>
      </c>
      <c r="H84" s="136"/>
      <c r="K84" s="124" t="s">
        <v>283</v>
      </c>
      <c r="L84" s="126">
        <f>2875+842.4+425+400</f>
        <v>4542.3999999999996</v>
      </c>
      <c r="M84" s="126">
        <v>5861</v>
      </c>
      <c r="N84" s="126">
        <f t="shared" si="26"/>
        <v>1318.6000000000004</v>
      </c>
      <c r="O84" s="331">
        <f t="shared" si="27"/>
        <v>0.29028707291299766</v>
      </c>
    </row>
    <row r="85" spans="1:15" x14ac:dyDescent="0.2">
      <c r="A85" s="137">
        <f t="shared" si="24"/>
        <v>2007</v>
      </c>
      <c r="B85" s="149">
        <f>Summary!F15</f>
        <v>1444</v>
      </c>
      <c r="C85" s="149">
        <f>Summary!F19</f>
        <v>243.5</v>
      </c>
      <c r="D85" s="149">
        <f>Summary!F23</f>
        <v>20</v>
      </c>
      <c r="E85" s="149">
        <f>Summary!F28</f>
        <v>1</v>
      </c>
      <c r="F85" s="149">
        <f>Summary!F33</f>
        <v>620.5</v>
      </c>
      <c r="G85" s="150">
        <f t="shared" si="25"/>
        <v>2329</v>
      </c>
      <c r="H85" s="136"/>
      <c r="K85" s="122" t="s">
        <v>286</v>
      </c>
      <c r="L85" s="126">
        <f>32175.17+17473.91+32930.01+8645</f>
        <v>91224.09</v>
      </c>
      <c r="M85" s="293">
        <v>59171</v>
      </c>
      <c r="N85" s="126">
        <f t="shared" si="26"/>
        <v>-32053.089999999997</v>
      </c>
      <c r="O85" s="331">
        <f t="shared" si="27"/>
        <v>-0.35136650856149948</v>
      </c>
    </row>
    <row r="86" spans="1:15" ht="12.75" customHeight="1" x14ac:dyDescent="0.2">
      <c r="A86" s="137">
        <f t="shared" si="24"/>
        <v>2008</v>
      </c>
      <c r="B86" s="149">
        <f>Summary!G15</f>
        <v>1433</v>
      </c>
      <c r="C86" s="149">
        <f>Summary!G19</f>
        <v>237.5</v>
      </c>
      <c r="D86" s="149">
        <f>Summary!G23</f>
        <v>20.5</v>
      </c>
      <c r="E86" s="149">
        <f>Summary!G28</f>
        <v>1</v>
      </c>
      <c r="F86" s="149">
        <f>Summary!G33</f>
        <v>619.5</v>
      </c>
      <c r="G86" s="150">
        <f t="shared" si="25"/>
        <v>2311.5</v>
      </c>
      <c r="H86" s="136"/>
      <c r="K86" s="122" t="s">
        <v>287</v>
      </c>
      <c r="L86" s="126">
        <v>-23704.97</v>
      </c>
      <c r="M86" s="293">
        <v>-34351</v>
      </c>
      <c r="N86" s="126">
        <f t="shared" si="26"/>
        <v>-10646.029999999999</v>
      </c>
      <c r="O86" s="331">
        <f t="shared" si="27"/>
        <v>0.44910539857253556</v>
      </c>
    </row>
    <row r="87" spans="1:15" ht="25.5" x14ac:dyDescent="0.2">
      <c r="A87" s="137">
        <f t="shared" si="24"/>
        <v>2009</v>
      </c>
      <c r="B87" s="149">
        <f>Summary!H15</f>
        <v>1434.5</v>
      </c>
      <c r="C87" s="149">
        <f>Summary!H19</f>
        <v>239</v>
      </c>
      <c r="D87" s="149">
        <f>Summary!H23</f>
        <v>20.5</v>
      </c>
      <c r="E87" s="149">
        <v>0</v>
      </c>
      <c r="F87" s="149">
        <f>Summary!H33</f>
        <v>621</v>
      </c>
      <c r="G87" s="150">
        <f t="shared" si="25"/>
        <v>2315</v>
      </c>
      <c r="H87" s="136"/>
      <c r="K87" s="124" t="s">
        <v>284</v>
      </c>
      <c r="L87" s="126">
        <f>224+2393.6+2029.72+1788.5+4+7.5+6631.43</f>
        <v>13078.75</v>
      </c>
      <c r="M87" s="126">
        <f>2820+5980</f>
        <v>8800</v>
      </c>
      <c r="N87" s="126">
        <f t="shared" si="26"/>
        <v>-4278.75</v>
      </c>
      <c r="O87" s="331">
        <f t="shared" si="27"/>
        <v>-0.3271528242377903</v>
      </c>
    </row>
    <row r="88" spans="1:15" x14ac:dyDescent="0.2">
      <c r="A88" s="137">
        <f t="shared" si="24"/>
        <v>2010</v>
      </c>
      <c r="B88" s="149">
        <f>Summary!I15</f>
        <v>1423.5</v>
      </c>
      <c r="C88" s="149">
        <f>Summary!I19</f>
        <v>237.5</v>
      </c>
      <c r="D88" s="149">
        <f>Summary!I23</f>
        <v>21</v>
      </c>
      <c r="E88" s="149">
        <v>0</v>
      </c>
      <c r="F88" s="149">
        <f>Summary!I33</f>
        <v>625.5</v>
      </c>
      <c r="G88" s="150">
        <f t="shared" si="25"/>
        <v>2307.5</v>
      </c>
      <c r="H88" s="136"/>
      <c r="K88" s="124" t="s">
        <v>285</v>
      </c>
      <c r="L88" s="126">
        <v>9491.31</v>
      </c>
      <c r="M88" s="126">
        <v>8872</v>
      </c>
      <c r="N88" s="126">
        <f t="shared" si="26"/>
        <v>-619.30999999999949</v>
      </c>
      <c r="O88" s="331">
        <f t="shared" si="27"/>
        <v>-6.5250213089657755E-2</v>
      </c>
    </row>
    <row r="89" spans="1:15" x14ac:dyDescent="0.2">
      <c r="A89" s="137">
        <f t="shared" si="24"/>
        <v>2011</v>
      </c>
      <c r="B89" s="149">
        <f>Summary!J15</f>
        <v>1408.5</v>
      </c>
      <c r="C89" s="149">
        <f>Summary!J19</f>
        <v>231.5</v>
      </c>
      <c r="D89" s="149">
        <f>Summary!J23</f>
        <v>22</v>
      </c>
      <c r="E89" s="149">
        <v>0</v>
      </c>
      <c r="F89" s="149">
        <f>Summary!J33</f>
        <v>631.5</v>
      </c>
      <c r="G89" s="150">
        <f t="shared" si="25"/>
        <v>2293.5</v>
      </c>
      <c r="H89" s="136"/>
      <c r="K89" s="127" t="s">
        <v>10</v>
      </c>
      <c r="L89" s="131">
        <f>SUM(L81:L88)</f>
        <v>140439.98000000001</v>
      </c>
      <c r="M89" s="131">
        <f>SUM(M81:M88)</f>
        <v>93123</v>
      </c>
      <c r="N89" s="131">
        <f>SUM(N81:N88)</f>
        <v>-47316.979999999996</v>
      </c>
      <c r="O89" s="332">
        <f>(M89-L89)/L89</f>
        <v>-0.33691958657356691</v>
      </c>
    </row>
    <row r="90" spans="1:15" x14ac:dyDescent="0.2">
      <c r="A90" s="137">
        <f t="shared" si="24"/>
        <v>2012</v>
      </c>
      <c r="B90" s="149">
        <f>Summary!K15</f>
        <v>1410</v>
      </c>
      <c r="C90" s="149">
        <f>Summary!K19</f>
        <v>233.5</v>
      </c>
      <c r="D90" s="149">
        <f>Summary!K23</f>
        <v>20</v>
      </c>
      <c r="E90" s="149">
        <v>0</v>
      </c>
      <c r="F90" s="149">
        <f>Summary!K33</f>
        <v>635</v>
      </c>
      <c r="G90" s="150">
        <f t="shared" si="25"/>
        <v>2298.5</v>
      </c>
      <c r="H90" s="136"/>
    </row>
    <row r="91" spans="1:15" x14ac:dyDescent="0.2">
      <c r="A91" s="267" t="str">
        <f>A71</f>
        <v>2012 Board Approved</v>
      </c>
      <c r="B91" s="268">
        <f>M25</f>
        <v>1424</v>
      </c>
      <c r="C91" s="268">
        <f>M26</f>
        <v>235</v>
      </c>
      <c r="D91" s="268">
        <f>M27</f>
        <v>15</v>
      </c>
      <c r="E91" s="268">
        <v>0</v>
      </c>
      <c r="F91" s="268">
        <f>M28</f>
        <v>623</v>
      </c>
      <c r="G91" s="269">
        <f>SUM(B91:F91)</f>
        <v>2297</v>
      </c>
      <c r="H91" s="136"/>
    </row>
    <row r="92" spans="1:15" x14ac:dyDescent="0.2">
      <c r="A92" s="137">
        <f>A57</f>
        <v>2013</v>
      </c>
      <c r="B92" s="149">
        <f>Summary!L15</f>
        <v>1412.5</v>
      </c>
      <c r="C92" s="149">
        <f>Summary!L19</f>
        <v>234.5</v>
      </c>
      <c r="D92" s="149">
        <f>Summary!L23</f>
        <v>18</v>
      </c>
      <c r="E92" s="149">
        <v>0</v>
      </c>
      <c r="F92" s="149">
        <f>Summary!L33</f>
        <v>635</v>
      </c>
      <c r="G92" s="150">
        <f t="shared" si="25"/>
        <v>2300</v>
      </c>
      <c r="H92" s="136"/>
      <c r="K92" s="21" t="s">
        <v>310</v>
      </c>
    </row>
    <row r="93" spans="1:15" ht="25.5" x14ac:dyDescent="0.2">
      <c r="A93" s="137">
        <f>A58</f>
        <v>2014</v>
      </c>
      <c r="B93" s="149">
        <f>Summary!M15</f>
        <v>1411</v>
      </c>
      <c r="C93" s="149">
        <f>Summary!M19</f>
        <v>234</v>
      </c>
      <c r="D93" s="149">
        <f>Summary!M23</f>
        <v>19</v>
      </c>
      <c r="E93" s="149">
        <v>0</v>
      </c>
      <c r="F93" s="149">
        <f>Summary!M33</f>
        <v>632.5</v>
      </c>
      <c r="G93" s="150">
        <f t="shared" si="25"/>
        <v>2296.5</v>
      </c>
      <c r="H93" s="136"/>
      <c r="K93" s="333" t="s">
        <v>178</v>
      </c>
      <c r="L93" s="123" t="s">
        <v>204</v>
      </c>
      <c r="M93" s="123" t="s">
        <v>250</v>
      </c>
      <c r="N93" s="330" t="s">
        <v>301</v>
      </c>
      <c r="O93" s="330" t="s">
        <v>302</v>
      </c>
    </row>
    <row r="94" spans="1:15" x14ac:dyDescent="0.2">
      <c r="A94" s="137">
        <f>A59</f>
        <v>2015</v>
      </c>
      <c r="B94" s="149">
        <f>Summary!N15</f>
        <v>1405</v>
      </c>
      <c r="C94" s="149">
        <f>Summary!N19</f>
        <v>234</v>
      </c>
      <c r="D94" s="149">
        <f>Summary!N23</f>
        <v>19</v>
      </c>
      <c r="E94" s="149">
        <v>0</v>
      </c>
      <c r="F94" s="149">
        <f>Summary!N33</f>
        <v>627.5</v>
      </c>
      <c r="G94" s="150">
        <f t="shared" si="25"/>
        <v>2285.5</v>
      </c>
      <c r="H94" s="136"/>
      <c r="K94" s="124" t="s">
        <v>296</v>
      </c>
      <c r="L94" s="126">
        <f>M81</f>
        <v>4875</v>
      </c>
      <c r="M94" s="126">
        <f t="shared" ref="M94:M101" si="28">T10</f>
        <v>4875</v>
      </c>
      <c r="N94" s="126">
        <f>M94-L94</f>
        <v>0</v>
      </c>
      <c r="O94" s="331">
        <f>(M94-L94)/L94</f>
        <v>0</v>
      </c>
    </row>
    <row r="95" spans="1:15" ht="12.75" customHeight="1" x14ac:dyDescent="0.2">
      <c r="A95" s="200" t="str">
        <f>A75</f>
        <v>2016 Bridge</v>
      </c>
      <c r="B95" s="149">
        <f>Summary!O15</f>
        <v>1397.2051900797071</v>
      </c>
      <c r="C95" s="149">
        <f>Summary!O19</f>
        <v>231.22610586256388</v>
      </c>
      <c r="D95" s="149">
        <f>Summary!O23</f>
        <v>17</v>
      </c>
      <c r="E95" s="149">
        <v>0</v>
      </c>
      <c r="F95" s="149">
        <f>Summary!O33</f>
        <v>625</v>
      </c>
      <c r="G95" s="150">
        <f t="shared" si="25"/>
        <v>2270.4312959422709</v>
      </c>
      <c r="H95" s="136"/>
      <c r="K95" s="124" t="s">
        <v>282</v>
      </c>
      <c r="L95" s="126">
        <f t="shared" ref="L95:L101" si="29">M82</f>
        <v>32609</v>
      </c>
      <c r="M95" s="126">
        <f t="shared" si="28"/>
        <v>32609</v>
      </c>
      <c r="N95" s="126">
        <f t="shared" ref="N95:N101" si="30">M95-L95</f>
        <v>0</v>
      </c>
      <c r="O95" s="331">
        <f>(M95-L95)/L95</f>
        <v>0</v>
      </c>
    </row>
    <row r="96" spans="1:15" ht="12.75" customHeight="1" x14ac:dyDescent="0.2">
      <c r="A96" s="137" t="str">
        <f>A76</f>
        <v>2017 Test</v>
      </c>
      <c r="B96" s="149">
        <f>Summary!P15</f>
        <v>1389.453625043182</v>
      </c>
      <c r="C96" s="149">
        <f>Summary!P19</f>
        <v>228.48509415540855</v>
      </c>
      <c r="D96" s="149">
        <f>Summary!P23</f>
        <v>17</v>
      </c>
      <c r="E96" s="149">
        <v>0</v>
      </c>
      <c r="F96" s="149">
        <f>Summary!P33</f>
        <v>625</v>
      </c>
      <c r="G96" s="150">
        <f t="shared" si="25"/>
        <v>2259.9387191985907</v>
      </c>
      <c r="H96" s="136"/>
      <c r="K96" s="124" t="s">
        <v>281</v>
      </c>
      <c r="L96" s="126">
        <f t="shared" si="29"/>
        <v>7286</v>
      </c>
      <c r="M96" s="126">
        <f t="shared" si="28"/>
        <v>7543</v>
      </c>
      <c r="N96" s="126">
        <f t="shared" si="30"/>
        <v>257</v>
      </c>
      <c r="O96" s="331">
        <f t="shared" ref="O96:O101" si="31">(M96-L96)/L96</f>
        <v>3.5273126544057093E-2</v>
      </c>
    </row>
    <row r="97" spans="1:19" x14ac:dyDescent="0.2">
      <c r="A97" s="366" t="s">
        <v>218</v>
      </c>
      <c r="B97" s="367"/>
      <c r="C97" s="367"/>
      <c r="D97" s="367"/>
      <c r="E97" s="367"/>
      <c r="F97" s="368"/>
      <c r="K97" s="124" t="s">
        <v>283</v>
      </c>
      <c r="L97" s="126">
        <f t="shared" si="29"/>
        <v>5861</v>
      </c>
      <c r="M97" s="126">
        <f t="shared" si="28"/>
        <v>5885</v>
      </c>
      <c r="N97" s="126">
        <f t="shared" si="30"/>
        <v>24</v>
      </c>
      <c r="O97" s="331">
        <f t="shared" si="31"/>
        <v>4.094864357618154E-3</v>
      </c>
    </row>
    <row r="98" spans="1:19" x14ac:dyDescent="0.2">
      <c r="A98" s="200">
        <f t="shared" ref="A98:A105" si="32">A28</f>
        <v>2003</v>
      </c>
      <c r="B98" s="152">
        <f t="shared" ref="B98:F103" si="33">B47*1000000/B81</f>
        <v>7449.3883541472551</v>
      </c>
      <c r="C98" s="152">
        <f t="shared" si="33"/>
        <v>22838.475787642918</v>
      </c>
      <c r="D98" s="152">
        <f t="shared" si="33"/>
        <v>348713.2767602987</v>
      </c>
      <c r="E98" s="152">
        <f t="shared" si="33"/>
        <v>16081346.227867592</v>
      </c>
      <c r="F98" s="152">
        <f t="shared" si="33"/>
        <v>863.65711107684172</v>
      </c>
      <c r="H98" s="136"/>
      <c r="I98" s="136"/>
      <c r="J98" s="136"/>
      <c r="K98" s="122" t="s">
        <v>286</v>
      </c>
      <c r="L98" s="126">
        <f t="shared" si="29"/>
        <v>59171</v>
      </c>
      <c r="M98" s="126">
        <f t="shared" si="28"/>
        <v>70000</v>
      </c>
      <c r="N98" s="126">
        <f t="shared" si="30"/>
        <v>10829</v>
      </c>
      <c r="O98" s="331">
        <f t="shared" si="31"/>
        <v>0.18301194842067905</v>
      </c>
      <c r="P98" s="136"/>
      <c r="Q98" s="136"/>
    </row>
    <row r="99" spans="1:19" x14ac:dyDescent="0.2">
      <c r="A99" s="200">
        <f t="shared" si="32"/>
        <v>2004</v>
      </c>
      <c r="B99" s="152">
        <f t="shared" si="33"/>
        <v>7323.179210259872</v>
      </c>
      <c r="C99" s="152">
        <f t="shared" si="33"/>
        <v>22132.89587426326</v>
      </c>
      <c r="D99" s="152">
        <f t="shared" si="33"/>
        <v>340763.47619047621</v>
      </c>
      <c r="E99" s="152">
        <f t="shared" si="33"/>
        <v>12033248</v>
      </c>
      <c r="F99" s="152">
        <f t="shared" si="33"/>
        <v>842.18785425101225</v>
      </c>
      <c r="H99" s="136"/>
      <c r="I99" s="136"/>
      <c r="J99" s="136"/>
      <c r="K99" s="122" t="s">
        <v>287</v>
      </c>
      <c r="L99" s="126">
        <f t="shared" si="29"/>
        <v>-34351</v>
      </c>
      <c r="M99" s="126">
        <f t="shared" si="28"/>
        <v>-34351</v>
      </c>
      <c r="N99" s="126">
        <f t="shared" si="30"/>
        <v>0</v>
      </c>
      <c r="O99" s="331">
        <f t="shared" si="31"/>
        <v>0</v>
      </c>
      <c r="P99" s="136"/>
      <c r="Q99" s="136"/>
    </row>
    <row r="100" spans="1:19" ht="25.5" x14ac:dyDescent="0.2">
      <c r="A100" s="200">
        <f t="shared" si="32"/>
        <v>2005</v>
      </c>
      <c r="B100" s="152">
        <f t="shared" si="33"/>
        <v>7586.4061328790458</v>
      </c>
      <c r="C100" s="152">
        <f t="shared" si="33"/>
        <v>23025.910750507101</v>
      </c>
      <c r="D100" s="152">
        <f t="shared" si="33"/>
        <v>352274.78048780491</v>
      </c>
      <c r="E100" s="152">
        <f t="shared" si="33"/>
        <v>18768448</v>
      </c>
      <c r="F100" s="152">
        <f t="shared" si="33"/>
        <v>816.47941888619846</v>
      </c>
      <c r="H100" s="136"/>
      <c r="I100" s="136"/>
      <c r="J100" s="136"/>
      <c r="K100" s="124" t="s">
        <v>284</v>
      </c>
      <c r="L100" s="126">
        <f t="shared" si="29"/>
        <v>8800</v>
      </c>
      <c r="M100" s="126">
        <f t="shared" si="28"/>
        <v>8420</v>
      </c>
      <c r="N100" s="126">
        <f t="shared" si="30"/>
        <v>-380</v>
      </c>
      <c r="O100" s="331">
        <f t="shared" si="31"/>
        <v>-4.3181818181818182E-2</v>
      </c>
      <c r="P100" s="136"/>
      <c r="Q100" s="136"/>
    </row>
    <row r="101" spans="1:19" x14ac:dyDescent="0.2">
      <c r="A101" s="200">
        <f t="shared" si="32"/>
        <v>2006</v>
      </c>
      <c r="B101" s="152">
        <f t="shared" si="33"/>
        <v>7392.1304945054944</v>
      </c>
      <c r="C101" s="152">
        <f t="shared" si="33"/>
        <v>22343.650406504064</v>
      </c>
      <c r="D101" s="152">
        <f t="shared" si="33"/>
        <v>346737.65</v>
      </c>
      <c r="E101" s="152">
        <f t="shared" si="33"/>
        <v>19638898</v>
      </c>
      <c r="F101" s="152">
        <f t="shared" si="33"/>
        <v>784.6908212560387</v>
      </c>
      <c r="H101" s="136"/>
      <c r="I101" s="136"/>
      <c r="J101" s="136"/>
      <c r="K101" s="124" t="s">
        <v>285</v>
      </c>
      <c r="L101" s="126">
        <f t="shared" si="29"/>
        <v>8872</v>
      </c>
      <c r="M101" s="126">
        <f t="shared" si="28"/>
        <v>7789</v>
      </c>
      <c r="N101" s="126">
        <f t="shared" si="30"/>
        <v>-1083</v>
      </c>
      <c r="O101" s="331">
        <f t="shared" si="31"/>
        <v>-0.12206943192064923</v>
      </c>
      <c r="P101" s="136"/>
      <c r="Q101" s="136"/>
    </row>
    <row r="102" spans="1:19" x14ac:dyDescent="0.2">
      <c r="A102" s="200">
        <f t="shared" si="32"/>
        <v>2007</v>
      </c>
      <c r="B102" s="152">
        <f t="shared" si="33"/>
        <v>7592.2887811634346</v>
      </c>
      <c r="C102" s="152">
        <f t="shared" si="33"/>
        <v>23258.135523613964</v>
      </c>
      <c r="D102" s="152">
        <f t="shared" si="33"/>
        <v>361075.65</v>
      </c>
      <c r="E102" s="152">
        <f t="shared" si="33"/>
        <v>14122517</v>
      </c>
      <c r="F102" s="152">
        <f t="shared" si="33"/>
        <v>818.95729250604359</v>
      </c>
      <c r="H102" s="136"/>
      <c r="I102" s="136"/>
      <c r="J102" s="136"/>
      <c r="K102" s="127" t="s">
        <v>10</v>
      </c>
      <c r="L102" s="131">
        <f>SUM(L94:L101)</f>
        <v>93123</v>
      </c>
      <c r="M102" s="131">
        <f>SUM(M94:M101)</f>
        <v>102770</v>
      </c>
      <c r="N102" s="131">
        <f>SUM(N94:N101)</f>
        <v>9647</v>
      </c>
      <c r="O102" s="332">
        <f>(M102-L102)/L102</f>
        <v>0.10359417114998443</v>
      </c>
      <c r="P102" s="136"/>
      <c r="Q102" s="136"/>
    </row>
    <row r="103" spans="1:19" x14ac:dyDescent="0.2">
      <c r="A103" s="200">
        <f t="shared" si="32"/>
        <v>2008</v>
      </c>
      <c r="B103" s="152">
        <f t="shared" si="33"/>
        <v>7215.926029309142</v>
      </c>
      <c r="C103" s="152">
        <f t="shared" si="33"/>
        <v>22679.941052631581</v>
      </c>
      <c r="D103" s="152">
        <f t="shared" si="33"/>
        <v>351522.58536585368</v>
      </c>
      <c r="E103" s="152">
        <f t="shared" si="33"/>
        <v>1140822</v>
      </c>
      <c r="F103" s="152">
        <f t="shared" si="33"/>
        <v>789.24616626311547</v>
      </c>
      <c r="H103" s="136"/>
      <c r="I103" s="136"/>
      <c r="J103" s="136"/>
      <c r="K103" s="136"/>
      <c r="L103" s="136"/>
      <c r="N103" s="136"/>
      <c r="O103" s="136"/>
      <c r="P103" s="136"/>
      <c r="Q103" s="136"/>
    </row>
    <row r="104" spans="1:19" x14ac:dyDescent="0.2">
      <c r="A104" s="200">
        <f t="shared" si="32"/>
        <v>2009</v>
      </c>
      <c r="B104" s="152">
        <f t="shared" ref="B104:D107" si="34">B53*1000000/B87</f>
        <v>6798.0299756012546</v>
      </c>
      <c r="C104" s="152">
        <f t="shared" si="34"/>
        <v>20748.589958158995</v>
      </c>
      <c r="D104" s="152">
        <f t="shared" si="34"/>
        <v>394872.24390243908</v>
      </c>
      <c r="E104" s="152">
        <v>0</v>
      </c>
      <c r="F104" s="152">
        <f>F53*1000000/F87</f>
        <v>800.07228663446062</v>
      </c>
      <c r="H104" s="136"/>
      <c r="I104" s="136"/>
      <c r="J104" s="136"/>
      <c r="K104" s="136"/>
      <c r="L104" s="136"/>
      <c r="N104" s="136"/>
      <c r="O104" s="136"/>
      <c r="P104" s="136"/>
      <c r="Q104" s="136"/>
    </row>
    <row r="105" spans="1:19" x14ac:dyDescent="0.2">
      <c r="A105" s="200">
        <f t="shared" si="32"/>
        <v>2010</v>
      </c>
      <c r="B105" s="152">
        <f t="shared" si="34"/>
        <v>6973.3529961362838</v>
      </c>
      <c r="C105" s="152">
        <f t="shared" si="34"/>
        <v>21121.069473684209</v>
      </c>
      <c r="D105" s="152">
        <f t="shared" si="34"/>
        <v>356612.28571428574</v>
      </c>
      <c r="E105" s="152">
        <v>0</v>
      </c>
      <c r="F105" s="152">
        <f>F54*1000000/F88</f>
        <v>776.28823341326938</v>
      </c>
      <c r="H105" s="136"/>
      <c r="I105" s="136"/>
      <c r="J105" s="136"/>
      <c r="K105" s="136"/>
      <c r="L105" s="136"/>
      <c r="N105" s="136"/>
      <c r="O105" s="136"/>
      <c r="P105" s="136"/>
      <c r="Q105" s="136"/>
    </row>
    <row r="106" spans="1:19" x14ac:dyDescent="0.2">
      <c r="A106" s="200">
        <f t="shared" ref="A106:A110" si="35">A36</f>
        <v>2011</v>
      </c>
      <c r="B106" s="152">
        <f t="shared" si="34"/>
        <v>6829.3957543485976</v>
      </c>
      <c r="C106" s="152">
        <f t="shared" si="34"/>
        <v>24272.333304535638</v>
      </c>
      <c r="D106" s="152">
        <f t="shared" si="34"/>
        <v>303450</v>
      </c>
      <c r="E106" s="152">
        <v>0</v>
      </c>
      <c r="F106" s="152">
        <f>F55*1000000/F89</f>
        <v>743.78590657165478</v>
      </c>
      <c r="H106" s="136"/>
      <c r="I106" s="136"/>
      <c r="J106" s="136"/>
      <c r="K106" s="136"/>
      <c r="L106" s="136"/>
      <c r="N106" s="136"/>
      <c r="O106" s="136"/>
      <c r="P106" s="136"/>
      <c r="Q106" s="136"/>
    </row>
    <row r="107" spans="1:19" x14ac:dyDescent="0.2">
      <c r="A107" s="200">
        <f t="shared" si="35"/>
        <v>2012</v>
      </c>
      <c r="B107" s="152">
        <f t="shared" si="34"/>
        <v>6698.9795319148943</v>
      </c>
      <c r="C107" s="152">
        <f t="shared" si="34"/>
        <v>22785.248351177732</v>
      </c>
      <c r="D107" s="152">
        <f t="shared" si="34"/>
        <v>336137.5</v>
      </c>
      <c r="E107" s="152">
        <v>0</v>
      </c>
      <c r="F107" s="152">
        <f>F56*1000000/F90</f>
        <v>739.42759055118108</v>
      </c>
      <c r="H107" s="136"/>
      <c r="I107" s="136"/>
      <c r="J107" s="136"/>
      <c r="K107" s="136"/>
      <c r="L107" s="136"/>
      <c r="N107" s="136"/>
      <c r="O107" s="136"/>
      <c r="P107" s="136"/>
      <c r="Q107" s="136"/>
    </row>
    <row r="108" spans="1:19" x14ac:dyDescent="0.2">
      <c r="A108" s="200">
        <f t="shared" si="35"/>
        <v>2013</v>
      </c>
      <c r="B108" s="152">
        <f t="shared" ref="B108:D110" si="36">B57*1000000/B92</f>
        <v>6961.9783292035399</v>
      </c>
      <c r="C108" s="152">
        <f t="shared" si="36"/>
        <v>22337.374157782517</v>
      </c>
      <c r="D108" s="152">
        <f t="shared" si="36"/>
        <v>390014.88888888888</v>
      </c>
      <c r="E108" s="152">
        <v>0</v>
      </c>
      <c r="F108" s="152">
        <f>F57*1000000/F92</f>
        <v>736.57259842519682</v>
      </c>
      <c r="H108" s="136"/>
      <c r="I108" s="136"/>
      <c r="J108" s="136"/>
      <c r="K108" s="136"/>
      <c r="L108" s="136"/>
      <c r="N108" s="136"/>
      <c r="O108" s="136"/>
      <c r="P108" s="136"/>
      <c r="Q108" s="136"/>
    </row>
    <row r="109" spans="1:19" x14ac:dyDescent="0.2">
      <c r="A109" s="200">
        <f t="shared" si="35"/>
        <v>2014</v>
      </c>
      <c r="B109" s="152">
        <f t="shared" si="36"/>
        <v>6905.0358610914245</v>
      </c>
      <c r="C109" s="152">
        <f t="shared" si="36"/>
        <v>22717.944017094018</v>
      </c>
      <c r="D109" s="152">
        <f t="shared" si="36"/>
        <v>413259</v>
      </c>
      <c r="E109" s="152">
        <v>0</v>
      </c>
      <c r="F109" s="152">
        <f>F58*1000000/F93</f>
        <v>737.64837944664032</v>
      </c>
      <c r="H109" s="136"/>
      <c r="I109" s="136"/>
      <c r="J109" s="136"/>
      <c r="K109" s="136"/>
      <c r="L109" s="136"/>
      <c r="N109" s="136"/>
      <c r="O109" s="136"/>
      <c r="P109" s="136"/>
      <c r="Q109" s="136"/>
    </row>
    <row r="110" spans="1:19" x14ac:dyDescent="0.2">
      <c r="A110" s="200">
        <f t="shared" si="35"/>
        <v>2015</v>
      </c>
      <c r="B110" s="152">
        <f t="shared" si="36"/>
        <v>6566.0950889679716</v>
      </c>
      <c r="C110" s="152">
        <f t="shared" si="36"/>
        <v>21838.59705128205</v>
      </c>
      <c r="D110" s="152">
        <f t="shared" si="36"/>
        <v>924794.73684210528</v>
      </c>
      <c r="E110" s="152">
        <v>0</v>
      </c>
      <c r="F110" s="152">
        <f>F59*1000000/F94</f>
        <v>738.79861354581669</v>
      </c>
      <c r="H110" s="136"/>
      <c r="I110" s="136"/>
      <c r="J110" s="136"/>
      <c r="K110" s="136"/>
      <c r="L110" s="136"/>
      <c r="N110" s="136"/>
      <c r="O110" s="136"/>
      <c r="P110" s="136"/>
      <c r="Q110" s="136"/>
    </row>
    <row r="111" spans="1:19" x14ac:dyDescent="0.2">
      <c r="A111" s="178" t="s">
        <v>219</v>
      </c>
      <c r="B111" s="179"/>
      <c r="C111" s="179"/>
      <c r="D111" s="179"/>
      <c r="E111" s="179"/>
      <c r="F111" s="209"/>
    </row>
    <row r="112" spans="1:19" x14ac:dyDescent="0.2">
      <c r="A112" s="200">
        <f t="shared" ref="A112:A127" si="37">A61</f>
        <v>2003</v>
      </c>
      <c r="B112" s="152">
        <f t="shared" ref="B112:F117" si="38">B61*1000000/B81</f>
        <v>7434.847750390275</v>
      </c>
      <c r="C112" s="152">
        <f t="shared" si="38"/>
        <v>22793.896929479801</v>
      </c>
      <c r="D112" s="152">
        <f t="shared" si="38"/>
        <v>348032.61663880735</v>
      </c>
      <c r="E112" s="152">
        <f t="shared" si="38"/>
        <v>16049956.740266498</v>
      </c>
      <c r="F112" s="152">
        <f t="shared" si="38"/>
        <v>861.97132222585822</v>
      </c>
      <c r="R112" s="136"/>
      <c r="S112" s="136"/>
    </row>
    <row r="113" spans="1:19" x14ac:dyDescent="0.2">
      <c r="A113" s="200">
        <f t="shared" si="37"/>
        <v>2004</v>
      </c>
      <c r="B113" s="152">
        <f t="shared" si="38"/>
        <v>7275.9232315322424</v>
      </c>
      <c r="C113" s="152">
        <f t="shared" si="38"/>
        <v>21990.073798415426</v>
      </c>
      <c r="D113" s="152">
        <f t="shared" si="38"/>
        <v>338564.55259190447</v>
      </c>
      <c r="E113" s="152">
        <f t="shared" si="38"/>
        <v>11955598.266846452</v>
      </c>
      <c r="F113" s="152">
        <f t="shared" si="38"/>
        <v>836.75327315139975</v>
      </c>
      <c r="R113" s="136"/>
      <c r="S113" s="136"/>
    </row>
    <row r="114" spans="1:19" x14ac:dyDescent="0.2">
      <c r="A114" s="200">
        <f t="shared" si="37"/>
        <v>2005</v>
      </c>
      <c r="B114" s="152">
        <f t="shared" si="38"/>
        <v>7565.5391489411413</v>
      </c>
      <c r="C114" s="152">
        <f t="shared" si="38"/>
        <v>22962.576241205777</v>
      </c>
      <c r="D114" s="152">
        <f t="shared" si="38"/>
        <v>351305.8220564457</v>
      </c>
      <c r="E114" s="152">
        <f t="shared" si="38"/>
        <v>18716823.964047316</v>
      </c>
      <c r="F114" s="152">
        <f t="shared" si="38"/>
        <v>814.23363048242607</v>
      </c>
      <c r="R114" s="136"/>
      <c r="S114" s="136"/>
    </row>
    <row r="115" spans="1:19" x14ac:dyDescent="0.2">
      <c r="A115" s="200">
        <v>2006</v>
      </c>
      <c r="B115" s="152">
        <f t="shared" si="38"/>
        <v>7441.692801365074</v>
      </c>
      <c r="C115" s="152">
        <f t="shared" si="38"/>
        <v>22493.45875453491</v>
      </c>
      <c r="D115" s="152">
        <f t="shared" si="38"/>
        <v>349062.43550288619</v>
      </c>
      <c r="E115" s="152">
        <f t="shared" si="38"/>
        <v>19770571.688631911</v>
      </c>
      <c r="F115" s="152">
        <f t="shared" si="38"/>
        <v>789.95196853988239</v>
      </c>
      <c r="R115" s="136"/>
      <c r="S115" s="136"/>
    </row>
    <row r="116" spans="1:19" s="21" customFormat="1" x14ac:dyDescent="0.2">
      <c r="A116" s="200">
        <f t="shared" si="37"/>
        <v>2007</v>
      </c>
      <c r="B116" s="152">
        <f t="shared" si="38"/>
        <v>7563.7059802712429</v>
      </c>
      <c r="C116" s="152">
        <f t="shared" si="38"/>
        <v>23170.575279798632</v>
      </c>
      <c r="D116" s="152">
        <f t="shared" si="38"/>
        <v>359716.30320637242</v>
      </c>
      <c r="E116" s="152">
        <f t="shared" si="38"/>
        <v>14069349.753186485</v>
      </c>
      <c r="F116" s="152">
        <f t="shared" si="38"/>
        <v>815.87415197943653</v>
      </c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36"/>
      <c r="S116" s="136"/>
    </row>
    <row r="117" spans="1:19" s="21" customFormat="1" x14ac:dyDescent="0.2">
      <c r="A117" s="200">
        <f t="shared" si="37"/>
        <v>2008</v>
      </c>
      <c r="B117" s="152">
        <f t="shared" si="38"/>
        <v>7106.7006407121089</v>
      </c>
      <c r="C117" s="152">
        <f t="shared" si="38"/>
        <v>22336.641334096541</v>
      </c>
      <c r="D117" s="152">
        <f t="shared" si="38"/>
        <v>346201.68949867482</v>
      </c>
      <c r="E117" s="152">
        <f t="shared" si="38"/>
        <v>1123553.7068157399</v>
      </c>
      <c r="F117" s="152">
        <f t="shared" si="38"/>
        <v>777.29957495125007</v>
      </c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36"/>
      <c r="S117" s="136"/>
    </row>
    <row r="118" spans="1:19" x14ac:dyDescent="0.2">
      <c r="A118" s="200">
        <f t="shared" si="37"/>
        <v>2009</v>
      </c>
      <c r="B118" s="152">
        <f t="shared" ref="B118:D127" si="39">B67*1000000/B87</f>
        <v>6767.6802280682259</v>
      </c>
      <c r="C118" s="152">
        <f t="shared" si="39"/>
        <v>20655.958053157614</v>
      </c>
      <c r="D118" s="152">
        <f t="shared" si="39"/>
        <v>393109.34009747609</v>
      </c>
      <c r="E118" s="152">
        <v>0</v>
      </c>
      <c r="F118" s="152">
        <f t="shared" ref="F118:F127" si="40">F67*1000000/F87</f>
        <v>796.50037065370157</v>
      </c>
      <c r="R118" s="136"/>
      <c r="S118" s="136"/>
    </row>
    <row r="119" spans="1:19" x14ac:dyDescent="0.2">
      <c r="A119" s="200">
        <f t="shared" si="37"/>
        <v>2010</v>
      </c>
      <c r="B119" s="152">
        <f t="shared" si="39"/>
        <v>7229.095413300377</v>
      </c>
      <c r="C119" s="152">
        <f t="shared" si="39"/>
        <v>21895.668631834327</v>
      </c>
      <c r="D119" s="152">
        <f t="shared" si="39"/>
        <v>369690.77005166479</v>
      </c>
      <c r="E119" s="152">
        <v>0</v>
      </c>
      <c r="F119" s="152">
        <f t="shared" si="40"/>
        <v>804.75801392476103</v>
      </c>
      <c r="R119" s="136"/>
      <c r="S119" s="136"/>
    </row>
    <row r="120" spans="1:19" x14ac:dyDescent="0.2">
      <c r="A120" s="200">
        <f t="shared" si="37"/>
        <v>2011</v>
      </c>
      <c r="B120" s="152">
        <f t="shared" si="39"/>
        <v>6857.3952656714846</v>
      </c>
      <c r="C120" s="152">
        <f t="shared" si="39"/>
        <v>24371.846276933011</v>
      </c>
      <c r="D120" s="152">
        <f t="shared" si="39"/>
        <v>304694.10006632289</v>
      </c>
      <c r="E120" s="152">
        <v>0</v>
      </c>
      <c r="F120" s="152">
        <f t="shared" si="40"/>
        <v>746.83531865171994</v>
      </c>
      <c r="R120" s="136"/>
      <c r="S120" s="136"/>
    </row>
    <row r="121" spans="1:19" x14ac:dyDescent="0.2">
      <c r="A121" s="200">
        <f t="shared" si="37"/>
        <v>2012</v>
      </c>
      <c r="B121" s="152">
        <f t="shared" si="39"/>
        <v>6857.755153725986</v>
      </c>
      <c r="C121" s="152">
        <f t="shared" si="39"/>
        <v>23325.292093339194</v>
      </c>
      <c r="D121" s="152">
        <f t="shared" si="39"/>
        <v>344104.45083516242</v>
      </c>
      <c r="E121" s="152">
        <v>0</v>
      </c>
      <c r="F121" s="152">
        <f t="shared" si="40"/>
        <v>756.95310692493865</v>
      </c>
      <c r="R121" s="136"/>
      <c r="S121" s="136"/>
    </row>
    <row r="122" spans="1:19" ht="12.75" customHeight="1" x14ac:dyDescent="0.2">
      <c r="A122" s="270" t="str">
        <f t="shared" si="37"/>
        <v>2012 Board Approved</v>
      </c>
      <c r="B122" s="271">
        <f t="shared" si="39"/>
        <v>7804.0877808988762</v>
      </c>
      <c r="C122" s="271">
        <f t="shared" si="39"/>
        <v>26579.092210385596</v>
      </c>
      <c r="D122" s="271">
        <f t="shared" si="39"/>
        <v>347904.22563127981</v>
      </c>
      <c r="E122" s="271">
        <v>0</v>
      </c>
      <c r="F122" s="271">
        <f t="shared" si="40"/>
        <v>748.78455830930932</v>
      </c>
      <c r="R122" s="136"/>
      <c r="S122" s="136"/>
    </row>
    <row r="123" spans="1:19" x14ac:dyDescent="0.2">
      <c r="A123" s="200">
        <f t="shared" si="37"/>
        <v>2013</v>
      </c>
      <c r="B123" s="152">
        <f t="shared" si="39"/>
        <v>6856.0168012777049</v>
      </c>
      <c r="C123" s="152">
        <f t="shared" si="39"/>
        <v>21997.39862443717</v>
      </c>
      <c r="D123" s="152">
        <f t="shared" si="39"/>
        <v>384078.85008119274</v>
      </c>
      <c r="E123" s="152">
        <v>0</v>
      </c>
      <c r="F123" s="152">
        <f t="shared" si="40"/>
        <v>725.36194043879561</v>
      </c>
      <c r="R123" s="136"/>
      <c r="S123" s="136"/>
    </row>
    <row r="124" spans="1:19" x14ac:dyDescent="0.2">
      <c r="A124" s="200">
        <f t="shared" si="37"/>
        <v>2014</v>
      </c>
      <c r="B124" s="152">
        <f t="shared" si="39"/>
        <v>6800.7837487079205</v>
      </c>
      <c r="C124" s="152">
        <f t="shared" si="39"/>
        <v>22374.948889995881</v>
      </c>
      <c r="D124" s="152">
        <f t="shared" si="39"/>
        <v>407019.62274285062</v>
      </c>
      <c r="E124" s="152">
        <v>0</v>
      </c>
      <c r="F124" s="152">
        <f t="shared" si="40"/>
        <v>726.51137693128692</v>
      </c>
      <c r="R124" s="136"/>
      <c r="S124" s="136"/>
    </row>
    <row r="125" spans="1:19" x14ac:dyDescent="0.2">
      <c r="A125" s="200">
        <f t="shared" si="37"/>
        <v>2015</v>
      </c>
      <c r="B125" s="152">
        <f t="shared" si="39"/>
        <v>6591.40405933692</v>
      </c>
      <c r="C125" s="152">
        <f t="shared" si="39"/>
        <v>21922.773780095944</v>
      </c>
      <c r="D125" s="152">
        <f t="shared" si="39"/>
        <v>928359.35207763861</v>
      </c>
      <c r="E125" s="152">
        <v>0</v>
      </c>
      <c r="F125" s="152">
        <f t="shared" si="40"/>
        <v>741.64630794644563</v>
      </c>
      <c r="R125" s="136"/>
      <c r="S125" s="136"/>
    </row>
    <row r="126" spans="1:19" ht="12.75" customHeight="1" x14ac:dyDescent="0.2">
      <c r="A126" s="200" t="str">
        <f t="shared" si="37"/>
        <v>2016 Bridge</v>
      </c>
      <c r="B126" s="152">
        <f t="shared" si="39"/>
        <v>6885.5701678282239</v>
      </c>
      <c r="C126" s="152">
        <f t="shared" si="39"/>
        <v>22705.442315626373</v>
      </c>
      <c r="D126" s="152">
        <f t="shared" si="39"/>
        <v>698285.51889467146</v>
      </c>
      <c r="E126" s="152">
        <v>0</v>
      </c>
      <c r="F126" s="152">
        <f t="shared" si="40"/>
        <v>738.79861354581669</v>
      </c>
      <c r="R126" s="136"/>
      <c r="S126" s="136"/>
    </row>
    <row r="127" spans="1:19" x14ac:dyDescent="0.2">
      <c r="A127" s="200" t="str">
        <f t="shared" si="37"/>
        <v>2017 Test</v>
      </c>
      <c r="B127" s="152">
        <f t="shared" si="39"/>
        <v>6968.3121159668981</v>
      </c>
      <c r="C127" s="152">
        <f t="shared" si="39"/>
        <v>22405.315958600971</v>
      </c>
      <c r="D127" s="152">
        <f t="shared" si="39"/>
        <v>884974.20377232833</v>
      </c>
      <c r="E127" s="152">
        <v>0</v>
      </c>
      <c r="F127" s="152">
        <f t="shared" si="40"/>
        <v>738.79861354581669</v>
      </c>
      <c r="R127" s="136"/>
      <c r="S127" s="136"/>
    </row>
    <row r="129" spans="1:9" x14ac:dyDescent="0.2">
      <c r="H129" s="54"/>
    </row>
    <row r="130" spans="1:9" x14ac:dyDescent="0.2">
      <c r="H130" s="366" t="s">
        <v>181</v>
      </c>
      <c r="I130" s="368"/>
    </row>
    <row r="131" spans="1:9" x14ac:dyDescent="0.2">
      <c r="H131" s="137" t="s">
        <v>23</v>
      </c>
      <c r="I131" s="155">
        <f>'Purchased Power Model '!O6</f>
        <v>0.91928188777620279</v>
      </c>
    </row>
    <row r="132" spans="1:9" x14ac:dyDescent="0.2">
      <c r="F132" s="154"/>
      <c r="H132" s="137" t="s">
        <v>24</v>
      </c>
      <c r="I132" s="155">
        <f>'Purchased Power Model '!O7</f>
        <v>0.91619711915618507</v>
      </c>
    </row>
    <row r="133" spans="1:9" x14ac:dyDescent="0.2">
      <c r="H133" s="137" t="s">
        <v>157</v>
      </c>
      <c r="I133" s="156">
        <f>'Purchased Power Model '!R13</f>
        <v>298.00675545348383</v>
      </c>
    </row>
    <row r="134" spans="1:9" x14ac:dyDescent="0.2">
      <c r="H134" s="137" t="s">
        <v>221</v>
      </c>
      <c r="I134" s="155">
        <f>'Purchased Power Model '!M167</f>
        <v>7.6076284409645992E-2</v>
      </c>
    </row>
    <row r="135" spans="1:9" x14ac:dyDescent="0.2">
      <c r="H135" s="137" t="s">
        <v>158</v>
      </c>
      <c r="I135" s="156"/>
    </row>
    <row r="136" spans="1:9" x14ac:dyDescent="0.2">
      <c r="H136" s="157" t="str">
        <f>'Purchased Power Model '!N19</f>
        <v>Heating Degree Days</v>
      </c>
      <c r="I136" s="158">
        <f>'Purchased Power Model '!Q19</f>
        <v>11.153767736685847</v>
      </c>
    </row>
    <row r="137" spans="1:9" x14ac:dyDescent="0.2">
      <c r="H137" s="157" t="str">
        <f>'Purchased Power Model '!N20</f>
        <v>Cooling Degree Days</v>
      </c>
      <c r="I137" s="158">
        <f>'Purchased Power Model '!Q20</f>
        <v>1.9564642368183021</v>
      </c>
    </row>
    <row r="138" spans="1:9" x14ac:dyDescent="0.2">
      <c r="H138" s="157" t="str">
        <f>'Purchased Power Model '!N21</f>
        <v>Number of Days in Month</v>
      </c>
      <c r="I138" s="158">
        <f>'Purchased Power Model '!Q21</f>
        <v>3.3689552534447396</v>
      </c>
    </row>
    <row r="139" spans="1:9" x14ac:dyDescent="0.2">
      <c r="H139" s="157" t="str">
        <f>'Purchased Power Model '!N22</f>
        <v>Intermediate Class Flag</v>
      </c>
      <c r="I139" s="158">
        <f>'Purchased Power Model '!Q22</f>
        <v>26.256415119052868</v>
      </c>
    </row>
    <row r="140" spans="1:9" x14ac:dyDescent="0.2">
      <c r="H140" s="217" t="str">
        <f>'Purchased Power Model '!N23</f>
        <v>Number of Customers/Connections</v>
      </c>
      <c r="I140" s="158">
        <f>'Purchased Power Model '!Q23</f>
        <v>8.3964876219632352</v>
      </c>
    </row>
    <row r="141" spans="1:9" x14ac:dyDescent="0.2">
      <c r="H141" s="217" t="str">
        <f>'Purchased Power Model '!N24</f>
        <v>Ontario Real GDP Monthly %</v>
      </c>
      <c r="I141" s="158">
        <f>'Purchased Power Model '!Q24</f>
        <v>6.8087481717499987</v>
      </c>
    </row>
    <row r="142" spans="1:9" x14ac:dyDescent="0.2">
      <c r="H142" s="157" t="s">
        <v>222</v>
      </c>
      <c r="I142" s="158">
        <f>'Purchased Power Model '!Q18</f>
        <v>-8.3113779370964824</v>
      </c>
    </row>
    <row r="144" spans="1:9" x14ac:dyDescent="0.2">
      <c r="A144" s="215"/>
      <c r="B144" s="216"/>
    </row>
    <row r="145" spans="1:8" x14ac:dyDescent="0.2">
      <c r="A145" s="215"/>
      <c r="B145" s="216"/>
    </row>
    <row r="146" spans="1:8" x14ac:dyDescent="0.2">
      <c r="H146" s="154"/>
    </row>
    <row r="147" spans="1:8" x14ac:dyDescent="0.2">
      <c r="A147" s="366" t="s">
        <v>182</v>
      </c>
      <c r="B147" s="367"/>
      <c r="C147" s="367"/>
      <c r="D147" s="367"/>
      <c r="E147" s="367"/>
      <c r="F147" s="367"/>
      <c r="G147" s="368"/>
      <c r="H147" s="54"/>
    </row>
    <row r="148" spans="1:8" ht="51" x14ac:dyDescent="0.2">
      <c r="A148" s="201" t="s">
        <v>152</v>
      </c>
      <c r="B148" s="153" t="s">
        <v>159</v>
      </c>
      <c r="C148" s="153" t="s">
        <v>160</v>
      </c>
      <c r="D148" s="153" t="s">
        <v>9</v>
      </c>
      <c r="E148" s="153" t="s">
        <v>210</v>
      </c>
      <c r="F148" s="153" t="s">
        <v>226</v>
      </c>
      <c r="G148" s="153" t="s">
        <v>211</v>
      </c>
      <c r="H148" s="54"/>
    </row>
    <row r="149" spans="1:8" x14ac:dyDescent="0.2">
      <c r="A149" s="364" t="s">
        <v>161</v>
      </c>
      <c r="B149" s="364"/>
      <c r="C149" s="364"/>
      <c r="D149" s="364"/>
      <c r="E149" s="364"/>
      <c r="F149" s="364"/>
      <c r="G149" s="364"/>
      <c r="H149" s="54"/>
    </row>
    <row r="150" spans="1:8" x14ac:dyDescent="0.2">
      <c r="A150" s="137">
        <v>2003</v>
      </c>
      <c r="B150" s="140">
        <f>'Purchased Power Model '!B195/1000000</f>
        <v>41.860672999999998</v>
      </c>
      <c r="C150" s="140">
        <f>'Purchased Power Model '!K195/1000000</f>
        <v>42.054319565060474</v>
      </c>
      <c r="D150" s="159">
        <f t="shared" ref="D150:D162" si="41">C150/B150-1</f>
        <v>4.6259783033224533E-3</v>
      </c>
      <c r="E150" s="140">
        <f>'Purchased Power Model '!N195/1000000</f>
        <v>41.972232933515144</v>
      </c>
      <c r="F150" s="160">
        <f>E150/C150</f>
        <v>0.99804808085366026</v>
      </c>
      <c r="G150" s="140">
        <f>B150*F150</f>
        <v>41.778964350892629</v>
      </c>
      <c r="H150" s="54"/>
    </row>
    <row r="151" spans="1:8" x14ac:dyDescent="0.2">
      <c r="A151" s="137">
        <v>2004</v>
      </c>
      <c r="B151" s="140">
        <f>'Purchased Power Model '!B196/1000000</f>
        <v>40.321018040000006</v>
      </c>
      <c r="C151" s="140">
        <f>'Purchased Power Model '!K196/1000000</f>
        <v>39.418748505477851</v>
      </c>
      <c r="D151" s="159">
        <f t="shared" si="41"/>
        <v>-2.2377151629134673E-2</v>
      </c>
      <c r="E151" s="140">
        <f>'Purchased Power Model '!N196/1000000</f>
        <v>39.164381995064602</v>
      </c>
      <c r="F151" s="160">
        <f t="shared" ref="F151:F164" si="42">E151/C151</f>
        <v>0.99354706782794233</v>
      </c>
      <c r="G151" s="140">
        <f t="shared" ref="G151:G162" si="43">B151*F151</f>
        <v>40.060829245479574</v>
      </c>
      <c r="H151" s="54"/>
    </row>
    <row r="152" spans="1:8" x14ac:dyDescent="0.2">
      <c r="A152" s="137">
        <v>2005</v>
      </c>
      <c r="B152" s="140">
        <f>'Purchased Power Model '!B197/1000000</f>
        <v>45.911126000000003</v>
      </c>
      <c r="C152" s="140">
        <f>'Purchased Power Model '!K197/1000000</f>
        <v>46.157876812191112</v>
      </c>
      <c r="D152" s="159">
        <f t="shared" si="41"/>
        <v>5.3745319204567821E-3</v>
      </c>
      <c r="E152" s="140">
        <f>'Purchased Power Model '!N197/1000000</f>
        <v>46.030916080432576</v>
      </c>
      <c r="F152" s="160">
        <f t="shared" si="42"/>
        <v>0.99724942435556296</v>
      </c>
      <c r="G152" s="140">
        <f t="shared" si="43"/>
        <v>45.784843975015725</v>
      </c>
      <c r="H152" s="54"/>
    </row>
    <row r="153" spans="1:8" x14ac:dyDescent="0.2">
      <c r="A153" s="137">
        <v>2006</v>
      </c>
      <c r="B153" s="140">
        <f>'Purchased Power Model '!B198/1000000</f>
        <v>46.231560080000015</v>
      </c>
      <c r="C153" s="140">
        <f>'Purchased Power Model '!K198/1000000</f>
        <v>45.957967689415696</v>
      </c>
      <c r="D153" s="159">
        <f t="shared" si="41"/>
        <v>-5.9178706085386557E-3</v>
      </c>
      <c r="E153" s="140">
        <f>'Purchased Power Model '!N198/1000000</f>
        <v>46.266103875452792</v>
      </c>
      <c r="F153" s="160">
        <f t="shared" si="42"/>
        <v>1.0067047391677431</v>
      </c>
      <c r="G153" s="140">
        <f t="shared" si="43"/>
        <v>46.541530631654261</v>
      </c>
      <c r="H153" s="54"/>
    </row>
    <row r="154" spans="1:8" x14ac:dyDescent="0.2">
      <c r="A154" s="137">
        <v>2007</v>
      </c>
      <c r="B154" s="140">
        <f>'Purchased Power Model '!B199/1000000</f>
        <v>40.722040040000017</v>
      </c>
      <c r="C154" s="140">
        <f>'Purchased Power Model '!K199/1000000</f>
        <v>40.060455926618197</v>
      </c>
      <c r="D154" s="159">
        <f t="shared" si="41"/>
        <v>-1.6246340132566206E-2</v>
      </c>
      <c r="E154" s="140">
        <f>'Purchased Power Model '!N199/1000000</f>
        <v>39.909639740826918</v>
      </c>
      <c r="F154" s="160">
        <f t="shared" si="42"/>
        <v>0.99623528533805161</v>
      </c>
      <c r="G154" s="140">
        <f t="shared" si="43"/>
        <v>40.568733178796982</v>
      </c>
      <c r="H154" s="54"/>
    </row>
    <row r="155" spans="1:8" x14ac:dyDescent="0.2">
      <c r="A155" s="137">
        <v>2008</v>
      </c>
      <c r="B155" s="140">
        <f>'Purchased Power Model '!B200/1000000</f>
        <v>27.014076149999998</v>
      </c>
      <c r="C155" s="140">
        <f>'Purchased Power Model '!K200/1000000</f>
        <v>26.845248051850184</v>
      </c>
      <c r="D155" s="159">
        <f t="shared" si="41"/>
        <v>-6.2496343466409421E-3</v>
      </c>
      <c r="E155" s="140">
        <f>'Purchased Power Model '!N200/1000000</f>
        <v>26.438899284063854</v>
      </c>
      <c r="F155" s="160">
        <f t="shared" si="42"/>
        <v>0.9848632887652411</v>
      </c>
      <c r="G155" s="140">
        <f t="shared" si="43"/>
        <v>26.60517188004366</v>
      </c>
      <c r="H155" s="54"/>
    </row>
    <row r="156" spans="1:8" x14ac:dyDescent="0.2">
      <c r="A156" s="137">
        <v>2009</v>
      </c>
      <c r="B156" s="140">
        <f>'Purchased Power Model '!B201/1000000</f>
        <v>25.781621564615389</v>
      </c>
      <c r="C156" s="140">
        <f>'Purchased Power Model '!K201/1000000</f>
        <v>25.037464386366356</v>
      </c>
      <c r="D156" s="159">
        <f t="shared" si="41"/>
        <v>-2.886386243720096E-2</v>
      </c>
      <c r="E156" s="140">
        <f>'Purchased Power Model '!N201/1000000</f>
        <v>24.925684837626399</v>
      </c>
      <c r="F156" s="160">
        <f t="shared" si="42"/>
        <v>0.99553550842788918</v>
      </c>
      <c r="G156" s="140">
        <f t="shared" si="43"/>
        <v>25.666519732424813</v>
      </c>
      <c r="H156" s="54"/>
    </row>
    <row r="157" spans="1:8" x14ac:dyDescent="0.2">
      <c r="A157" s="137">
        <v>2010</v>
      </c>
      <c r="B157" s="140">
        <f>'Purchased Power Model '!B202/1000000</f>
        <v>24.708723119999998</v>
      </c>
      <c r="C157" s="140">
        <f>'Purchased Power Model '!K202/1000000</f>
        <v>23.445416720921184</v>
      </c>
      <c r="D157" s="159">
        <f t="shared" si="41"/>
        <v>-5.1127951571736885E-2</v>
      </c>
      <c r="E157" s="140">
        <f>'Purchased Power Model '!N202/1000000</f>
        <v>24.305259546452895</v>
      </c>
      <c r="F157" s="160">
        <f t="shared" si="42"/>
        <v>1.0366742393947062</v>
      </c>
      <c r="G157" s="140">
        <f t="shared" si="43"/>
        <v>25.61489674684039</v>
      </c>
      <c r="H157" s="54"/>
    </row>
    <row r="158" spans="1:8" x14ac:dyDescent="0.2">
      <c r="A158" s="137">
        <v>2011</v>
      </c>
      <c r="B158" s="140">
        <f>'Purchased Power Model '!B203/1000000</f>
        <v>24.741815289999998</v>
      </c>
      <c r="C158" s="140">
        <f>'Purchased Power Model '!K203/1000000</f>
        <v>24.918760341559409</v>
      </c>
      <c r="D158" s="159">
        <f t="shared" si="41"/>
        <v>7.1516600332444114E-3</v>
      </c>
      <c r="E158" s="140">
        <f>'Purchased Power Model '!N203/1000000</f>
        <v>25.020923569088222</v>
      </c>
      <c r="F158" s="160">
        <f t="shared" si="42"/>
        <v>1.0040998519239508</v>
      </c>
      <c r="G158" s="140">
        <f t="shared" si="43"/>
        <v>24.84325306901874</v>
      </c>
      <c r="H158" s="54"/>
    </row>
    <row r="159" spans="1:8" x14ac:dyDescent="0.2">
      <c r="A159" s="137">
        <v>2012</v>
      </c>
      <c r="B159" s="140">
        <f>'Purchased Power Model '!B204/1000000</f>
        <v>24.288144070000001</v>
      </c>
      <c r="C159" s="140">
        <f>'Purchased Power Model '!K204/1000000</f>
        <v>26.143106941582239</v>
      </c>
      <c r="D159" s="159">
        <f t="shared" si="41"/>
        <v>7.6373182991508637E-2</v>
      </c>
      <c r="E159" s="140">
        <f>'Purchased Power Model '!N204/1000000</f>
        <v>26.762736848040102</v>
      </c>
      <c r="F159" s="160">
        <f t="shared" si="42"/>
        <v>1.0237014639400914</v>
      </c>
      <c r="G159" s="140">
        <f t="shared" si="43"/>
        <v>24.863808640846852</v>
      </c>
      <c r="H159" s="54"/>
    </row>
    <row r="160" spans="1:8" x14ac:dyDescent="0.2">
      <c r="A160" s="137">
        <v>2013</v>
      </c>
      <c r="B160" s="140">
        <f>'Purchased Power Model '!B205/1000000</f>
        <v>24.871616660000004</v>
      </c>
      <c r="C160" s="140">
        <f>'Purchased Power Model '!K205/1000000</f>
        <v>28.220258103847929</v>
      </c>
      <c r="D160" s="159">
        <f t="shared" si="41"/>
        <v>0.1346370639924428</v>
      </c>
      <c r="E160" s="140">
        <f>'Purchased Power Model '!N205/1000000</f>
        <v>27.790744892839804</v>
      </c>
      <c r="F160" s="160">
        <f t="shared" si="42"/>
        <v>0.98477996872220108</v>
      </c>
      <c r="G160" s="140">
        <f t="shared" si="43"/>
        <v>24.49306987650538</v>
      </c>
      <c r="H160" s="54"/>
    </row>
    <row r="161" spans="1:9" x14ac:dyDescent="0.2">
      <c r="A161" s="137">
        <v>2014</v>
      </c>
      <c r="B161" s="140">
        <f>'Purchased Power Model '!B206/1000000</f>
        <v>25.633173069999998</v>
      </c>
      <c r="C161" s="140">
        <f>'Purchased Power Model '!K206/1000000</f>
        <v>29.188104248473952</v>
      </c>
      <c r="D161" s="159">
        <f t="shared" si="41"/>
        <v>0.13868478821431984</v>
      </c>
      <c r="E161" s="140">
        <f>'Purchased Power Model '!N206/1000000</f>
        <v>28.747422753752161</v>
      </c>
      <c r="F161" s="160">
        <f t="shared" si="42"/>
        <v>0.98490201724064241</v>
      </c>
      <c r="G161" s="140">
        <f t="shared" si="43"/>
        <v>25.24616386492151</v>
      </c>
      <c r="H161" s="54"/>
    </row>
    <row r="162" spans="1:9" x14ac:dyDescent="0.2">
      <c r="A162" s="137">
        <v>2015</v>
      </c>
      <c r="B162" s="140">
        <f>'Purchased Power Model '!B207/1000000</f>
        <v>34.806669239999998</v>
      </c>
      <c r="C162" s="140">
        <f>'Purchased Power Model '!K207/1000000</f>
        <v>29.259600077626356</v>
      </c>
      <c r="D162" s="159">
        <f t="shared" si="41"/>
        <v>-0.15936799709634164</v>
      </c>
      <c r="E162" s="140">
        <f>'Purchased Power Model '!N207/1000000</f>
        <v>29.372381013835476</v>
      </c>
      <c r="F162" s="160">
        <f t="shared" si="42"/>
        <v>1.0038544934281368</v>
      </c>
      <c r="G162" s="140">
        <f t="shared" si="43"/>
        <v>34.94083131784091</v>
      </c>
      <c r="H162" s="54"/>
    </row>
    <row r="163" spans="1:9" ht="12.75" customHeight="1" x14ac:dyDescent="0.2">
      <c r="A163" s="137" t="str">
        <f>A126</f>
        <v>2016 Bridge</v>
      </c>
      <c r="B163" s="162"/>
      <c r="C163" s="140">
        <f>'Purchased Power Model '!K208/1000000</f>
        <v>29.607313733103616</v>
      </c>
      <c r="D163" s="163"/>
      <c r="E163" s="140">
        <f>'Purchased Power Model '!N208/1000000</f>
        <v>29.607313733103616</v>
      </c>
      <c r="F163" s="160">
        <f t="shared" si="42"/>
        <v>1</v>
      </c>
      <c r="G163" s="122"/>
    </row>
    <row r="164" spans="1:9" x14ac:dyDescent="0.2">
      <c r="A164" s="137" t="str">
        <f>A127</f>
        <v>2017 Test</v>
      </c>
      <c r="B164" s="162"/>
      <c r="C164" s="140">
        <f>'Purchased Power Model '!K209/1000000</f>
        <v>30.012110274900934</v>
      </c>
      <c r="D164" s="163"/>
      <c r="E164" s="140">
        <f>'Purchased Power Model '!N209/1000000</f>
        <v>30.012110274900934</v>
      </c>
      <c r="F164" s="160">
        <f t="shared" si="42"/>
        <v>1</v>
      </c>
      <c r="G164" s="122"/>
      <c r="H164" s="154"/>
    </row>
    <row r="165" spans="1:9" s="54" customFormat="1" x14ac:dyDescent="0.2">
      <c r="A165" s="137" t="s">
        <v>224</v>
      </c>
      <c r="B165" s="162"/>
      <c r="C165" s="140">
        <f>'Purchased Power Model '!L229/1000000</f>
        <v>30.015613569283548</v>
      </c>
      <c r="D165" s="163"/>
      <c r="E165" s="129"/>
      <c r="F165" s="129"/>
      <c r="G165" s="129"/>
    </row>
    <row r="166" spans="1:9" s="54" customFormat="1" x14ac:dyDescent="0.2">
      <c r="A166" s="137" t="s">
        <v>225</v>
      </c>
      <c r="B166" s="156"/>
      <c r="C166" s="140">
        <f>'Purchased Power Model '!L245/1000000</f>
        <v>30.21184120093687</v>
      </c>
      <c r="D166" s="159"/>
      <c r="E166" s="129"/>
      <c r="F166" s="129"/>
      <c r="G166" s="129"/>
      <c r="H166" s="164"/>
    </row>
    <row r="169" spans="1:9" x14ac:dyDescent="0.2">
      <c r="A169" s="364" t="s">
        <v>183</v>
      </c>
      <c r="B169" s="364"/>
      <c r="C169" s="364"/>
      <c r="D169" s="364"/>
      <c r="E169" s="364"/>
      <c r="F169" s="364"/>
      <c r="G169" s="364"/>
      <c r="I169" s="154"/>
    </row>
    <row r="170" spans="1:9" ht="12.75" customHeight="1" x14ac:dyDescent="0.2">
      <c r="A170" s="201" t="s">
        <v>152</v>
      </c>
      <c r="B170" s="142" t="str">
        <f>B80</f>
        <v>Residential</v>
      </c>
      <c r="C170" s="142" t="str">
        <f t="shared" ref="C170:G170" si="44">C80</f>
        <v>GS&lt;50 kW</v>
      </c>
      <c r="D170" s="142" t="str">
        <f t="shared" si="44"/>
        <v>GS&gt;50 kW</v>
      </c>
      <c r="E170" s="142" t="str">
        <f t="shared" si="44"/>
        <v>Intermediate</v>
      </c>
      <c r="F170" s="142" t="str">
        <f t="shared" si="44"/>
        <v>Street Lights</v>
      </c>
      <c r="G170" s="142" t="str">
        <f t="shared" si="44"/>
        <v>Total</v>
      </c>
    </row>
    <row r="171" spans="1:9" x14ac:dyDescent="0.2">
      <c r="A171" s="364" t="s">
        <v>135</v>
      </c>
      <c r="B171" s="364"/>
      <c r="C171" s="364"/>
      <c r="D171" s="364"/>
      <c r="E171" s="364"/>
      <c r="F171" s="364"/>
      <c r="G171" s="364"/>
    </row>
    <row r="172" spans="1:9" x14ac:dyDescent="0.2">
      <c r="A172" s="137">
        <f t="shared" ref="A172:A184" si="45">A150</f>
        <v>2003</v>
      </c>
      <c r="B172" s="165">
        <f>'Rate Class Customer Model'!B3</f>
        <v>1502</v>
      </c>
      <c r="C172" s="165">
        <f>'Rate Class Customer Model'!C3</f>
        <v>270</v>
      </c>
      <c r="D172" s="165">
        <f>'Rate Class Customer Model'!D3</f>
        <v>21.5</v>
      </c>
      <c r="E172" s="165">
        <f>'Rate Class Customer Model'!E3</f>
        <v>1</v>
      </c>
      <c r="F172" s="165">
        <f>'Rate Class Customer Model'!F3</f>
        <v>621.5</v>
      </c>
      <c r="G172" s="165">
        <f>SUM(B172:F172)</f>
        <v>2416</v>
      </c>
      <c r="I172" s="136"/>
    </row>
    <row r="173" spans="1:9" x14ac:dyDescent="0.2">
      <c r="A173" s="137">
        <f t="shared" si="45"/>
        <v>2004</v>
      </c>
      <c r="B173" s="165">
        <f>'Rate Class Customer Model'!B4</f>
        <v>1481.5</v>
      </c>
      <c r="C173" s="165">
        <f>'Rate Class Customer Model'!C4</f>
        <v>254.5</v>
      </c>
      <c r="D173" s="165">
        <f>'Rate Class Customer Model'!D4</f>
        <v>21</v>
      </c>
      <c r="E173" s="165">
        <f>'Rate Class Customer Model'!E4</f>
        <v>1</v>
      </c>
      <c r="F173" s="165">
        <f>'Rate Class Customer Model'!F4</f>
        <v>617.5</v>
      </c>
      <c r="G173" s="165">
        <f t="shared" ref="G173:G184" si="46">SUM(B173:F173)</f>
        <v>2375.5</v>
      </c>
    </row>
    <row r="174" spans="1:9" x14ac:dyDescent="0.2">
      <c r="A174" s="137">
        <f t="shared" si="45"/>
        <v>2005</v>
      </c>
      <c r="B174" s="165">
        <f>'Rate Class Customer Model'!B5</f>
        <v>1467.5</v>
      </c>
      <c r="C174" s="165">
        <f>'Rate Class Customer Model'!C5</f>
        <v>246.5</v>
      </c>
      <c r="D174" s="165">
        <f>'Rate Class Customer Model'!D5</f>
        <v>20.5</v>
      </c>
      <c r="E174" s="165">
        <f>'Rate Class Customer Model'!E5</f>
        <v>1</v>
      </c>
      <c r="F174" s="165">
        <f>'Rate Class Customer Model'!F5</f>
        <v>619.5</v>
      </c>
      <c r="G174" s="165">
        <f t="shared" si="46"/>
        <v>2355</v>
      </c>
    </row>
    <row r="175" spans="1:9" x14ac:dyDescent="0.2">
      <c r="A175" s="137">
        <f t="shared" si="45"/>
        <v>2006</v>
      </c>
      <c r="B175" s="165">
        <f>'Rate Class Customer Model'!B6</f>
        <v>1456</v>
      </c>
      <c r="C175" s="165">
        <f>'Rate Class Customer Model'!C6</f>
        <v>246</v>
      </c>
      <c r="D175" s="165">
        <f>'Rate Class Customer Model'!D6</f>
        <v>20</v>
      </c>
      <c r="E175" s="165">
        <f>'Rate Class Customer Model'!E6</f>
        <v>1</v>
      </c>
      <c r="F175" s="165">
        <f>'Rate Class Customer Model'!F6</f>
        <v>621</v>
      </c>
      <c r="G175" s="165">
        <f t="shared" si="46"/>
        <v>2344</v>
      </c>
    </row>
    <row r="176" spans="1:9" x14ac:dyDescent="0.2">
      <c r="A176" s="137">
        <f t="shared" si="45"/>
        <v>2007</v>
      </c>
      <c r="B176" s="165">
        <f>'Rate Class Customer Model'!B7</f>
        <v>1444</v>
      </c>
      <c r="C176" s="165">
        <f>'Rate Class Customer Model'!C7</f>
        <v>243.5</v>
      </c>
      <c r="D176" s="165">
        <f>'Rate Class Customer Model'!D7</f>
        <v>20</v>
      </c>
      <c r="E176" s="165">
        <f>'Rate Class Customer Model'!E7</f>
        <v>1</v>
      </c>
      <c r="F176" s="165">
        <f>'Rate Class Customer Model'!F7</f>
        <v>620.5</v>
      </c>
      <c r="G176" s="165">
        <f t="shared" si="46"/>
        <v>2329</v>
      </c>
    </row>
    <row r="177" spans="1:8" x14ac:dyDescent="0.2">
      <c r="A177" s="137">
        <f t="shared" si="45"/>
        <v>2008</v>
      </c>
      <c r="B177" s="165">
        <f>'Rate Class Customer Model'!B8</f>
        <v>1433</v>
      </c>
      <c r="C177" s="165">
        <f>'Rate Class Customer Model'!C8</f>
        <v>237.5</v>
      </c>
      <c r="D177" s="165">
        <f>'Rate Class Customer Model'!D8</f>
        <v>20.5</v>
      </c>
      <c r="E177" s="165">
        <f>'Rate Class Customer Model'!E8</f>
        <v>1</v>
      </c>
      <c r="F177" s="165">
        <f>'Rate Class Customer Model'!F8</f>
        <v>619.5</v>
      </c>
      <c r="G177" s="165">
        <f t="shared" si="46"/>
        <v>2311.5</v>
      </c>
    </row>
    <row r="178" spans="1:8" x14ac:dyDescent="0.2">
      <c r="A178" s="137">
        <f t="shared" si="45"/>
        <v>2009</v>
      </c>
      <c r="B178" s="165">
        <f>'Rate Class Customer Model'!B9</f>
        <v>1434.5</v>
      </c>
      <c r="C178" s="165">
        <f>'Rate Class Customer Model'!C9</f>
        <v>239</v>
      </c>
      <c r="D178" s="165">
        <f>'Rate Class Customer Model'!D9</f>
        <v>20.5</v>
      </c>
      <c r="E178" s="165">
        <f>'Rate Class Customer Model'!E9</f>
        <v>0</v>
      </c>
      <c r="F178" s="165">
        <f>'Rate Class Customer Model'!F9</f>
        <v>621</v>
      </c>
      <c r="G178" s="165">
        <f t="shared" si="46"/>
        <v>2315</v>
      </c>
    </row>
    <row r="179" spans="1:8" x14ac:dyDescent="0.2">
      <c r="A179" s="137">
        <f t="shared" si="45"/>
        <v>2010</v>
      </c>
      <c r="B179" s="165">
        <f>'Rate Class Customer Model'!B10</f>
        <v>1423.5</v>
      </c>
      <c r="C179" s="165">
        <f>'Rate Class Customer Model'!C10</f>
        <v>237.5</v>
      </c>
      <c r="D179" s="165">
        <f>'Rate Class Customer Model'!D10</f>
        <v>21</v>
      </c>
      <c r="E179" s="165">
        <f>'Rate Class Customer Model'!E10</f>
        <v>9.9999999999999995E-8</v>
      </c>
      <c r="F179" s="165">
        <f>'Rate Class Customer Model'!F10</f>
        <v>625.5</v>
      </c>
      <c r="G179" s="165">
        <f t="shared" si="46"/>
        <v>2307.5000000999999</v>
      </c>
    </row>
    <row r="180" spans="1:8" x14ac:dyDescent="0.2">
      <c r="A180" s="137">
        <f t="shared" si="45"/>
        <v>2011</v>
      </c>
      <c r="B180" s="165">
        <f>'Rate Class Customer Model'!B11</f>
        <v>1408.5</v>
      </c>
      <c r="C180" s="165">
        <f>'Rate Class Customer Model'!C11</f>
        <v>231.5</v>
      </c>
      <c r="D180" s="165">
        <f>'Rate Class Customer Model'!D11</f>
        <v>22</v>
      </c>
      <c r="E180" s="165">
        <f>'Rate Class Customer Model'!E11</f>
        <v>9.9999999999999995E-8</v>
      </c>
      <c r="F180" s="165">
        <f>'Rate Class Customer Model'!F11</f>
        <v>631.5</v>
      </c>
      <c r="G180" s="165">
        <f t="shared" si="46"/>
        <v>2293.5000000999999</v>
      </c>
    </row>
    <row r="181" spans="1:8" x14ac:dyDescent="0.2">
      <c r="A181" s="137">
        <f t="shared" si="45"/>
        <v>2012</v>
      </c>
      <c r="B181" s="165">
        <f>'Rate Class Customer Model'!B12</f>
        <v>1410</v>
      </c>
      <c r="C181" s="165">
        <f>'Rate Class Customer Model'!C12</f>
        <v>233.5</v>
      </c>
      <c r="D181" s="165">
        <f>'Rate Class Customer Model'!D12</f>
        <v>20</v>
      </c>
      <c r="E181" s="165">
        <f>'Rate Class Customer Model'!E12</f>
        <v>9.9999999999999995E-8</v>
      </c>
      <c r="F181" s="165">
        <f>'Rate Class Customer Model'!F12</f>
        <v>635</v>
      </c>
      <c r="G181" s="165">
        <f t="shared" si="46"/>
        <v>2298.5000000999999</v>
      </c>
    </row>
    <row r="182" spans="1:8" x14ac:dyDescent="0.2">
      <c r="A182" s="137">
        <f t="shared" si="45"/>
        <v>2013</v>
      </c>
      <c r="B182" s="165">
        <f>'Rate Class Customer Model'!B13</f>
        <v>1412.5</v>
      </c>
      <c r="C182" s="165">
        <f>'Rate Class Customer Model'!C13</f>
        <v>234.5</v>
      </c>
      <c r="D182" s="165">
        <f>'Rate Class Customer Model'!D13</f>
        <v>18</v>
      </c>
      <c r="E182" s="165">
        <f>'Rate Class Customer Model'!E13</f>
        <v>9.9999999999999995E-8</v>
      </c>
      <c r="F182" s="165">
        <f>'Rate Class Customer Model'!F13</f>
        <v>635</v>
      </c>
      <c r="G182" s="165">
        <f t="shared" si="46"/>
        <v>2300.0000000999999</v>
      </c>
    </row>
    <row r="183" spans="1:8" x14ac:dyDescent="0.2">
      <c r="A183" s="137">
        <f t="shared" si="45"/>
        <v>2014</v>
      </c>
      <c r="B183" s="165">
        <f>'Rate Class Customer Model'!B14</f>
        <v>1411</v>
      </c>
      <c r="C183" s="165">
        <f>'Rate Class Customer Model'!C14</f>
        <v>234</v>
      </c>
      <c r="D183" s="165">
        <f>'Rate Class Customer Model'!D14</f>
        <v>19</v>
      </c>
      <c r="E183" s="165">
        <f>'Rate Class Customer Model'!E14</f>
        <v>9.9999999999999995E-8</v>
      </c>
      <c r="F183" s="165">
        <f>'Rate Class Customer Model'!F14</f>
        <v>632.5</v>
      </c>
      <c r="G183" s="165">
        <f t="shared" si="46"/>
        <v>2296.5000000999999</v>
      </c>
    </row>
    <row r="184" spans="1:8" x14ac:dyDescent="0.2">
      <c r="A184" s="137">
        <f t="shared" si="45"/>
        <v>2015</v>
      </c>
      <c r="B184" s="165">
        <f>'Rate Class Customer Model'!B15</f>
        <v>1405</v>
      </c>
      <c r="C184" s="165">
        <f>'Rate Class Customer Model'!C15</f>
        <v>234</v>
      </c>
      <c r="D184" s="165">
        <f>'Rate Class Customer Model'!D15</f>
        <v>19</v>
      </c>
      <c r="E184" s="165">
        <f>'Rate Class Customer Model'!E15</f>
        <v>9.9999999999999995E-8</v>
      </c>
      <c r="F184" s="165">
        <f>'Rate Class Customer Model'!F15</f>
        <v>627.5</v>
      </c>
      <c r="G184" s="165">
        <f t="shared" si="46"/>
        <v>2285.5000000999999</v>
      </c>
    </row>
    <row r="185" spans="1:8" x14ac:dyDescent="0.2">
      <c r="A185" s="146"/>
      <c r="B185" s="171"/>
      <c r="C185" s="171"/>
      <c r="D185" s="171"/>
      <c r="E185" s="171"/>
      <c r="F185" s="171"/>
      <c r="G185" s="171"/>
    </row>
    <row r="187" spans="1:8" x14ac:dyDescent="0.2">
      <c r="A187" s="374" t="s">
        <v>184</v>
      </c>
      <c r="B187" s="375"/>
      <c r="C187" s="375"/>
      <c r="D187" s="375"/>
      <c r="E187" s="375"/>
      <c r="F187" s="375"/>
      <c r="H187" s="54"/>
    </row>
    <row r="188" spans="1:8" ht="12.75" customHeight="1" x14ac:dyDescent="0.2">
      <c r="A188" s="202" t="s">
        <v>152</v>
      </c>
      <c r="B188" s="142" t="str">
        <f>B170</f>
        <v>Residential</v>
      </c>
      <c r="C188" s="142" t="str">
        <f t="shared" ref="C188:F188" si="47">C170</f>
        <v>GS&lt;50 kW</v>
      </c>
      <c r="D188" s="142" t="str">
        <f t="shared" si="47"/>
        <v>GS&gt;50 kW</v>
      </c>
      <c r="E188" s="142" t="str">
        <f t="shared" si="47"/>
        <v>Intermediate</v>
      </c>
      <c r="F188" s="142" t="str">
        <f t="shared" si="47"/>
        <v>Street Lights</v>
      </c>
      <c r="H188" s="154"/>
    </row>
    <row r="189" spans="1:8" x14ac:dyDescent="0.2">
      <c r="A189" s="366" t="s">
        <v>162</v>
      </c>
      <c r="B189" s="367"/>
      <c r="C189" s="367"/>
      <c r="D189" s="367"/>
      <c r="E189" s="368"/>
    </row>
    <row r="190" spans="1:8" x14ac:dyDescent="0.2">
      <c r="A190" s="137">
        <f t="shared" ref="A190:A202" si="48">A172</f>
        <v>2003</v>
      </c>
      <c r="B190" s="166"/>
      <c r="C190" s="166"/>
      <c r="D190" s="166"/>
      <c r="E190" s="166"/>
      <c r="F190" s="166"/>
    </row>
    <row r="191" spans="1:8" x14ac:dyDescent="0.2">
      <c r="A191" s="137">
        <f t="shared" si="48"/>
        <v>2004</v>
      </c>
      <c r="B191" s="166">
        <f>B173/B172-1</f>
        <v>-1.3648468708388761E-2</v>
      </c>
      <c r="C191" s="166">
        <f t="shared" ref="C191:D191" si="49">C173/C172-1</f>
        <v>-5.7407407407407463E-2</v>
      </c>
      <c r="D191" s="166">
        <f t="shared" si="49"/>
        <v>-2.3255813953488413E-2</v>
      </c>
      <c r="E191" s="166">
        <v>0</v>
      </c>
      <c r="F191" s="166">
        <f>F173/F172-1</f>
        <v>-6.4360418342719328E-3</v>
      </c>
    </row>
    <row r="192" spans="1:8" x14ac:dyDescent="0.2">
      <c r="A192" s="137">
        <f t="shared" si="48"/>
        <v>2005</v>
      </c>
      <c r="B192" s="166">
        <f t="shared" ref="B192:D202" si="50">B174/B173-1</f>
        <v>-9.4498818764765513E-3</v>
      </c>
      <c r="C192" s="166">
        <f t="shared" si="50"/>
        <v>-3.143418467583492E-2</v>
      </c>
      <c r="D192" s="166">
        <f t="shared" si="50"/>
        <v>-2.3809523809523836E-2</v>
      </c>
      <c r="E192" s="166">
        <v>0</v>
      </c>
      <c r="F192" s="166">
        <f t="shared" ref="F192" si="51">F174/F173-1</f>
        <v>3.2388663967610754E-3</v>
      </c>
    </row>
    <row r="193" spans="1:10" x14ac:dyDescent="0.2">
      <c r="A193" s="137">
        <f t="shared" si="48"/>
        <v>2006</v>
      </c>
      <c r="B193" s="166">
        <f t="shared" si="50"/>
        <v>-7.8364565587734081E-3</v>
      </c>
      <c r="C193" s="166">
        <f t="shared" si="50"/>
        <v>-2.0283975659228792E-3</v>
      </c>
      <c r="D193" s="166">
        <f t="shared" si="50"/>
        <v>-2.4390243902439046E-2</v>
      </c>
      <c r="E193" s="166">
        <v>0</v>
      </c>
      <c r="F193" s="166">
        <f t="shared" ref="F193" si="52">F175/F174-1</f>
        <v>2.421307506053294E-3</v>
      </c>
      <c r="J193" s="167"/>
    </row>
    <row r="194" spans="1:10" x14ac:dyDescent="0.2">
      <c r="A194" s="137">
        <f t="shared" si="48"/>
        <v>2007</v>
      </c>
      <c r="B194" s="166">
        <f t="shared" si="50"/>
        <v>-8.2417582417582125E-3</v>
      </c>
      <c r="C194" s="166">
        <f t="shared" si="50"/>
        <v>-1.0162601626016232E-2</v>
      </c>
      <c r="D194" s="166">
        <f t="shared" si="50"/>
        <v>0</v>
      </c>
      <c r="E194" s="166">
        <v>0</v>
      </c>
      <c r="F194" s="166">
        <f t="shared" ref="F194" si="53">F176/F175-1</f>
        <v>-8.0515297906602612E-4</v>
      </c>
    </row>
    <row r="195" spans="1:10" x14ac:dyDescent="0.2">
      <c r="A195" s="137">
        <f t="shared" si="48"/>
        <v>2008</v>
      </c>
      <c r="B195" s="166">
        <f t="shared" si="50"/>
        <v>-7.6177285318559385E-3</v>
      </c>
      <c r="C195" s="166">
        <f t="shared" si="50"/>
        <v>-2.4640657084188944E-2</v>
      </c>
      <c r="D195" s="166">
        <f t="shared" si="50"/>
        <v>2.4999999999999911E-2</v>
      </c>
      <c r="E195" s="166">
        <v>0</v>
      </c>
      <c r="F195" s="166">
        <f t="shared" ref="F195" si="54">F177/F176-1</f>
        <v>-1.6116035455278066E-3</v>
      </c>
    </row>
    <row r="196" spans="1:10" x14ac:dyDescent="0.2">
      <c r="A196" s="137">
        <f t="shared" si="48"/>
        <v>2009</v>
      </c>
      <c r="B196" s="166">
        <f t="shared" si="50"/>
        <v>1.0467550593160624E-3</v>
      </c>
      <c r="C196" s="166">
        <f t="shared" si="50"/>
        <v>6.3157894736842746E-3</v>
      </c>
      <c r="D196" s="166">
        <f t="shared" si="50"/>
        <v>0</v>
      </c>
      <c r="E196" s="166">
        <v>0</v>
      </c>
      <c r="F196" s="166">
        <f t="shared" ref="F196" si="55">F178/F177-1</f>
        <v>2.421307506053294E-3</v>
      </c>
    </row>
    <row r="197" spans="1:10" x14ac:dyDescent="0.2">
      <c r="A197" s="137">
        <f t="shared" si="48"/>
        <v>2010</v>
      </c>
      <c r="B197" s="166">
        <f t="shared" si="50"/>
        <v>-7.6681770651795267E-3</v>
      </c>
      <c r="C197" s="166">
        <f t="shared" si="50"/>
        <v>-6.2761506276151069E-3</v>
      </c>
      <c r="D197" s="166">
        <f t="shared" si="50"/>
        <v>2.4390243902439046E-2</v>
      </c>
      <c r="E197" s="166">
        <v>0</v>
      </c>
      <c r="F197" s="166">
        <f t="shared" ref="F197" si="56">F179/F178-1</f>
        <v>7.2463768115942351E-3</v>
      </c>
    </row>
    <row r="198" spans="1:10" x14ac:dyDescent="0.2">
      <c r="A198" s="137">
        <f t="shared" si="48"/>
        <v>2011</v>
      </c>
      <c r="B198" s="166">
        <f t="shared" si="50"/>
        <v>-1.0537407797681753E-2</v>
      </c>
      <c r="C198" s="166">
        <f t="shared" si="50"/>
        <v>-2.5263157894736876E-2</v>
      </c>
      <c r="D198" s="166">
        <f t="shared" si="50"/>
        <v>4.7619047619047672E-2</v>
      </c>
      <c r="E198" s="166">
        <v>0</v>
      </c>
      <c r="F198" s="166">
        <f t="shared" ref="F198" si="57">F180/F179-1</f>
        <v>9.5923261390886694E-3</v>
      </c>
    </row>
    <row r="199" spans="1:10" x14ac:dyDescent="0.2">
      <c r="A199" s="137">
        <f t="shared" si="48"/>
        <v>2012</v>
      </c>
      <c r="B199" s="166">
        <f t="shared" si="50"/>
        <v>1.0649627263046302E-3</v>
      </c>
      <c r="C199" s="166">
        <f t="shared" si="50"/>
        <v>8.6393088552916275E-3</v>
      </c>
      <c r="D199" s="166">
        <f t="shared" si="50"/>
        <v>-9.0909090909090939E-2</v>
      </c>
      <c r="E199" s="166">
        <v>0</v>
      </c>
      <c r="F199" s="166">
        <f t="shared" ref="F199" si="58">F181/F180-1</f>
        <v>5.542359461599311E-3</v>
      </c>
    </row>
    <row r="200" spans="1:10" x14ac:dyDescent="0.2">
      <c r="A200" s="137">
        <f t="shared" si="48"/>
        <v>2013</v>
      </c>
      <c r="B200" s="166">
        <f t="shared" si="50"/>
        <v>1.7730496453900457E-3</v>
      </c>
      <c r="C200" s="166">
        <f t="shared" si="50"/>
        <v>4.282655246252709E-3</v>
      </c>
      <c r="D200" s="166">
        <f t="shared" si="50"/>
        <v>-9.9999999999999978E-2</v>
      </c>
      <c r="E200" s="166">
        <v>0</v>
      </c>
      <c r="F200" s="166">
        <f t="shared" ref="F200" si="59">F182/F181-1</f>
        <v>0</v>
      </c>
    </row>
    <row r="201" spans="1:10" x14ac:dyDescent="0.2">
      <c r="A201" s="137">
        <f t="shared" si="48"/>
        <v>2014</v>
      </c>
      <c r="B201" s="166">
        <f t="shared" si="50"/>
        <v>-1.0619469026548201E-3</v>
      </c>
      <c r="C201" s="166">
        <f t="shared" si="50"/>
        <v>-2.1321961620469621E-3</v>
      </c>
      <c r="D201" s="166">
        <f t="shared" si="50"/>
        <v>5.555555555555558E-2</v>
      </c>
      <c r="E201" s="166">
        <v>0</v>
      </c>
      <c r="F201" s="166">
        <f t="shared" ref="F201" si="60">F183/F182-1</f>
        <v>-3.937007874015741E-3</v>
      </c>
    </row>
    <row r="202" spans="1:10" x14ac:dyDescent="0.2">
      <c r="A202" s="137">
        <f t="shared" si="48"/>
        <v>2015</v>
      </c>
      <c r="B202" s="166">
        <f t="shared" si="50"/>
        <v>-4.2523033309709302E-3</v>
      </c>
      <c r="C202" s="166">
        <f t="shared" si="50"/>
        <v>0</v>
      </c>
      <c r="D202" s="166">
        <f t="shared" si="50"/>
        <v>0</v>
      </c>
      <c r="E202" s="166">
        <v>0</v>
      </c>
      <c r="F202" s="166">
        <f t="shared" ref="F202" si="61">F184/F183-1</f>
        <v>-7.905138339920903E-3</v>
      </c>
    </row>
    <row r="203" spans="1:10" x14ac:dyDescent="0.2">
      <c r="A203" s="137" t="s">
        <v>185</v>
      </c>
      <c r="B203" s="166">
        <f>'Rate Class Customer Model'!B35-1</f>
        <v>-5.5479074165785125E-3</v>
      </c>
      <c r="C203" s="166">
        <f>'Rate Class Customer Model'!C35-1</f>
        <v>-1.1854248450581695E-2</v>
      </c>
      <c r="D203" s="166">
        <f>'Rate Class Customer Model'!D35-1</f>
        <v>-1.0248287732372519E-2</v>
      </c>
      <c r="E203" s="166">
        <v>0</v>
      </c>
      <c r="F203" s="166">
        <f>'Rate Class Customer Model'!F35-1</f>
        <v>8.0096727436806958E-4</v>
      </c>
    </row>
    <row r="204" spans="1:10" x14ac:dyDescent="0.2">
      <c r="I204" s="54"/>
    </row>
    <row r="205" spans="1:10" x14ac:dyDescent="0.2">
      <c r="A205" s="366" t="s">
        <v>186</v>
      </c>
      <c r="B205" s="367"/>
      <c r="C205" s="367"/>
      <c r="D205" s="367"/>
      <c r="E205" s="367"/>
      <c r="F205" s="368"/>
      <c r="I205" s="154"/>
    </row>
    <row r="206" spans="1:10" ht="12.75" customHeight="1" x14ac:dyDescent="0.2">
      <c r="A206" s="201" t="s">
        <v>152</v>
      </c>
      <c r="B206" s="142" t="str">
        <f>B170</f>
        <v>Residential</v>
      </c>
      <c r="C206" s="142" t="str">
        <f t="shared" ref="C206:D206" si="62">C170</f>
        <v>GS&lt;50 kW</v>
      </c>
      <c r="D206" s="142" t="str">
        <f t="shared" si="62"/>
        <v>GS&gt;50 kW</v>
      </c>
      <c r="E206" s="142" t="str">
        <f>F188</f>
        <v>Street Lights</v>
      </c>
      <c r="F206" s="142" t="str">
        <f>G170</f>
        <v>Total</v>
      </c>
    </row>
    <row r="207" spans="1:10" x14ac:dyDescent="0.2">
      <c r="A207" s="371" t="s">
        <v>187</v>
      </c>
      <c r="B207" s="372"/>
      <c r="C207" s="372"/>
      <c r="D207" s="372"/>
      <c r="E207" s="372"/>
      <c r="F207" s="373"/>
    </row>
    <row r="208" spans="1:10" x14ac:dyDescent="0.2">
      <c r="A208" s="200" t="str">
        <f>A163</f>
        <v>2016 Bridge</v>
      </c>
      <c r="B208" s="219">
        <f>'Rate Class Customer Model'!B16</f>
        <v>1397.2051900797071</v>
      </c>
      <c r="C208" s="219">
        <f>'Rate Class Customer Model'!C16</f>
        <v>231.22610586256388</v>
      </c>
      <c r="D208" s="219">
        <f>'Rate Class Customer Model'!D16</f>
        <v>17</v>
      </c>
      <c r="E208" s="219">
        <f>'Rate Class Customer Model'!F16</f>
        <v>625</v>
      </c>
      <c r="F208" s="219">
        <f>SUM(B208:E208)</f>
        <v>2270.4312959422709</v>
      </c>
    </row>
    <row r="209" spans="1:8" x14ac:dyDescent="0.2">
      <c r="A209" s="200" t="str">
        <f>A164</f>
        <v>2017 Test</v>
      </c>
      <c r="B209" s="219">
        <f>'Rate Class Customer Model'!B17</f>
        <v>1389.453625043182</v>
      </c>
      <c r="C209" s="219">
        <f>'Rate Class Customer Model'!C17</f>
        <v>228.48509415540855</v>
      </c>
      <c r="D209" s="219">
        <f>'Rate Class Customer Model'!D17</f>
        <v>17</v>
      </c>
      <c r="E209" s="219">
        <f>E208*(1+E203)</f>
        <v>625</v>
      </c>
      <c r="F209" s="219">
        <f>SUM(B209:E209)</f>
        <v>2259.9387191985907</v>
      </c>
    </row>
    <row r="211" spans="1:8" x14ac:dyDescent="0.2">
      <c r="A211" s="366" t="s">
        <v>188</v>
      </c>
      <c r="B211" s="367"/>
      <c r="C211" s="367"/>
      <c r="D211" s="367"/>
      <c r="E211" s="368"/>
    </row>
    <row r="212" spans="1:8" ht="12.75" customHeight="1" x14ac:dyDescent="0.2">
      <c r="A212" s="201" t="s">
        <v>152</v>
      </c>
      <c r="B212" s="153" t="str">
        <f>B206</f>
        <v>Residential</v>
      </c>
      <c r="C212" s="153" t="str">
        <f>C206</f>
        <v>GS&lt;50 kW</v>
      </c>
      <c r="D212" s="153" t="str">
        <f>D206</f>
        <v>GS&gt;50 kW</v>
      </c>
      <c r="E212" s="153" t="str">
        <f>E206</f>
        <v>Street Lights</v>
      </c>
      <c r="H212" s="154"/>
    </row>
    <row r="213" spans="1:8" x14ac:dyDescent="0.2">
      <c r="A213" s="366" t="s">
        <v>163</v>
      </c>
      <c r="B213" s="367"/>
      <c r="C213" s="367"/>
      <c r="D213" s="367"/>
      <c r="E213" s="368"/>
      <c r="H213" s="168"/>
    </row>
    <row r="214" spans="1:8" x14ac:dyDescent="0.2">
      <c r="A214" s="137">
        <f>A190</f>
        <v>2003</v>
      </c>
      <c r="B214" s="165">
        <f>B98</f>
        <v>7449.3883541472551</v>
      </c>
      <c r="C214" s="165">
        <f>C98</f>
        <v>22838.475787642918</v>
      </c>
      <c r="D214" s="165">
        <f>D98</f>
        <v>348713.2767602987</v>
      </c>
      <c r="E214" s="165">
        <f>F98</f>
        <v>863.65711107684172</v>
      </c>
      <c r="H214" s="169"/>
    </row>
    <row r="215" spans="1:8" x14ac:dyDescent="0.2">
      <c r="A215" s="137">
        <f t="shared" ref="A215:A225" si="63">A191</f>
        <v>2004</v>
      </c>
      <c r="B215" s="165">
        <f t="shared" ref="B215:C226" si="64">B99</f>
        <v>7323.179210259872</v>
      </c>
      <c r="C215" s="165">
        <f t="shared" si="64"/>
        <v>22132.89587426326</v>
      </c>
      <c r="D215" s="165">
        <f t="shared" ref="D215" si="65">D99</f>
        <v>340763.47619047621</v>
      </c>
      <c r="E215" s="165">
        <f t="shared" ref="E215:E226" si="66">F99</f>
        <v>842.18785425101225</v>
      </c>
      <c r="H215" s="170"/>
    </row>
    <row r="216" spans="1:8" x14ac:dyDescent="0.2">
      <c r="A216" s="137">
        <f t="shared" si="63"/>
        <v>2005</v>
      </c>
      <c r="B216" s="165">
        <f t="shared" si="64"/>
        <v>7586.4061328790458</v>
      </c>
      <c r="C216" s="165">
        <f t="shared" si="64"/>
        <v>23025.910750507101</v>
      </c>
      <c r="D216" s="165">
        <f t="shared" ref="D216" si="67">D100</f>
        <v>352274.78048780491</v>
      </c>
      <c r="E216" s="165">
        <f t="shared" si="66"/>
        <v>816.47941888619846</v>
      </c>
      <c r="H216" s="170"/>
    </row>
    <row r="217" spans="1:8" x14ac:dyDescent="0.2">
      <c r="A217" s="137">
        <f t="shared" si="63"/>
        <v>2006</v>
      </c>
      <c r="B217" s="165">
        <f t="shared" si="64"/>
        <v>7392.1304945054944</v>
      </c>
      <c r="C217" s="165">
        <f t="shared" si="64"/>
        <v>22343.650406504064</v>
      </c>
      <c r="D217" s="165">
        <f t="shared" ref="D217" si="68">D101</f>
        <v>346737.65</v>
      </c>
      <c r="E217" s="165">
        <f t="shared" si="66"/>
        <v>784.6908212560387</v>
      </c>
    </row>
    <row r="218" spans="1:8" x14ac:dyDescent="0.2">
      <c r="A218" s="137">
        <f t="shared" si="63"/>
        <v>2007</v>
      </c>
      <c r="B218" s="165">
        <f t="shared" si="64"/>
        <v>7592.2887811634346</v>
      </c>
      <c r="C218" s="165">
        <f t="shared" si="64"/>
        <v>23258.135523613964</v>
      </c>
      <c r="D218" s="165">
        <f t="shared" ref="D218" si="69">D102</f>
        <v>361075.65</v>
      </c>
      <c r="E218" s="165">
        <f t="shared" si="66"/>
        <v>818.95729250604359</v>
      </c>
      <c r="H218" s="154"/>
    </row>
    <row r="219" spans="1:8" x14ac:dyDescent="0.2">
      <c r="A219" s="137">
        <f t="shared" si="63"/>
        <v>2008</v>
      </c>
      <c r="B219" s="165">
        <f t="shared" si="64"/>
        <v>7215.926029309142</v>
      </c>
      <c r="C219" s="165">
        <f t="shared" si="64"/>
        <v>22679.941052631581</v>
      </c>
      <c r="D219" s="165">
        <f t="shared" ref="D219" si="70">D103</f>
        <v>351522.58536585368</v>
      </c>
      <c r="E219" s="165">
        <f t="shared" si="66"/>
        <v>789.24616626311547</v>
      </c>
    </row>
    <row r="220" spans="1:8" x14ac:dyDescent="0.2">
      <c r="A220" s="137">
        <f t="shared" si="63"/>
        <v>2009</v>
      </c>
      <c r="B220" s="165">
        <f t="shared" si="64"/>
        <v>6798.0299756012546</v>
      </c>
      <c r="C220" s="165">
        <f t="shared" si="64"/>
        <v>20748.589958158995</v>
      </c>
      <c r="D220" s="165">
        <f t="shared" ref="D220" si="71">D104</f>
        <v>394872.24390243908</v>
      </c>
      <c r="E220" s="165">
        <f t="shared" si="66"/>
        <v>800.07228663446062</v>
      </c>
    </row>
    <row r="221" spans="1:8" x14ac:dyDescent="0.2">
      <c r="A221" s="137">
        <f t="shared" si="63"/>
        <v>2010</v>
      </c>
      <c r="B221" s="165">
        <f t="shared" si="64"/>
        <v>6973.3529961362838</v>
      </c>
      <c r="C221" s="165">
        <f t="shared" si="64"/>
        <v>21121.069473684209</v>
      </c>
      <c r="D221" s="165">
        <f t="shared" ref="D221" si="72">D105</f>
        <v>356612.28571428574</v>
      </c>
      <c r="E221" s="165">
        <f t="shared" si="66"/>
        <v>776.28823341326938</v>
      </c>
    </row>
    <row r="222" spans="1:8" x14ac:dyDescent="0.2">
      <c r="A222" s="137">
        <f t="shared" si="63"/>
        <v>2011</v>
      </c>
      <c r="B222" s="165">
        <f t="shared" si="64"/>
        <v>6829.3957543485976</v>
      </c>
      <c r="C222" s="165">
        <f t="shared" si="64"/>
        <v>24272.333304535638</v>
      </c>
      <c r="D222" s="165">
        <f t="shared" ref="D222" si="73">D106</f>
        <v>303450</v>
      </c>
      <c r="E222" s="165">
        <f t="shared" si="66"/>
        <v>743.78590657165478</v>
      </c>
    </row>
    <row r="223" spans="1:8" x14ac:dyDescent="0.2">
      <c r="A223" s="137">
        <f t="shared" si="63"/>
        <v>2012</v>
      </c>
      <c r="B223" s="165">
        <f t="shared" si="64"/>
        <v>6698.9795319148943</v>
      </c>
      <c r="C223" s="165">
        <f t="shared" si="64"/>
        <v>22785.248351177732</v>
      </c>
      <c r="D223" s="165">
        <f t="shared" ref="D223" si="74">D107</f>
        <v>336137.5</v>
      </c>
      <c r="E223" s="165">
        <f t="shared" si="66"/>
        <v>739.42759055118108</v>
      </c>
    </row>
    <row r="224" spans="1:8" x14ac:dyDescent="0.2">
      <c r="A224" s="137">
        <f t="shared" si="63"/>
        <v>2013</v>
      </c>
      <c r="B224" s="165">
        <f t="shared" si="64"/>
        <v>6961.9783292035399</v>
      </c>
      <c r="C224" s="165">
        <f t="shared" si="64"/>
        <v>22337.374157782517</v>
      </c>
      <c r="D224" s="165">
        <f t="shared" ref="D224" si="75">D108</f>
        <v>390014.88888888888</v>
      </c>
      <c r="E224" s="165">
        <f t="shared" si="66"/>
        <v>736.57259842519682</v>
      </c>
    </row>
    <row r="225" spans="1:8" x14ac:dyDescent="0.2">
      <c r="A225" s="137">
        <f t="shared" si="63"/>
        <v>2014</v>
      </c>
      <c r="B225" s="165">
        <f t="shared" si="64"/>
        <v>6905.0358610914245</v>
      </c>
      <c r="C225" s="165">
        <f t="shared" si="64"/>
        <v>22717.944017094018</v>
      </c>
      <c r="D225" s="165">
        <f t="shared" ref="D225" si="76">D109</f>
        <v>413259</v>
      </c>
      <c r="E225" s="165">
        <f t="shared" si="66"/>
        <v>737.64837944664032</v>
      </c>
    </row>
    <row r="226" spans="1:8" x14ac:dyDescent="0.2">
      <c r="A226" s="137">
        <f>A202</f>
        <v>2015</v>
      </c>
      <c r="B226" s="165">
        <f t="shared" si="64"/>
        <v>6566.0950889679716</v>
      </c>
      <c r="C226" s="165">
        <f t="shared" si="64"/>
        <v>21838.59705128205</v>
      </c>
      <c r="D226" s="165">
        <f t="shared" ref="D226" si="77">D110</f>
        <v>924794.73684210528</v>
      </c>
      <c r="E226" s="165">
        <f t="shared" si="66"/>
        <v>738.79861354581669</v>
      </c>
    </row>
    <row r="227" spans="1:8" x14ac:dyDescent="0.2">
      <c r="A227" s="146"/>
      <c r="B227" s="171"/>
      <c r="C227" s="171"/>
      <c r="D227" s="171"/>
      <c r="E227" s="171"/>
    </row>
    <row r="228" spans="1:8" x14ac:dyDescent="0.2">
      <c r="A228" s="146"/>
      <c r="B228" s="171"/>
      <c r="C228" s="171"/>
      <c r="D228" s="171"/>
      <c r="E228" s="171"/>
      <c r="F228" s="171"/>
      <c r="G228" s="171"/>
    </row>
    <row r="230" spans="1:8" x14ac:dyDescent="0.2">
      <c r="A230" s="366" t="s">
        <v>189</v>
      </c>
      <c r="B230" s="367"/>
      <c r="C230" s="367"/>
      <c r="D230" s="367"/>
      <c r="E230" s="368"/>
    </row>
    <row r="231" spans="1:8" ht="12.75" customHeight="1" x14ac:dyDescent="0.2">
      <c r="A231" s="201" t="s">
        <v>152</v>
      </c>
      <c r="B231" s="153" t="str">
        <f>B212</f>
        <v>Residential</v>
      </c>
      <c r="C231" s="153" t="str">
        <f>C212</f>
        <v>GS&lt;50 kW</v>
      </c>
      <c r="D231" s="153" t="str">
        <f>D212</f>
        <v>GS&gt;50 kW</v>
      </c>
      <c r="E231" s="153" t="str">
        <f>E212</f>
        <v>Street Lights</v>
      </c>
      <c r="H231" s="172"/>
    </row>
    <row r="232" spans="1:8" x14ac:dyDescent="0.2">
      <c r="A232" s="366" t="s">
        <v>164</v>
      </c>
      <c r="B232" s="367"/>
      <c r="C232" s="367"/>
      <c r="D232" s="367"/>
      <c r="E232" s="368"/>
      <c r="H232" s="168"/>
    </row>
    <row r="233" spans="1:8" x14ac:dyDescent="0.2">
      <c r="A233" s="137">
        <f t="shared" ref="A233:A240" si="78">A214</f>
        <v>2003</v>
      </c>
      <c r="B233" s="166"/>
      <c r="C233" s="166"/>
      <c r="D233" s="166"/>
      <c r="E233" s="166"/>
      <c r="H233" s="169"/>
    </row>
    <row r="234" spans="1:8" x14ac:dyDescent="0.2">
      <c r="A234" s="137">
        <f t="shared" si="78"/>
        <v>2004</v>
      </c>
      <c r="B234" s="166">
        <f>B215/B214-1</f>
        <v>-1.694221564071352E-2</v>
      </c>
      <c r="C234" s="166">
        <f t="shared" ref="C234:E234" si="79">C215/C214-1</f>
        <v>-3.0894352142423642E-2</v>
      </c>
      <c r="D234" s="166">
        <f t="shared" si="79"/>
        <v>-2.2797527652745786E-2</v>
      </c>
      <c r="E234" s="166">
        <f t="shared" si="79"/>
        <v>-2.4858542297024222E-2</v>
      </c>
      <c r="H234" s="170"/>
    </row>
    <row r="235" spans="1:8" x14ac:dyDescent="0.2">
      <c r="A235" s="137">
        <f t="shared" si="78"/>
        <v>2005</v>
      </c>
      <c r="B235" s="166">
        <f t="shared" ref="B235:E245" si="80">B216/B215-1</f>
        <v>3.5944350815611426E-2</v>
      </c>
      <c r="C235" s="166">
        <f t="shared" si="80"/>
        <v>4.0347855125558274E-2</v>
      </c>
      <c r="D235" s="166">
        <f t="shared" si="80"/>
        <v>3.3780921670414576E-2</v>
      </c>
      <c r="E235" s="166">
        <f t="shared" si="80"/>
        <v>-3.0525773121814037E-2</v>
      </c>
      <c r="H235" s="170"/>
    </row>
    <row r="236" spans="1:8" x14ac:dyDescent="0.2">
      <c r="A236" s="137">
        <f t="shared" si="78"/>
        <v>2006</v>
      </c>
      <c r="B236" s="166">
        <f t="shared" si="80"/>
        <v>-2.5608388869608811E-2</v>
      </c>
      <c r="C236" s="166">
        <f t="shared" si="80"/>
        <v>-2.9630113283923398E-2</v>
      </c>
      <c r="D236" s="166">
        <f t="shared" si="80"/>
        <v>-1.5718214287544163E-2</v>
      </c>
      <c r="E236" s="166">
        <f t="shared" si="80"/>
        <v>-3.893374026931895E-2</v>
      </c>
      <c r="H236" s="169"/>
    </row>
    <row r="237" spans="1:8" x14ac:dyDescent="0.2">
      <c r="A237" s="137">
        <f t="shared" si="78"/>
        <v>2007</v>
      </c>
      <c r="B237" s="166">
        <f t="shared" si="80"/>
        <v>2.7077212287677455E-2</v>
      </c>
      <c r="C237" s="166">
        <f t="shared" si="80"/>
        <v>4.0928187671773752E-2</v>
      </c>
      <c r="D237" s="166">
        <f t="shared" si="80"/>
        <v>4.1351148339385801E-2</v>
      </c>
      <c r="E237" s="166">
        <f t="shared" si="80"/>
        <v>4.3668755032912454E-2</v>
      </c>
      <c r="H237" s="173"/>
    </row>
    <row r="238" spans="1:8" x14ac:dyDescent="0.2">
      <c r="A238" s="137">
        <f t="shared" si="78"/>
        <v>2008</v>
      </c>
      <c r="B238" s="166">
        <f t="shared" si="80"/>
        <v>-4.9571711864813905E-2</v>
      </c>
      <c r="C238" s="166">
        <f t="shared" si="80"/>
        <v>-2.485988055213384E-2</v>
      </c>
      <c r="D238" s="166">
        <f t="shared" si="80"/>
        <v>-2.645723862616145E-2</v>
      </c>
      <c r="E238" s="166">
        <f t="shared" si="80"/>
        <v>-3.6279213232244145E-2</v>
      </c>
      <c r="H238" s="173"/>
    </row>
    <row r="239" spans="1:8" x14ac:dyDescent="0.2">
      <c r="A239" s="137">
        <f t="shared" si="78"/>
        <v>2009</v>
      </c>
      <c r="B239" s="166">
        <f t="shared" si="80"/>
        <v>-5.7913017956462753E-2</v>
      </c>
      <c r="C239" s="166">
        <f t="shared" si="80"/>
        <v>-8.5156795160562737E-2</v>
      </c>
      <c r="D239" s="166">
        <f t="shared" si="80"/>
        <v>0.12331969648968188</v>
      </c>
      <c r="E239" s="166">
        <f t="shared" si="80"/>
        <v>1.3717038908917623E-2</v>
      </c>
      <c r="H239" s="169"/>
    </row>
    <row r="240" spans="1:8" x14ac:dyDescent="0.2">
      <c r="A240" s="137">
        <f t="shared" si="78"/>
        <v>2010</v>
      </c>
      <c r="B240" s="166">
        <f t="shared" si="80"/>
        <v>2.5790268822626361E-2</v>
      </c>
      <c r="C240" s="166">
        <f t="shared" si="80"/>
        <v>1.7952039935067665E-2</v>
      </c>
      <c r="D240" s="166">
        <f t="shared" si="80"/>
        <v>-9.6891991723799697E-2</v>
      </c>
      <c r="E240" s="166">
        <f t="shared" si="80"/>
        <v>-2.9727380411137538E-2</v>
      </c>
      <c r="H240" s="169"/>
    </row>
    <row r="241" spans="1:9" x14ac:dyDescent="0.2">
      <c r="A241" s="137">
        <f t="shared" ref="A241:A245" si="81">A222</f>
        <v>2011</v>
      </c>
      <c r="B241" s="166">
        <f t="shared" si="80"/>
        <v>-2.0643905717586453E-2</v>
      </c>
      <c r="C241" s="166">
        <f t="shared" si="80"/>
        <v>0.14920001256459781</v>
      </c>
      <c r="D241" s="166">
        <f t="shared" si="80"/>
        <v>-0.149075867108176</v>
      </c>
      <c r="E241" s="166">
        <f t="shared" si="80"/>
        <v>-4.186889024287388E-2</v>
      </c>
      <c r="H241" s="169"/>
    </row>
    <row r="242" spans="1:9" x14ac:dyDescent="0.2">
      <c r="A242" s="137">
        <f t="shared" si="81"/>
        <v>2012</v>
      </c>
      <c r="B242" s="166">
        <f t="shared" si="80"/>
        <v>-1.9096304728080993E-2</v>
      </c>
      <c r="C242" s="166">
        <f t="shared" si="80"/>
        <v>-6.1266666648814638E-2</v>
      </c>
      <c r="D242" s="166">
        <f t="shared" si="80"/>
        <v>0.10771955841159997</v>
      </c>
      <c r="E242" s="166">
        <f t="shared" si="80"/>
        <v>-5.8596378097059976E-3</v>
      </c>
      <c r="H242" s="169"/>
    </row>
    <row r="243" spans="1:9" x14ac:dyDescent="0.2">
      <c r="A243" s="137">
        <f t="shared" si="81"/>
        <v>2013</v>
      </c>
      <c r="B243" s="166">
        <f t="shared" si="80"/>
        <v>3.9259531401115932E-2</v>
      </c>
      <c r="C243" s="166">
        <f t="shared" si="80"/>
        <v>-1.9656322656323666E-2</v>
      </c>
      <c r="D243" s="166">
        <f t="shared" si="80"/>
        <v>0.16028377937269389</v>
      </c>
      <c r="E243" s="166">
        <f t="shared" si="80"/>
        <v>-3.8610841175890087E-3</v>
      </c>
      <c r="H243" s="169"/>
    </row>
    <row r="244" spans="1:9" x14ac:dyDescent="0.2">
      <c r="A244" s="137">
        <f t="shared" si="81"/>
        <v>2014</v>
      </c>
      <c r="B244" s="166">
        <f t="shared" si="80"/>
        <v>-8.1790642572467931E-3</v>
      </c>
      <c r="C244" s="166">
        <f t="shared" si="80"/>
        <v>1.7037358850834572E-2</v>
      </c>
      <c r="D244" s="166">
        <f t="shared" si="80"/>
        <v>5.9598009648634598E-2</v>
      </c>
      <c r="E244" s="166">
        <f t="shared" si="80"/>
        <v>1.4605227288437828E-3</v>
      </c>
      <c r="H244" s="169"/>
    </row>
    <row r="245" spans="1:9" x14ac:dyDescent="0.2">
      <c r="A245" s="137">
        <f t="shared" si="81"/>
        <v>2015</v>
      </c>
      <c r="B245" s="166">
        <f t="shared" si="80"/>
        <v>-4.9086026335260713E-2</v>
      </c>
      <c r="C245" s="166">
        <f t="shared" si="80"/>
        <v>-3.8707154360020812E-2</v>
      </c>
      <c r="D245" s="166">
        <f t="shared" si="80"/>
        <v>1.2378090660871397</v>
      </c>
      <c r="E245" s="166">
        <f t="shared" si="80"/>
        <v>1.5593257319148623E-3</v>
      </c>
      <c r="H245" s="169"/>
    </row>
    <row r="246" spans="1:9" x14ac:dyDescent="0.2">
      <c r="A246" s="137" t="str">
        <f>A203</f>
        <v>Geometric Mean</v>
      </c>
      <c r="B246" s="166">
        <f>'Rate Class Energy Model'!H61-1</f>
        <v>-1.0462601193049648E-2</v>
      </c>
      <c r="C246" s="166">
        <f>'Rate Class Energy Model'!I61-1</f>
        <v>-3.7236945392260523E-3</v>
      </c>
      <c r="D246" s="166">
        <f>'Rate Class Energy Model'!J61-1</f>
        <v>8.4671108136919804E-2</v>
      </c>
      <c r="E246" s="166">
        <f>'Rate Class Energy Model'!L61-1</f>
        <v>-1.2928240976208594E-2</v>
      </c>
      <c r="H246" s="174"/>
    </row>
    <row r="247" spans="1:9" x14ac:dyDescent="0.2">
      <c r="H247" s="174"/>
    </row>
    <row r="248" spans="1:9" x14ac:dyDescent="0.2">
      <c r="A248" s="366" t="s">
        <v>190</v>
      </c>
      <c r="B248" s="367"/>
      <c r="C248" s="367"/>
      <c r="D248" s="367"/>
      <c r="E248" s="368"/>
    </row>
    <row r="249" spans="1:9" ht="12.75" customHeight="1" x14ac:dyDescent="0.2">
      <c r="A249" s="201" t="s">
        <v>152</v>
      </c>
      <c r="B249" s="175" t="str">
        <f>B231</f>
        <v>Residential</v>
      </c>
      <c r="C249" s="175" t="str">
        <f>C231</f>
        <v>GS&lt;50 kW</v>
      </c>
      <c r="D249" s="175" t="str">
        <f>D231</f>
        <v>GS&gt;50 kW</v>
      </c>
      <c r="E249" s="175" t="str">
        <f>E231</f>
        <v>Street Lights</v>
      </c>
    </row>
    <row r="250" spans="1:9" x14ac:dyDescent="0.2">
      <c r="A250" s="366" t="s">
        <v>165</v>
      </c>
      <c r="B250" s="367"/>
      <c r="C250" s="367"/>
      <c r="D250" s="367"/>
      <c r="E250" s="368"/>
    </row>
    <row r="251" spans="1:9" x14ac:dyDescent="0.2">
      <c r="A251" s="200" t="str">
        <f>A208</f>
        <v>2016 Bridge</v>
      </c>
      <c r="B251" s="165">
        <f>'Rate Class Energy Model'!H42</f>
        <v>6566.0950889679716</v>
      </c>
      <c r="C251" s="165">
        <f>'Rate Class Energy Model'!I42</f>
        <v>21838.59705128205</v>
      </c>
      <c r="D251" s="165">
        <f>'Rate Class Energy Model'!J42</f>
        <v>669026.86842105258</v>
      </c>
      <c r="E251" s="307">
        <f>'Rate Class Energy Model'!L42</f>
        <v>738.79861354581669</v>
      </c>
    </row>
    <row r="252" spans="1:9" x14ac:dyDescent="0.2">
      <c r="A252" s="200" t="str">
        <f>A209</f>
        <v>2017 Test</v>
      </c>
      <c r="B252" s="165">
        <f>'Rate Class Energy Model'!H43</f>
        <v>6566.0950889679716</v>
      </c>
      <c r="C252" s="165">
        <f>'Rate Class Energy Model'!I43</f>
        <v>21838.59705128205</v>
      </c>
      <c r="D252" s="165">
        <f>'Rate Class Energy Model'!J43</f>
        <v>669026.86842105258</v>
      </c>
      <c r="E252" s="307">
        <f>'Rate Class Energy Model'!L43</f>
        <v>738.79861354581669</v>
      </c>
    </row>
    <row r="254" spans="1:9" x14ac:dyDescent="0.2">
      <c r="A254" s="366" t="s">
        <v>191</v>
      </c>
      <c r="B254" s="367"/>
      <c r="C254" s="367"/>
      <c r="D254" s="367"/>
      <c r="E254" s="367"/>
      <c r="F254" s="368"/>
      <c r="I254" s="154"/>
    </row>
    <row r="255" spans="1:9" ht="12.75" customHeight="1" x14ac:dyDescent="0.2">
      <c r="A255" s="201" t="s">
        <v>152</v>
      </c>
      <c r="B255" s="153" t="str">
        <f>B249</f>
        <v>Residential</v>
      </c>
      <c r="C255" s="153" t="str">
        <f>C249</f>
        <v>GS&lt;50 kW</v>
      </c>
      <c r="D255" s="153" t="str">
        <f>D249</f>
        <v>GS&gt;50 kW</v>
      </c>
      <c r="E255" s="153" t="str">
        <f>E249</f>
        <v>Street Lights</v>
      </c>
      <c r="F255" s="142" t="str">
        <f>F206</f>
        <v>Total</v>
      </c>
    </row>
    <row r="256" spans="1:9" x14ac:dyDescent="0.2">
      <c r="A256" s="366" t="s">
        <v>166</v>
      </c>
      <c r="B256" s="367"/>
      <c r="C256" s="367"/>
      <c r="D256" s="367"/>
      <c r="E256" s="367"/>
      <c r="F256" s="368"/>
    </row>
    <row r="257" spans="1:8" x14ac:dyDescent="0.2">
      <c r="A257" s="220" t="str">
        <f>A251</f>
        <v>2016 Bridge</v>
      </c>
      <c r="B257" s="221">
        <f t="shared" ref="B257:E258" si="82">B251*B208/1000000</f>
        <v>9.1741821368629264</v>
      </c>
      <c r="C257" s="221">
        <f t="shared" si="82"/>
        <v>5.0496537536696184</v>
      </c>
      <c r="D257" s="221">
        <f t="shared" si="82"/>
        <v>11.373456763157893</v>
      </c>
      <c r="E257" s="221">
        <f t="shared" si="82"/>
        <v>0.46174913346613544</v>
      </c>
      <c r="F257" s="221">
        <f>SUM(B257:E257)</f>
        <v>26.059041787156573</v>
      </c>
    </row>
    <row r="258" spans="1:8" x14ac:dyDescent="0.2">
      <c r="A258" s="220" t="str">
        <f>A252</f>
        <v>2017 Test</v>
      </c>
      <c r="B258" s="221">
        <f t="shared" si="82"/>
        <v>9.123284623744782</v>
      </c>
      <c r="C258" s="221">
        <f t="shared" si="82"/>
        <v>4.9897939034842063</v>
      </c>
      <c r="D258" s="221">
        <f t="shared" si="82"/>
        <v>11.373456763157893</v>
      </c>
      <c r="E258" s="221">
        <f t="shared" si="82"/>
        <v>0.46174913346613544</v>
      </c>
      <c r="F258" s="221">
        <f>SUM(B258:E258)</f>
        <v>25.948284423853018</v>
      </c>
    </row>
    <row r="260" spans="1:8" x14ac:dyDescent="0.2">
      <c r="B260" s="366" t="s">
        <v>192</v>
      </c>
      <c r="C260" s="367"/>
      <c r="D260" s="367"/>
      <c r="E260" s="368"/>
    </row>
    <row r="261" spans="1:8" ht="25.5" x14ac:dyDescent="0.2">
      <c r="B261" s="153" t="str">
        <f>B255</f>
        <v>Residential</v>
      </c>
      <c r="C261" s="153" t="str">
        <f>C255</f>
        <v>GS&lt;50 kW</v>
      </c>
      <c r="D261" s="153" t="str">
        <f>D255</f>
        <v>GS&gt;50 kW</v>
      </c>
      <c r="E261" s="153" t="str">
        <f>E255</f>
        <v>Street Lights</v>
      </c>
    </row>
    <row r="262" spans="1:8" x14ac:dyDescent="0.2">
      <c r="B262" s="366" t="s">
        <v>167</v>
      </c>
      <c r="C262" s="367"/>
      <c r="D262" s="367"/>
      <c r="E262" s="368"/>
    </row>
    <row r="263" spans="1:8" x14ac:dyDescent="0.2">
      <c r="B263" s="176">
        <f>'Rate Class Energy Model'!H71</f>
        <v>0.8388960051232367</v>
      </c>
      <c r="C263" s="176">
        <f>'Rate Class Energy Model'!I71</f>
        <v>0.8388960051232367</v>
      </c>
      <c r="D263" s="176">
        <f>'Rate Class Energy Model'!J71</f>
        <v>0.6777920102464734</v>
      </c>
      <c r="E263" s="176">
        <f>'Rate Class Energy Model'!M57</f>
        <v>0</v>
      </c>
    </row>
    <row r="264" spans="1:8" x14ac:dyDescent="0.2">
      <c r="B264" s="225"/>
      <c r="C264" s="225"/>
      <c r="D264" s="225"/>
      <c r="E264" s="225"/>
    </row>
    <row r="265" spans="1:8" x14ac:dyDescent="0.2">
      <c r="A265" s="357" t="s">
        <v>231</v>
      </c>
      <c r="B265" s="358"/>
      <c r="C265" s="358"/>
      <c r="D265" s="358"/>
      <c r="E265" s="358"/>
      <c r="F265"/>
    </row>
    <row r="266" spans="1:8" x14ac:dyDescent="0.2">
      <c r="A266" s="226"/>
      <c r="B266" s="226">
        <v>2015</v>
      </c>
      <c r="C266" s="226">
        <v>2016</v>
      </c>
      <c r="D266" s="226">
        <v>2017</v>
      </c>
      <c r="E266"/>
    </row>
    <row r="267" spans="1:8" x14ac:dyDescent="0.2">
      <c r="A267" s="227" t="s">
        <v>228</v>
      </c>
      <c r="B267" s="152">
        <f>'Rate Class Energy Model'!G84</f>
        <v>127219</v>
      </c>
      <c r="C267" s="152">
        <f>'Rate Class Energy Model'!G85</f>
        <v>122129</v>
      </c>
      <c r="D267" s="152">
        <f>'Rate Class Energy Model'!G86</f>
        <v>111685</v>
      </c>
      <c r="E267"/>
      <c r="F267"/>
    </row>
    <row r="268" spans="1:8" x14ac:dyDescent="0.2">
      <c r="A268" s="227" t="s">
        <v>229</v>
      </c>
      <c r="B268" s="152"/>
      <c r="C268" s="152">
        <f>'Rate Class Energy Model'!G87</f>
        <v>147000</v>
      </c>
      <c r="D268" s="152">
        <f>C268</f>
        <v>147000</v>
      </c>
      <c r="E268"/>
      <c r="F268"/>
    </row>
    <row r="269" spans="1:8" x14ac:dyDescent="0.2">
      <c r="A269" s="227" t="s">
        <v>230</v>
      </c>
      <c r="B269" s="152"/>
      <c r="C269" s="152"/>
      <c r="D269" s="152">
        <f>'Rate Class Energy Model'!G88</f>
        <v>402000</v>
      </c>
      <c r="E269"/>
      <c r="F269"/>
    </row>
    <row r="270" spans="1:8" ht="25.5" x14ac:dyDescent="0.2">
      <c r="A270" s="229" t="s">
        <v>295</v>
      </c>
      <c r="B270" s="152">
        <f>B267</f>
        <v>127219</v>
      </c>
      <c r="C270" s="152">
        <f>C268</f>
        <v>147000</v>
      </c>
      <c r="D270" s="152">
        <f>D269</f>
        <v>402000</v>
      </c>
      <c r="E270"/>
      <c r="F270"/>
    </row>
    <row r="271" spans="1:8" ht="25.5" x14ac:dyDescent="0.2">
      <c r="A271" s="229" t="s">
        <v>227</v>
      </c>
      <c r="B271" s="152">
        <f>SUM(B267:B269)</f>
        <v>127219</v>
      </c>
      <c r="C271" s="152">
        <f>SUM(C267:C269)</f>
        <v>269129</v>
      </c>
      <c r="D271" s="152">
        <f>SUM(D267:D269)</f>
        <v>660685</v>
      </c>
      <c r="E271"/>
      <c r="F271"/>
    </row>
    <row r="272" spans="1:8" x14ac:dyDescent="0.2">
      <c r="E272"/>
      <c r="F272"/>
      <c r="G272"/>
      <c r="H272"/>
    </row>
    <row r="273" spans="1:6" customFormat="1" x14ac:dyDescent="0.2">
      <c r="A273" s="357" t="s">
        <v>232</v>
      </c>
      <c r="B273" s="358"/>
      <c r="C273" s="358"/>
      <c r="D273" s="358"/>
      <c r="E273" s="358"/>
    </row>
    <row r="274" spans="1:6" customFormat="1" x14ac:dyDescent="0.2">
      <c r="A274" s="226"/>
      <c r="B274" s="226">
        <v>2015</v>
      </c>
      <c r="C274" s="226">
        <v>2016</v>
      </c>
      <c r="D274" s="226">
        <v>2017</v>
      </c>
      <c r="F274" s="112"/>
    </row>
    <row r="275" spans="1:6" customFormat="1" x14ac:dyDescent="0.2">
      <c r="A275" s="227" t="s">
        <v>228</v>
      </c>
      <c r="B275" s="152">
        <f>'Rate Class Energy Model'!H84</f>
        <v>55215</v>
      </c>
      <c r="C275" s="152">
        <f>'Rate Class Energy Model'!H85</f>
        <v>52402</v>
      </c>
      <c r="D275" s="152">
        <f>'Rate Class Energy Model'!H86</f>
        <v>52000</v>
      </c>
    </row>
    <row r="276" spans="1:6" customFormat="1" x14ac:dyDescent="0.2">
      <c r="A276" s="227" t="s">
        <v>229</v>
      </c>
      <c r="B276" s="152"/>
      <c r="C276" s="152">
        <f>'Rate Class Energy Model'!H87</f>
        <v>57000</v>
      </c>
      <c r="D276" s="152">
        <f>C276</f>
        <v>57000</v>
      </c>
    </row>
    <row r="277" spans="1:6" customFormat="1" x14ac:dyDescent="0.2">
      <c r="A277" s="227" t="s">
        <v>230</v>
      </c>
      <c r="B277" s="152"/>
      <c r="C277" s="152"/>
      <c r="D277" s="152">
        <f>'Rate Class Energy Model'!H88</f>
        <v>97000</v>
      </c>
    </row>
    <row r="278" spans="1:6" customFormat="1" ht="25.5" x14ac:dyDescent="0.2">
      <c r="A278" s="229" t="s">
        <v>295</v>
      </c>
      <c r="B278" s="152">
        <f>B275</f>
        <v>55215</v>
      </c>
      <c r="C278" s="152">
        <f>C276</f>
        <v>57000</v>
      </c>
      <c r="D278" s="152">
        <f>D277</f>
        <v>97000</v>
      </c>
    </row>
    <row r="279" spans="1:6" customFormat="1" ht="25.5" x14ac:dyDescent="0.2">
      <c r="A279" s="229" t="s">
        <v>227</v>
      </c>
      <c r="B279" s="152">
        <f>SUM(B275:B277)</f>
        <v>55215</v>
      </c>
      <c r="C279" s="152">
        <f>SUM(C275:C277)</f>
        <v>109402</v>
      </c>
      <c r="D279" s="152">
        <f>SUM(D275:D277)</f>
        <v>206000</v>
      </c>
    </row>
    <row r="280" spans="1:6" customFormat="1" x14ac:dyDescent="0.2"/>
    <row r="281" spans="1:6" customFormat="1" x14ac:dyDescent="0.2">
      <c r="A281" s="357" t="s">
        <v>233</v>
      </c>
      <c r="B281" s="358"/>
      <c r="C281" s="358"/>
      <c r="D281" s="358"/>
      <c r="E281" s="358"/>
    </row>
    <row r="282" spans="1:6" customFormat="1" x14ac:dyDescent="0.2">
      <c r="A282" s="226"/>
      <c r="B282" s="226">
        <v>2015</v>
      </c>
      <c r="C282" s="226">
        <v>2016</v>
      </c>
      <c r="D282" s="226">
        <v>2017</v>
      </c>
    </row>
    <row r="283" spans="1:6" customFormat="1" x14ac:dyDescent="0.2">
      <c r="A283" s="227" t="s">
        <v>228</v>
      </c>
      <c r="B283" s="152">
        <f>'Rate Class Energy Model'!I84</f>
        <v>72004</v>
      </c>
      <c r="C283" s="152">
        <f>'Rate Class Energy Model'!I85</f>
        <v>69727</v>
      </c>
      <c r="D283" s="152">
        <f>'Rate Class Energy Model'!I86</f>
        <v>59685</v>
      </c>
      <c r="F283" s="112"/>
    </row>
    <row r="284" spans="1:6" customFormat="1" x14ac:dyDescent="0.2">
      <c r="A284" s="227" t="s">
        <v>229</v>
      </c>
      <c r="B284" s="152"/>
      <c r="C284" s="152">
        <f>'Rate Class Energy Model'!I87</f>
        <v>81000</v>
      </c>
      <c r="D284" s="152">
        <f>C284</f>
        <v>81000</v>
      </c>
    </row>
    <row r="285" spans="1:6" customFormat="1" x14ac:dyDescent="0.2">
      <c r="A285" s="227" t="s">
        <v>230</v>
      </c>
      <c r="B285" s="152"/>
      <c r="C285" s="152"/>
      <c r="D285" s="152">
        <f>'Rate Class Energy Model'!I88</f>
        <v>274500</v>
      </c>
    </row>
    <row r="286" spans="1:6" customFormat="1" ht="25.5" x14ac:dyDescent="0.2">
      <c r="A286" s="229" t="s">
        <v>295</v>
      </c>
      <c r="B286" s="152">
        <f>B283</f>
        <v>72004</v>
      </c>
      <c r="C286" s="152">
        <f>C284</f>
        <v>81000</v>
      </c>
      <c r="D286" s="152">
        <f>D285</f>
        <v>274500</v>
      </c>
    </row>
    <row r="287" spans="1:6" customFormat="1" ht="25.5" x14ac:dyDescent="0.2">
      <c r="A287" s="229" t="s">
        <v>227</v>
      </c>
      <c r="B287" s="152">
        <f>SUM(B283:B285)</f>
        <v>72004</v>
      </c>
      <c r="C287" s="152">
        <f>SUM(C283:C285)</f>
        <v>150727</v>
      </c>
      <c r="D287" s="152">
        <f>SUM(D283:D285)</f>
        <v>415185</v>
      </c>
    </row>
    <row r="288" spans="1:6" customFormat="1" x14ac:dyDescent="0.2"/>
    <row r="289" spans="1:9" customFormat="1" x14ac:dyDescent="0.2">
      <c r="A289" s="357" t="s">
        <v>234</v>
      </c>
      <c r="B289" s="358"/>
      <c r="C289" s="358"/>
      <c r="D289" s="358"/>
      <c r="E289" s="358"/>
    </row>
    <row r="290" spans="1:9" customFormat="1" x14ac:dyDescent="0.2">
      <c r="A290" s="226"/>
      <c r="B290" s="226">
        <v>2015</v>
      </c>
      <c r="C290" s="226">
        <v>2016</v>
      </c>
      <c r="D290" s="226">
        <v>2017</v>
      </c>
      <c r="F290" s="112"/>
      <c r="G290" s="94"/>
      <c r="H290" s="94"/>
      <c r="I290" s="94"/>
    </row>
    <row r="291" spans="1:9" customFormat="1" x14ac:dyDescent="0.2">
      <c r="A291" s="227" t="s">
        <v>228</v>
      </c>
      <c r="B291" s="152">
        <f>'Rate Class Energy Model'!J85</f>
        <v>0</v>
      </c>
      <c r="C291" s="152">
        <f>B291</f>
        <v>0</v>
      </c>
      <c r="D291" s="152">
        <f>C291</f>
        <v>0</v>
      </c>
      <c r="G291" s="94"/>
      <c r="H291" s="94"/>
      <c r="I291" s="94"/>
    </row>
    <row r="292" spans="1:9" customFormat="1" x14ac:dyDescent="0.2">
      <c r="A292" s="227" t="s">
        <v>229</v>
      </c>
      <c r="B292" s="152"/>
      <c r="C292" s="152">
        <f>'Rate Class Energy Model'!J87</f>
        <v>9000</v>
      </c>
      <c r="D292" s="152">
        <f>C292</f>
        <v>9000</v>
      </c>
      <c r="G292" s="94"/>
      <c r="H292" s="94"/>
      <c r="I292" s="94"/>
    </row>
    <row r="293" spans="1:9" customFormat="1" x14ac:dyDescent="0.2">
      <c r="A293" s="227" t="s">
        <v>230</v>
      </c>
      <c r="B293" s="152"/>
      <c r="C293" s="152"/>
      <c r="D293" s="152">
        <f>'Rate Class Energy Model'!J88</f>
        <v>30500</v>
      </c>
      <c r="G293" s="94"/>
      <c r="H293" s="94"/>
      <c r="I293" s="94"/>
    </row>
    <row r="294" spans="1:9" customFormat="1" ht="25.5" x14ac:dyDescent="0.2">
      <c r="A294" s="229" t="s">
        <v>295</v>
      </c>
      <c r="B294" s="152">
        <f>B291</f>
        <v>0</v>
      </c>
      <c r="C294" s="152">
        <f>C292</f>
        <v>9000</v>
      </c>
      <c r="D294" s="152">
        <f>D293</f>
        <v>30500</v>
      </c>
      <c r="G294" s="94"/>
      <c r="H294" s="94"/>
      <c r="I294" s="94"/>
    </row>
    <row r="295" spans="1:9" customFormat="1" ht="25.5" x14ac:dyDescent="0.2">
      <c r="A295" s="229" t="s">
        <v>227</v>
      </c>
      <c r="B295" s="152">
        <f>SUM(B291:B293)</f>
        <v>0</v>
      </c>
      <c r="C295" s="152">
        <f>SUM(C291:C293)</f>
        <v>9000</v>
      </c>
      <c r="D295" s="152">
        <f>SUM(D291:D293)</f>
        <v>39500</v>
      </c>
      <c r="G295" s="94"/>
      <c r="H295" s="94"/>
      <c r="I295" s="94"/>
    </row>
    <row r="296" spans="1:9" customFormat="1" x14ac:dyDescent="0.2"/>
    <row r="297" spans="1:9" customFormat="1" x14ac:dyDescent="0.2">
      <c r="A297" s="357" t="s">
        <v>289</v>
      </c>
      <c r="B297" s="358"/>
      <c r="C297" s="358"/>
      <c r="D297" s="358"/>
      <c r="E297" s="358"/>
      <c r="F297" s="112"/>
    </row>
    <row r="298" spans="1:9" customFormat="1" x14ac:dyDescent="0.2">
      <c r="A298" s="230" t="s">
        <v>152</v>
      </c>
      <c r="B298" s="226" t="str">
        <f>B231</f>
        <v>Residential</v>
      </c>
      <c r="C298" s="226" t="str">
        <f t="shared" ref="C298:D298" si="83">C231</f>
        <v>GS&lt;50 kW</v>
      </c>
      <c r="D298" s="226" t="str">
        <f t="shared" si="83"/>
        <v>GS&gt;50 kW</v>
      </c>
      <c r="E298" s="226" t="s">
        <v>10</v>
      </c>
      <c r="F298" s="112"/>
    </row>
    <row r="299" spans="1:9" customFormat="1" x14ac:dyDescent="0.2">
      <c r="A299" s="227" t="str">
        <f>A251</f>
        <v>2016 Bridge</v>
      </c>
      <c r="B299" s="152">
        <f>C275*0.5+C276*0.5</f>
        <v>54701</v>
      </c>
      <c r="C299" s="152">
        <f>C283* 0.5 + C284* 0.5</f>
        <v>75363.5</v>
      </c>
      <c r="D299" s="152">
        <f>C291*0.5 + C292* 0.5</f>
        <v>4500</v>
      </c>
      <c r="E299" s="152">
        <f>SUM(B299:D299)</f>
        <v>134564.5</v>
      </c>
    </row>
    <row r="300" spans="1:9" customFormat="1" x14ac:dyDescent="0.2">
      <c r="A300" s="227" t="str">
        <f>A252</f>
        <v>2017 Test</v>
      </c>
      <c r="B300" s="152">
        <f>D275*0.5+D276+D277*0.5</f>
        <v>131500</v>
      </c>
      <c r="C300" s="152">
        <f>D283*0.5 +D284+ D285*0.5</f>
        <v>248092.5</v>
      </c>
      <c r="D300" s="152">
        <f>D291*0.5+D292+D293*0.5</f>
        <v>24250</v>
      </c>
      <c r="E300" s="152">
        <f>SUM(B300:D300)</f>
        <v>403842.5</v>
      </c>
    </row>
    <row r="301" spans="1:9" customFormat="1" x14ac:dyDescent="0.2"/>
    <row r="302" spans="1:9" customFormat="1" x14ac:dyDescent="0.2">
      <c r="A302" s="339" t="s">
        <v>238</v>
      </c>
      <c r="B302" s="340"/>
      <c r="C302" s="340"/>
      <c r="D302" s="340"/>
      <c r="E302" s="340"/>
    </row>
    <row r="303" spans="1:9" customFormat="1" x14ac:dyDescent="0.2">
      <c r="A303" s="230" t="s">
        <v>152</v>
      </c>
      <c r="B303" s="226" t="str">
        <f>B298</f>
        <v>Residential</v>
      </c>
      <c r="C303" s="226" t="str">
        <f t="shared" ref="C303:D303" si="84">C298</f>
        <v>GS&lt;50 kW</v>
      </c>
      <c r="D303" s="226" t="str">
        <f t="shared" si="84"/>
        <v>GS&gt;50 kW</v>
      </c>
      <c r="E303" s="226" t="s">
        <v>10</v>
      </c>
    </row>
    <row r="304" spans="1:9" customFormat="1" x14ac:dyDescent="0.2">
      <c r="A304" s="227" t="s">
        <v>235</v>
      </c>
      <c r="B304" s="152">
        <f>D279</f>
        <v>206000</v>
      </c>
      <c r="C304" s="152">
        <f>D287</f>
        <v>415185</v>
      </c>
      <c r="D304" s="152">
        <f>D295</f>
        <v>39500</v>
      </c>
      <c r="E304" s="152">
        <f>SUM(B304:D304)</f>
        <v>660685</v>
      </c>
      <c r="F304" s="112"/>
    </row>
    <row r="305" spans="1:9" customFormat="1" x14ac:dyDescent="0.2">
      <c r="A305" s="227" t="s">
        <v>236</v>
      </c>
      <c r="B305" s="152"/>
      <c r="C305" s="152"/>
      <c r="D305" s="152">
        <f>D304*B358</f>
        <v>111.84617629501263</v>
      </c>
      <c r="E305" s="152">
        <f>SUM(B305:D305)</f>
        <v>111.84617629501263</v>
      </c>
    </row>
    <row r="306" spans="1:9" x14ac:dyDescent="0.2">
      <c r="A306" s="227" t="s">
        <v>237</v>
      </c>
      <c r="B306" s="152"/>
      <c r="C306" s="152"/>
      <c r="D306" s="152">
        <f>D305/12</f>
        <v>9.3205146912510521</v>
      </c>
      <c r="E306" s="152">
        <f>SUM(B306:D306)</f>
        <v>9.3205146912510521</v>
      </c>
    </row>
    <row r="307" spans="1:9" x14ac:dyDescent="0.2">
      <c r="B307" s="225"/>
      <c r="C307" s="225"/>
      <c r="D307" s="225"/>
      <c r="E307" s="225"/>
    </row>
    <row r="309" spans="1:9" x14ac:dyDescent="0.2">
      <c r="A309" s="366" t="s">
        <v>239</v>
      </c>
      <c r="B309" s="367"/>
      <c r="C309" s="367"/>
      <c r="D309" s="367"/>
      <c r="E309" s="367"/>
      <c r="F309" s="368"/>
      <c r="I309" s="154"/>
    </row>
    <row r="310" spans="1:9" ht="12.75" customHeight="1" x14ac:dyDescent="0.2">
      <c r="A310" s="201" t="s">
        <v>152</v>
      </c>
      <c r="B310" s="153" t="str">
        <f>B261</f>
        <v>Residential</v>
      </c>
      <c r="C310" s="153" t="str">
        <f>C261</f>
        <v>GS&lt;50 kW</v>
      </c>
      <c r="D310" s="153" t="str">
        <f>D261</f>
        <v>GS&gt;50 kW</v>
      </c>
      <c r="E310" s="153" t="str">
        <f>E261</f>
        <v>Street Lights</v>
      </c>
      <c r="F310" s="142" t="str">
        <f>F255</f>
        <v>Total</v>
      </c>
    </row>
    <row r="311" spans="1:9" x14ac:dyDescent="0.2">
      <c r="A311" s="366" t="s">
        <v>169</v>
      </c>
      <c r="B311" s="367"/>
      <c r="C311" s="367"/>
      <c r="D311" s="367"/>
      <c r="E311" s="367"/>
      <c r="F311" s="368"/>
    </row>
    <row r="312" spans="1:9" x14ac:dyDescent="0.2">
      <c r="A312" s="220" t="str">
        <f>A299</f>
        <v>2016 Bridge</v>
      </c>
      <c r="B312" s="221">
        <f t="shared" ref="B312:E313" si="85">B257</f>
        <v>9.1741821368629264</v>
      </c>
      <c r="C312" s="221">
        <f t="shared" si="85"/>
        <v>5.0496537536696184</v>
      </c>
      <c r="D312" s="221">
        <f t="shared" si="85"/>
        <v>11.373456763157893</v>
      </c>
      <c r="E312" s="221">
        <f t="shared" si="85"/>
        <v>0.46174913346613544</v>
      </c>
      <c r="F312" s="221">
        <f>SUM(B312:E312)</f>
        <v>26.059041787156573</v>
      </c>
    </row>
    <row r="313" spans="1:9" x14ac:dyDescent="0.2">
      <c r="A313" s="220" t="str">
        <f>A300</f>
        <v>2017 Test</v>
      </c>
      <c r="B313" s="221">
        <f t="shared" si="85"/>
        <v>9.123284623744782</v>
      </c>
      <c r="C313" s="221">
        <f t="shared" si="85"/>
        <v>4.9897939034842063</v>
      </c>
      <c r="D313" s="221">
        <f t="shared" si="85"/>
        <v>11.373456763157893</v>
      </c>
      <c r="E313" s="221">
        <f t="shared" si="85"/>
        <v>0.46174913346613544</v>
      </c>
      <c r="F313" s="221">
        <f>SUM(B313:E313)</f>
        <v>25.948284423853018</v>
      </c>
    </row>
    <row r="314" spans="1:9" x14ac:dyDescent="0.2">
      <c r="A314" s="366" t="s">
        <v>193</v>
      </c>
      <c r="B314" s="367"/>
      <c r="C314" s="367"/>
      <c r="D314" s="367"/>
      <c r="E314" s="367"/>
      <c r="F314" s="368"/>
    </row>
    <row r="315" spans="1:9" x14ac:dyDescent="0.2">
      <c r="A315" s="200" t="str">
        <f>A251</f>
        <v>2016 Bridge</v>
      </c>
      <c r="B315" s="231">
        <f>'Rate Class Energy Model'!H76/1000000</f>
        <v>0.50107323828466832</v>
      </c>
      <c r="C315" s="231">
        <f>'Rate Class Energy Model'!I76/1000000</f>
        <v>0.27580075485974309</v>
      </c>
      <c r="D315" s="231">
        <f>'Rate Class Energy Model'!J76/1000000</f>
        <v>0.50189705805152296</v>
      </c>
      <c r="E315" s="231">
        <f>'Rate Class Energy Model'!K76/1000000</f>
        <v>0</v>
      </c>
      <c r="F315" s="221">
        <f>SUM(B315:E315)</f>
        <v>1.2787710511959345</v>
      </c>
    </row>
    <row r="316" spans="1:9" x14ac:dyDescent="0.2">
      <c r="A316" s="200" t="str">
        <f>A252</f>
        <v>2017 Test</v>
      </c>
      <c r="B316" s="231">
        <f>'Rate Class Energy Model'!H77/1000000</f>
        <v>0.69036190621775029</v>
      </c>
      <c r="C316" s="231">
        <f>'Rate Class Energy Model'!I77/1000000</f>
        <v>0.37757932289841395</v>
      </c>
      <c r="D316" s="231">
        <f>'Rate Class Energy Model'!J77/1000000</f>
        <v>0.69535470097168905</v>
      </c>
      <c r="E316" s="231">
        <f>'Rate Class Energy Model'!K77/1000000</f>
        <v>0</v>
      </c>
      <c r="F316" s="221">
        <f>SUM(B316:E316)</f>
        <v>1.7632959300878532</v>
      </c>
    </row>
    <row r="317" spans="1:9" x14ac:dyDescent="0.2">
      <c r="A317" s="366" t="s">
        <v>194</v>
      </c>
      <c r="B317" s="367"/>
      <c r="C317" s="367"/>
      <c r="D317" s="367"/>
      <c r="E317" s="367"/>
      <c r="F317" s="368"/>
    </row>
    <row r="318" spans="1:9" ht="15" customHeight="1" x14ac:dyDescent="0.2">
      <c r="A318" s="200" t="str">
        <f>A315</f>
        <v>2016 Bridge</v>
      </c>
      <c r="B318" s="232">
        <f>-B299/1000000</f>
        <v>-5.4701E-2</v>
      </c>
      <c r="C318" s="232">
        <f t="shared" ref="C318:D318" si="86">-C299/1000000</f>
        <v>-7.53635E-2</v>
      </c>
      <c r="D318" s="232">
        <f t="shared" si="86"/>
        <v>-4.4999999999999997E-3</v>
      </c>
      <c r="E318" s="232"/>
      <c r="F318" s="231">
        <f>SUM(B318:E318)</f>
        <v>-0.1345645</v>
      </c>
    </row>
    <row r="319" spans="1:9" x14ac:dyDescent="0.2">
      <c r="A319" s="200" t="str">
        <f>A316</f>
        <v>2017 Test</v>
      </c>
      <c r="B319" s="232">
        <f>-B300/1000000</f>
        <v>-0.13150000000000001</v>
      </c>
      <c r="C319" s="232">
        <f t="shared" ref="C319:D319" si="87">-C300/1000000</f>
        <v>-0.24809249999999999</v>
      </c>
      <c r="D319" s="232">
        <f t="shared" si="87"/>
        <v>-2.4250000000000001E-2</v>
      </c>
      <c r="E319" s="232"/>
      <c r="F319" s="231">
        <f>SUM(B319:E319)</f>
        <v>-0.40384249999999999</v>
      </c>
    </row>
    <row r="320" spans="1:9" x14ac:dyDescent="0.2">
      <c r="A320" s="366" t="s">
        <v>170</v>
      </c>
      <c r="B320" s="367"/>
      <c r="C320" s="367"/>
      <c r="D320" s="367"/>
      <c r="E320" s="367"/>
      <c r="F320" s="368"/>
    </row>
    <row r="321" spans="1:8" x14ac:dyDescent="0.2">
      <c r="A321" s="223" t="str">
        <f>A318</f>
        <v>2016 Bridge</v>
      </c>
      <c r="B321" s="233">
        <f>B312+B315+B318</f>
        <v>9.620554375147595</v>
      </c>
      <c r="C321" s="233">
        <f t="shared" ref="C321:E321" si="88">C312+C315+C318</f>
        <v>5.2500910085293615</v>
      </c>
      <c r="D321" s="233">
        <f t="shared" si="88"/>
        <v>11.870853821209415</v>
      </c>
      <c r="E321" s="233">
        <f t="shared" si="88"/>
        <v>0.46174913346613544</v>
      </c>
      <c r="F321" s="233">
        <f>F312+F315+F318</f>
        <v>27.203248338352509</v>
      </c>
    </row>
    <row r="322" spans="1:8" x14ac:dyDescent="0.2">
      <c r="A322" s="223" t="str">
        <f>A319</f>
        <v>2017 Test</v>
      </c>
      <c r="B322" s="233">
        <f>B313+B316+B319</f>
        <v>9.682146529962532</v>
      </c>
      <c r="C322" s="233">
        <f t="shared" ref="C322:E322" si="89">C313+C316+C319</f>
        <v>5.1192807263826197</v>
      </c>
      <c r="D322" s="233">
        <f t="shared" si="89"/>
        <v>12.044561464129583</v>
      </c>
      <c r="E322" s="233">
        <f t="shared" si="89"/>
        <v>0.46174913346613544</v>
      </c>
      <c r="F322" s="233">
        <f>F313+F316+F319</f>
        <v>27.307737853940871</v>
      </c>
    </row>
    <row r="324" spans="1:8" x14ac:dyDescent="0.2">
      <c r="A324" s="366" t="s">
        <v>241</v>
      </c>
      <c r="B324" s="367"/>
      <c r="C324" s="367"/>
      <c r="D324" s="368"/>
      <c r="F324" s="151"/>
    </row>
    <row r="325" spans="1:8" ht="25.5" x14ac:dyDescent="0.2">
      <c r="A325" s="235" t="s">
        <v>152</v>
      </c>
      <c r="B325" s="175" t="str">
        <f>D310</f>
        <v>GS&gt;50 kW</v>
      </c>
      <c r="C325" s="175" t="str">
        <f>E310</f>
        <v>Street Lights</v>
      </c>
      <c r="D325" s="175" t="str">
        <f>F310</f>
        <v>Total</v>
      </c>
      <c r="E325" s="175" t="str">
        <f>B325</f>
        <v>GS&gt;50 kW</v>
      </c>
      <c r="F325" s="175" t="str">
        <f>C325</f>
        <v>Street Lights</v>
      </c>
      <c r="G325" s="175" t="str">
        <f>D325</f>
        <v>Total</v>
      </c>
    </row>
    <row r="326" spans="1:8" x14ac:dyDescent="0.2">
      <c r="A326" s="364" t="s">
        <v>171</v>
      </c>
      <c r="B326" s="364"/>
      <c r="C326" s="364"/>
      <c r="D326" s="364"/>
      <c r="E326" s="364"/>
      <c r="F326" s="364"/>
      <c r="G326" s="364"/>
    </row>
    <row r="327" spans="1:8" x14ac:dyDescent="0.2">
      <c r="A327" s="234"/>
      <c r="B327" s="365" t="s">
        <v>240</v>
      </c>
      <c r="C327" s="365"/>
      <c r="D327" s="365"/>
      <c r="E327" s="350" t="s">
        <v>67</v>
      </c>
      <c r="F327" s="350"/>
      <c r="G327" s="350"/>
      <c r="H327" s="112" t="s">
        <v>290</v>
      </c>
    </row>
    <row r="328" spans="1:8" x14ac:dyDescent="0.2">
      <c r="A328" s="137">
        <f>A233</f>
        <v>2003</v>
      </c>
      <c r="B328" s="165">
        <f>'Rate Class Load Model'!B2</f>
        <v>20708.099999999999</v>
      </c>
      <c r="C328" s="165">
        <f>'Rate Class Load Model'!D2</f>
        <v>1601.2</v>
      </c>
      <c r="D328" s="165">
        <f>SUM(B328:C328)</f>
        <v>22309.3</v>
      </c>
      <c r="E328" s="165">
        <f>B328*F150</f>
        <v>20667.679463125682</v>
      </c>
      <c r="F328" s="165">
        <f>C328*F150</f>
        <v>1598.0745870628809</v>
      </c>
      <c r="G328" s="165">
        <f>E328+F328</f>
        <v>22265.754050188563</v>
      </c>
    </row>
    <row r="329" spans="1:8" x14ac:dyDescent="0.2">
      <c r="A329" s="223">
        <f t="shared" ref="A329:A340" si="90">A234</f>
        <v>2004</v>
      </c>
      <c r="B329" s="165">
        <f>'Rate Class Load Model'!B3</f>
        <v>16243.6</v>
      </c>
      <c r="C329" s="165">
        <f>'Rate Class Load Model'!D3</f>
        <v>956.2</v>
      </c>
      <c r="D329" s="165">
        <f t="shared" ref="D329:D340" si="91">SUM(B329:C329)</f>
        <v>17199.8</v>
      </c>
      <c r="E329" s="165">
        <f t="shared" ref="E329:E340" si="92">B329*F151</f>
        <v>16138.781150969964</v>
      </c>
      <c r="F329" s="165">
        <f t="shared" ref="F329:F340" si="93">C329*F151</f>
        <v>950.02970625707849</v>
      </c>
      <c r="G329" s="165">
        <f t="shared" ref="G329:G340" si="94">E329+F329</f>
        <v>17088.810857227043</v>
      </c>
    </row>
    <row r="330" spans="1:8" x14ac:dyDescent="0.2">
      <c r="A330" s="223">
        <f t="shared" si="90"/>
        <v>2005</v>
      </c>
      <c r="B330" s="165">
        <f>'Rate Class Load Model'!B4</f>
        <v>20152.599999999999</v>
      </c>
      <c r="C330" s="165">
        <f>'Rate Class Load Model'!D4</f>
        <v>1511.5</v>
      </c>
      <c r="D330" s="165">
        <f t="shared" si="91"/>
        <v>21664.1</v>
      </c>
      <c r="E330" s="165">
        <f t="shared" si="92"/>
        <v>20097.168749267916</v>
      </c>
      <c r="F330" s="165">
        <f t="shared" si="93"/>
        <v>1507.3425049134335</v>
      </c>
      <c r="G330" s="165">
        <f t="shared" si="94"/>
        <v>21604.511254181351</v>
      </c>
    </row>
    <row r="331" spans="1:8" x14ac:dyDescent="0.2">
      <c r="A331" s="223">
        <f t="shared" si="90"/>
        <v>2006</v>
      </c>
      <c r="B331" s="165">
        <f>'Rate Class Load Model'!B5</f>
        <v>18816.900000000001</v>
      </c>
      <c r="C331" s="165">
        <f>'Rate Class Load Model'!D5</f>
        <v>1462.4</v>
      </c>
      <c r="D331" s="165">
        <f t="shared" si="91"/>
        <v>20279.300000000003</v>
      </c>
      <c r="E331" s="165">
        <f t="shared" si="92"/>
        <v>18943.062406445504</v>
      </c>
      <c r="F331" s="165">
        <f t="shared" si="93"/>
        <v>1472.2050105589076</v>
      </c>
      <c r="G331" s="165">
        <f t="shared" si="94"/>
        <v>20415.267417004412</v>
      </c>
    </row>
    <row r="332" spans="1:8" x14ac:dyDescent="0.2">
      <c r="A332" s="223">
        <f t="shared" si="90"/>
        <v>2007</v>
      </c>
      <c r="B332" s="165">
        <f>'Rate Class Load Model'!B6</f>
        <v>18838.400000000001</v>
      </c>
      <c r="C332" s="165">
        <f>'Rate Class Load Model'!D6</f>
        <v>1453.9</v>
      </c>
      <c r="D332" s="165">
        <f t="shared" si="91"/>
        <v>20292.300000000003</v>
      </c>
      <c r="E332" s="165">
        <f t="shared" si="92"/>
        <v>18767.478799312354</v>
      </c>
      <c r="F332" s="165">
        <f t="shared" si="93"/>
        <v>1448.4264813529933</v>
      </c>
      <c r="G332" s="165">
        <f t="shared" si="94"/>
        <v>20215.905280665345</v>
      </c>
    </row>
    <row r="333" spans="1:8" x14ac:dyDescent="0.2">
      <c r="A333" s="223">
        <f t="shared" si="90"/>
        <v>2008</v>
      </c>
      <c r="B333" s="165">
        <f>'Rate Class Load Model'!B7</f>
        <v>18111</v>
      </c>
      <c r="C333" s="165">
        <f>'Rate Class Load Model'!D7</f>
        <v>1458.6</v>
      </c>
      <c r="D333" s="165">
        <f t="shared" si="91"/>
        <v>19569.599999999999</v>
      </c>
      <c r="E333" s="165">
        <f t="shared" si="92"/>
        <v>17836.859022827281</v>
      </c>
      <c r="F333" s="165">
        <f t="shared" si="93"/>
        <v>1436.5215929929807</v>
      </c>
      <c r="G333" s="165">
        <f t="shared" si="94"/>
        <v>19273.380615820261</v>
      </c>
    </row>
    <row r="334" spans="1:8" x14ac:dyDescent="0.2">
      <c r="A334" s="223">
        <f t="shared" si="90"/>
        <v>2009</v>
      </c>
      <c r="B334" s="165">
        <f>'Rate Class Load Model'!B8</f>
        <v>21388.390000000003</v>
      </c>
      <c r="C334" s="165">
        <f>'Rate Class Load Model'!D8</f>
        <v>1040.5999999999999</v>
      </c>
      <c r="D334" s="165">
        <f t="shared" si="91"/>
        <v>22428.99</v>
      </c>
      <c r="E334" s="165">
        <f t="shared" si="92"/>
        <v>21292.901713103984</v>
      </c>
      <c r="F334" s="165">
        <f t="shared" si="93"/>
        <v>1035.9542500700613</v>
      </c>
      <c r="G334" s="165">
        <f t="shared" si="94"/>
        <v>22328.855963174046</v>
      </c>
    </row>
    <row r="335" spans="1:8" x14ac:dyDescent="0.2">
      <c r="A335" s="223">
        <f t="shared" si="90"/>
        <v>2010</v>
      </c>
      <c r="B335" s="165">
        <f>'Rate Class Load Model'!B9</f>
        <v>22208.129999999997</v>
      </c>
      <c r="C335" s="165">
        <f>'Rate Class Load Model'!D9</f>
        <v>1449.25</v>
      </c>
      <c r="D335" s="165">
        <f t="shared" si="91"/>
        <v>23657.379999999997</v>
      </c>
      <c r="E335" s="165">
        <f t="shared" si="92"/>
        <v>23022.596276128752</v>
      </c>
      <c r="F335" s="165">
        <f t="shared" si="93"/>
        <v>1502.4001414427778</v>
      </c>
      <c r="G335" s="165">
        <f t="shared" si="94"/>
        <v>24524.996417571529</v>
      </c>
    </row>
    <row r="336" spans="1:8" x14ac:dyDescent="0.2">
      <c r="A336" s="223">
        <f t="shared" si="90"/>
        <v>2011</v>
      </c>
      <c r="B336" s="165">
        <f>'Rate Class Load Model'!B10</f>
        <v>20693.859999999997</v>
      </c>
      <c r="C336" s="165">
        <f>'Rate Class Load Model'!D10</f>
        <v>1450.33</v>
      </c>
      <c r="D336" s="165">
        <f t="shared" si="91"/>
        <v>22144.189999999995</v>
      </c>
      <c r="E336" s="165">
        <f t="shared" si="92"/>
        <v>20778.701761734967</v>
      </c>
      <c r="F336" s="165">
        <f t="shared" si="93"/>
        <v>1456.2761382408635</v>
      </c>
      <c r="G336" s="165">
        <f t="shared" si="94"/>
        <v>22234.977899975831</v>
      </c>
    </row>
    <row r="337" spans="1:7" x14ac:dyDescent="0.2">
      <c r="A337" s="223">
        <f t="shared" si="90"/>
        <v>2012</v>
      </c>
      <c r="B337" s="165">
        <f>'Rate Class Load Model'!B11</f>
        <v>22334.590000000004</v>
      </c>
      <c r="C337" s="165">
        <f>'Rate Class Load Model'!D11</f>
        <v>1450</v>
      </c>
      <c r="D337" s="165">
        <f t="shared" si="91"/>
        <v>23784.590000000004</v>
      </c>
      <c r="E337" s="165">
        <f t="shared" si="92"/>
        <v>22863.952479501731</v>
      </c>
      <c r="F337" s="165">
        <f t="shared" si="93"/>
        <v>1484.3671227131326</v>
      </c>
      <c r="G337" s="165">
        <f t="shared" si="94"/>
        <v>24348.319602214862</v>
      </c>
    </row>
    <row r="338" spans="1:7" x14ac:dyDescent="0.2">
      <c r="A338" s="223">
        <f t="shared" si="90"/>
        <v>2013</v>
      </c>
      <c r="B338" s="165">
        <f>'Rate Class Load Model'!B12</f>
        <v>21680</v>
      </c>
      <c r="C338" s="165">
        <f>'Rate Class Load Model'!D12</f>
        <v>1450</v>
      </c>
      <c r="D338" s="165">
        <f t="shared" si="91"/>
        <v>23130</v>
      </c>
      <c r="E338" s="165">
        <f t="shared" si="92"/>
        <v>21350.029721897321</v>
      </c>
      <c r="F338" s="165">
        <f t="shared" si="93"/>
        <v>1427.9309546471916</v>
      </c>
      <c r="G338" s="165">
        <f t="shared" si="94"/>
        <v>22777.960676544513</v>
      </c>
    </row>
    <row r="339" spans="1:7" x14ac:dyDescent="0.2">
      <c r="A339" s="223">
        <f t="shared" si="90"/>
        <v>2014</v>
      </c>
      <c r="B339" s="165">
        <f>'Rate Class Load Model'!B13</f>
        <v>24636</v>
      </c>
      <c r="C339" s="165">
        <f>'Rate Class Load Model'!D13</f>
        <v>1455</v>
      </c>
      <c r="D339" s="165">
        <f t="shared" si="91"/>
        <v>26091</v>
      </c>
      <c r="E339" s="165">
        <f t="shared" si="92"/>
        <v>24264.046096740465</v>
      </c>
      <c r="F339" s="165">
        <f t="shared" si="93"/>
        <v>1433.0324350851347</v>
      </c>
      <c r="G339" s="165">
        <f t="shared" si="94"/>
        <v>25697.078531825598</v>
      </c>
    </row>
    <row r="340" spans="1:7" x14ac:dyDescent="0.2">
      <c r="A340" s="223">
        <f t="shared" si="90"/>
        <v>2015</v>
      </c>
      <c r="B340" s="165">
        <f>'Rate Class Load Model'!B14</f>
        <v>50899</v>
      </c>
      <c r="C340" s="165">
        <f>'Rate Class Load Model'!D14</f>
        <v>1436.01</v>
      </c>
      <c r="D340" s="165">
        <f t="shared" si="91"/>
        <v>52335.01</v>
      </c>
      <c r="E340" s="165">
        <f t="shared" si="92"/>
        <v>51095.189860998733</v>
      </c>
      <c r="F340" s="165">
        <f t="shared" si="93"/>
        <v>1441.5450911077387</v>
      </c>
      <c r="G340" s="165">
        <f t="shared" si="94"/>
        <v>52536.734952106475</v>
      </c>
    </row>
    <row r="341" spans="1:7" x14ac:dyDescent="0.2">
      <c r="A341" s="146"/>
      <c r="B341" s="171"/>
      <c r="C341" s="171"/>
      <c r="D341" s="171"/>
    </row>
    <row r="342" spans="1:7" ht="27.75" customHeight="1" x14ac:dyDescent="0.2">
      <c r="A342" s="361" t="s">
        <v>244</v>
      </c>
      <c r="B342" s="362"/>
      <c r="C342" s="363"/>
      <c r="E342" s="151"/>
    </row>
    <row r="343" spans="1:7" ht="25.5" x14ac:dyDescent="0.2">
      <c r="A343" s="201" t="s">
        <v>152</v>
      </c>
      <c r="B343" s="153" t="str">
        <f>B325</f>
        <v>GS&gt;50 kW</v>
      </c>
      <c r="C343" s="153" t="str">
        <f>C325</f>
        <v>Street Lights</v>
      </c>
    </row>
    <row r="344" spans="1:7" x14ac:dyDescent="0.2">
      <c r="A344" s="178" t="s">
        <v>172</v>
      </c>
      <c r="B344" s="179"/>
      <c r="C344" s="179"/>
    </row>
    <row r="345" spans="1:7" x14ac:dyDescent="0.2">
      <c r="A345" s="137">
        <f>A328</f>
        <v>2003</v>
      </c>
      <c r="B345" s="180">
        <f>'Rate Class Load Model'!B19</f>
        <v>2.7620612865925801E-3</v>
      </c>
      <c r="C345" s="180">
        <f>'Rate Class Load Model'!D19</f>
        <v>2.9830676008060181E-3</v>
      </c>
    </row>
    <row r="346" spans="1:7" x14ac:dyDescent="0.2">
      <c r="A346" s="223">
        <f t="shared" ref="A346:A356" si="95">A329</f>
        <v>2004</v>
      </c>
      <c r="B346" s="180">
        <f>'Rate Class Load Model'!B20</f>
        <v>2.2699168659507298E-3</v>
      </c>
      <c r="C346" s="180">
        <f>'Rate Class Load Model'!D20</f>
        <v>1.8386658231596517E-3</v>
      </c>
    </row>
    <row r="347" spans="1:7" x14ac:dyDescent="0.2">
      <c r="A347" s="223">
        <f t="shared" si="95"/>
        <v>2005</v>
      </c>
      <c r="B347" s="180">
        <f>'Rate Class Load Model'!B21</f>
        <v>2.7905876690216742E-3</v>
      </c>
      <c r="C347" s="180">
        <f>'Rate Class Load Model'!D21</f>
        <v>2.9882821381193294E-3</v>
      </c>
    </row>
    <row r="348" spans="1:7" x14ac:dyDescent="0.2">
      <c r="A348" s="223">
        <f t="shared" si="95"/>
        <v>2006</v>
      </c>
      <c r="B348" s="180">
        <f>'Rate Class Load Model'!B22</f>
        <v>2.7134203626286331E-3</v>
      </c>
      <c r="C348" s="180">
        <f>'Rate Class Load Model'!D22</f>
        <v>3.0010691719355707E-3</v>
      </c>
    </row>
    <row r="349" spans="1:7" x14ac:dyDescent="0.2">
      <c r="A349" s="223">
        <f t="shared" si="95"/>
        <v>2007</v>
      </c>
      <c r="B349" s="180">
        <f>'Rate Class Load Model'!B23</f>
        <v>2.6086500155853769E-3</v>
      </c>
      <c r="C349" s="180">
        <f>'Rate Class Load Model'!D23</f>
        <v>2.8610898471553422E-3</v>
      </c>
    </row>
    <row r="350" spans="1:7" x14ac:dyDescent="0.2">
      <c r="A350" s="223">
        <f t="shared" si="95"/>
        <v>2008</v>
      </c>
      <c r="B350" s="180">
        <f>'Rate Class Load Model'!B24</f>
        <v>2.513247943129075E-3</v>
      </c>
      <c r="C350" s="180">
        <f>'Rate Class Load Model'!D24</f>
        <v>2.9832003239674558E-3</v>
      </c>
    </row>
    <row r="351" spans="1:7" x14ac:dyDescent="0.2">
      <c r="A351" s="223">
        <f t="shared" si="95"/>
        <v>2009</v>
      </c>
      <c r="B351" s="180">
        <f>'Rate Class Load Model'!B25</f>
        <v>2.6422117879188098E-3</v>
      </c>
      <c r="C351" s="180">
        <f>'Rate Class Load Model'!D25</f>
        <v>2.0944162271649808E-3</v>
      </c>
    </row>
    <row r="352" spans="1:7" x14ac:dyDescent="0.2">
      <c r="A352" s="223">
        <f t="shared" si="95"/>
        <v>2010</v>
      </c>
      <c r="B352" s="180">
        <f>'Rate Class Load Model'!B26</f>
        <v>2.965489531247621E-3</v>
      </c>
      <c r="C352" s="180">
        <f>'Rate Class Load Model'!D26</f>
        <v>2.9846471234766998E-3</v>
      </c>
    </row>
    <row r="353" spans="1:21" x14ac:dyDescent="0.2">
      <c r="A353" s="223">
        <f t="shared" si="95"/>
        <v>2011</v>
      </c>
      <c r="B353" s="180">
        <f>'Rate Class Load Model'!B27</f>
        <v>3.0997857966716092E-3</v>
      </c>
      <c r="C353" s="180">
        <f>'Rate Class Load Model'!D27</f>
        <v>3.0877741745383444E-3</v>
      </c>
    </row>
    <row r="354" spans="1:21" x14ac:dyDescent="0.2">
      <c r="A354" s="223">
        <f t="shared" si="95"/>
        <v>2012</v>
      </c>
      <c r="B354" s="180">
        <f>'Rate Class Load Model'!B28</f>
        <v>3.3222401546985987E-3</v>
      </c>
      <c r="C354" s="180">
        <f>'Rate Class Load Model'!D28</f>
        <v>3.0881516947819094E-3</v>
      </c>
    </row>
    <row r="355" spans="1:21" x14ac:dyDescent="0.2">
      <c r="A355" s="223">
        <f t="shared" si="95"/>
        <v>2013</v>
      </c>
      <c r="B355" s="180">
        <f>'Rate Class Load Model'!B29</f>
        <v>3.0882011911795961E-3</v>
      </c>
      <c r="C355" s="180">
        <f>'Rate Class Load Model'!D29</f>
        <v>3.100121524763771E-3</v>
      </c>
    </row>
    <row r="356" spans="1:21" x14ac:dyDescent="0.2">
      <c r="A356" s="223">
        <f t="shared" si="95"/>
        <v>2014</v>
      </c>
      <c r="B356" s="180">
        <f>'Rate Class Load Model'!B30</f>
        <v>3.1375761421950118E-3</v>
      </c>
      <c r="C356" s="180">
        <f>'Rate Class Load Model'!D30</f>
        <v>3.1185525800825013E-3</v>
      </c>
    </row>
    <row r="357" spans="1:21" x14ac:dyDescent="0.2">
      <c r="A357" s="223">
        <f>A340</f>
        <v>2015</v>
      </c>
      <c r="B357" s="180">
        <f>'Rate Class Load Model'!B31</f>
        <v>2.8967452236911746E-3</v>
      </c>
      <c r="C357" s="180">
        <f>'Rate Class Load Model'!D31</f>
        <v>3.0975452707079328E-3</v>
      </c>
    </row>
    <row r="358" spans="1:21" x14ac:dyDescent="0.2">
      <c r="A358" s="223" t="s">
        <v>242</v>
      </c>
      <c r="B358" s="236">
        <f>AVERAGE(B345:B357)</f>
        <v>2.8315487669623449E-3</v>
      </c>
      <c r="C358" s="236">
        <f>AVERAGE(C345:C357)</f>
        <v>2.8635833462045774E-3</v>
      </c>
    </row>
    <row r="360" spans="1:21" x14ac:dyDescent="0.2">
      <c r="A360" s="177" t="s">
        <v>243</v>
      </c>
      <c r="B360" s="181"/>
      <c r="C360" s="181"/>
      <c r="D360" s="182"/>
      <c r="E360" s="154"/>
    </row>
    <row r="361" spans="1:21" ht="25.5" x14ac:dyDescent="0.2">
      <c r="A361" s="202" t="s">
        <v>152</v>
      </c>
      <c r="B361" s="153" t="str">
        <f>B325</f>
        <v>GS&gt;50 kW</v>
      </c>
      <c r="C361" s="153" t="str">
        <f>C325</f>
        <v>Street Lights</v>
      </c>
      <c r="D361" s="153" t="s">
        <v>10</v>
      </c>
    </row>
    <row r="362" spans="1:21" x14ac:dyDescent="0.2">
      <c r="A362" s="161" t="s">
        <v>173</v>
      </c>
      <c r="B362" s="133"/>
      <c r="C362" s="133"/>
      <c r="D362" s="183"/>
    </row>
    <row r="363" spans="1:21" x14ac:dyDescent="0.2">
      <c r="A363" s="223" t="str">
        <f>A321</f>
        <v>2016 Bridge</v>
      </c>
      <c r="B363" s="219">
        <f>B358*D321*1000000</f>
        <v>33612.901500235763</v>
      </c>
      <c r="C363" s="219">
        <f>C357*E321*1000000</f>
        <v>1430.2888446215138</v>
      </c>
      <c r="D363" s="219">
        <f>SUM(B363:C363)</f>
        <v>35043.190344857278</v>
      </c>
    </row>
    <row r="364" spans="1:21" x14ac:dyDescent="0.2">
      <c r="A364" s="223" t="str">
        <f>A322</f>
        <v>2017 Test</v>
      </c>
      <c r="B364" s="219">
        <f>B358*D322*1000000</f>
        <v>34104.7631623583</v>
      </c>
      <c r="C364" s="219">
        <f>C357*E322*1000000</f>
        <v>1430.2888446215138</v>
      </c>
      <c r="D364" s="219">
        <f>SUM(B364:C364)</f>
        <v>35535.052006979815</v>
      </c>
    </row>
    <row r="365" spans="1:21" x14ac:dyDescent="0.2">
      <c r="A365" s="184"/>
      <c r="B365" s="185"/>
      <c r="C365" s="185"/>
      <c r="D365" s="185"/>
      <c r="E365" s="185"/>
    </row>
    <row r="366" spans="1:21" x14ac:dyDescent="0.2">
      <c r="N366" s="305"/>
      <c r="O366" s="54"/>
    </row>
    <row r="367" spans="1:21" x14ac:dyDescent="0.2">
      <c r="M367" s="178" t="s">
        <v>257</v>
      </c>
      <c r="N367" s="179"/>
      <c r="O367" s="179"/>
      <c r="P367" s="179"/>
      <c r="Q367" s="179"/>
      <c r="R367" s="179"/>
      <c r="S367" s="179"/>
      <c r="T367" s="179"/>
      <c r="U367" s="209"/>
    </row>
    <row r="368" spans="1:21" ht="25.5" x14ac:dyDescent="0.2">
      <c r="M368" s="202"/>
      <c r="N368" s="237" t="s">
        <v>220</v>
      </c>
      <c r="O368" s="186" t="s">
        <v>199</v>
      </c>
      <c r="P368" s="237" t="s">
        <v>246</v>
      </c>
      <c r="Q368" s="237" t="s">
        <v>247</v>
      </c>
      <c r="R368" s="237" t="s">
        <v>248</v>
      </c>
      <c r="S368" s="237" t="s">
        <v>249</v>
      </c>
      <c r="T368" s="142" t="s">
        <v>245</v>
      </c>
      <c r="U368" s="142" t="s">
        <v>250</v>
      </c>
    </row>
    <row r="369" spans="13:21" x14ac:dyDescent="0.2">
      <c r="M369" s="366" t="s">
        <v>7</v>
      </c>
      <c r="N369" s="367"/>
      <c r="O369" s="367"/>
      <c r="P369" s="367"/>
      <c r="Q369" s="367"/>
      <c r="R369" s="367"/>
      <c r="S369" s="367"/>
      <c r="T369" s="367"/>
      <c r="U369" s="368"/>
    </row>
    <row r="370" spans="13:21" x14ac:dyDescent="0.2">
      <c r="M370" s="223" t="s">
        <v>58</v>
      </c>
      <c r="N370" s="152">
        <f>Summary!J4</f>
        <v>24741815.289999999</v>
      </c>
      <c r="O370" s="299"/>
      <c r="P370" s="152">
        <f>Summary!K4</f>
        <v>24288144.07</v>
      </c>
      <c r="Q370" s="152">
        <f>Summary!L4</f>
        <v>24871616.660000004</v>
      </c>
      <c r="R370" s="152">
        <f>Summary!M4</f>
        <v>25633173.069999997</v>
      </c>
      <c r="S370" s="152">
        <f>Summary!N4</f>
        <v>34806669.239999995</v>
      </c>
      <c r="T370" s="191"/>
      <c r="U370" s="191"/>
    </row>
    <row r="371" spans="13:21" ht="51" x14ac:dyDescent="0.2">
      <c r="M371" s="124" t="s">
        <v>251</v>
      </c>
      <c r="N371" s="152">
        <f>Summary!J5</f>
        <v>24918760.34155941</v>
      </c>
      <c r="O371" s="129"/>
      <c r="P371" s="152">
        <f>Summary!K5</f>
        <v>26143106.94158224</v>
      </c>
      <c r="Q371" s="152">
        <f>Summary!L5</f>
        <v>28220258.103847928</v>
      </c>
      <c r="R371" s="152">
        <f>Summary!M5</f>
        <v>29188104.248473953</v>
      </c>
      <c r="S371" s="152">
        <f>Summary!N5</f>
        <v>29259600.077626355</v>
      </c>
      <c r="T371" s="152">
        <f>Summary!O5</f>
        <v>29607313.733103618</v>
      </c>
      <c r="U371" s="152">
        <f>Summary!P5</f>
        <v>30012110.274900936</v>
      </c>
    </row>
    <row r="372" spans="13:21" ht="49.15" customHeight="1" x14ac:dyDescent="0.2">
      <c r="M372" s="124" t="s">
        <v>252</v>
      </c>
      <c r="N372" s="228">
        <f>Summary!J6</f>
        <v>7.1516600332445128E-3</v>
      </c>
      <c r="O372" s="300"/>
      <c r="P372" s="228">
        <f>Summary!K6</f>
        <v>7.6373182991508817E-2</v>
      </c>
      <c r="Q372" s="228">
        <f>Summary!L6</f>
        <v>0.13463706399244271</v>
      </c>
      <c r="R372" s="228">
        <f>Summary!M6</f>
        <v>0.13868478821431987</v>
      </c>
      <c r="S372" s="188">
        <f>Summary!N6</f>
        <v>-0.15936799709634153</v>
      </c>
      <c r="T372" s="149"/>
      <c r="U372" s="149"/>
    </row>
    <row r="373" spans="13:21" x14ac:dyDescent="0.2">
      <c r="M373" s="238"/>
      <c r="N373" s="122"/>
      <c r="O373" s="301"/>
      <c r="P373" s="188"/>
      <c r="Q373" s="188"/>
      <c r="R373" s="189"/>
      <c r="S373" s="189"/>
      <c r="T373" s="189"/>
      <c r="U373" s="122"/>
    </row>
    <row r="374" spans="13:21" x14ac:dyDescent="0.2">
      <c r="M374" s="239" t="s">
        <v>0</v>
      </c>
      <c r="N374" s="193"/>
      <c r="O374" s="302"/>
      <c r="P374" s="188"/>
      <c r="Q374" s="188"/>
      <c r="R374" s="189"/>
      <c r="S374" s="189"/>
      <c r="T374" s="303">
        <f>'Rate Class Energy Model'!F24</f>
        <v>1.0830169153681235</v>
      </c>
      <c r="U374" s="304">
        <f>T374</f>
        <v>1.0830169153681235</v>
      </c>
    </row>
    <row r="375" spans="13:21" x14ac:dyDescent="0.2">
      <c r="M375" s="239"/>
      <c r="N375" s="193"/>
      <c r="O375" s="301"/>
      <c r="P375" s="188"/>
      <c r="Q375" s="188"/>
      <c r="R375" s="189"/>
      <c r="S375" s="189"/>
      <c r="T375" s="189"/>
      <c r="U375" s="122"/>
    </row>
    <row r="376" spans="13:21" ht="25.5" customHeight="1" x14ac:dyDescent="0.2">
      <c r="M376" s="239" t="s">
        <v>258</v>
      </c>
      <c r="N376" s="152"/>
      <c r="O376" s="129"/>
      <c r="P376" s="152"/>
      <c r="Q376" s="152"/>
      <c r="R376" s="152"/>
      <c r="S376" s="152"/>
      <c r="T376" s="152">
        <f>T371/T374</f>
        <v>27337812.838352509</v>
      </c>
      <c r="U376" s="152">
        <f>U371/U374</f>
        <v>27711580.353940871</v>
      </c>
    </row>
    <row r="377" spans="13:21" x14ac:dyDescent="0.2">
      <c r="M377" s="239" t="s">
        <v>253</v>
      </c>
      <c r="N377" s="152"/>
      <c r="O377" s="129"/>
      <c r="P377" s="152"/>
      <c r="Q377" s="152"/>
      <c r="R377" s="152"/>
      <c r="S377" s="152"/>
      <c r="T377" s="152">
        <f>'Rate Class Energy Model'!M80</f>
        <v>134564.5</v>
      </c>
      <c r="U377" s="152">
        <f>'Rate Class Energy Model'!M81</f>
        <v>403842.5</v>
      </c>
    </row>
    <row r="378" spans="13:21" ht="25.5" x14ac:dyDescent="0.2">
      <c r="M378" s="239" t="s">
        <v>254</v>
      </c>
      <c r="N378" s="152">
        <f>Summary!J11</f>
        <v>22383849.879999999</v>
      </c>
      <c r="O378" s="54"/>
      <c r="P378" s="152">
        <f>Summary!K11</f>
        <v>21958203.150000002</v>
      </c>
      <c r="Q378" s="152">
        <f>Summary!L11</f>
        <v>22559900.230000004</v>
      </c>
      <c r="R378" s="152">
        <f>Summary!M11</f>
        <v>23377488.100000001</v>
      </c>
      <c r="S378" s="152">
        <f>Summary!N11</f>
        <v>32370291.439999998</v>
      </c>
      <c r="T378" s="152">
        <f>T376-T377</f>
        <v>27203248.338352509</v>
      </c>
      <c r="U378" s="152">
        <f>U376-U377</f>
        <v>27307737.853940871</v>
      </c>
    </row>
    <row r="379" spans="13:21" x14ac:dyDescent="0.2">
      <c r="M379" s="203"/>
      <c r="N379" s="203"/>
      <c r="O379" s="156"/>
      <c r="P379" s="188"/>
      <c r="Q379" s="189"/>
      <c r="R379" s="189"/>
      <c r="S379" s="189"/>
      <c r="T379" s="189"/>
      <c r="U379" s="122"/>
    </row>
    <row r="380" spans="13:21" x14ac:dyDescent="0.2">
      <c r="M380" s="366" t="s">
        <v>256</v>
      </c>
      <c r="N380" s="367"/>
      <c r="O380" s="367"/>
      <c r="P380" s="367"/>
      <c r="Q380" s="367"/>
      <c r="R380" s="367"/>
      <c r="S380" s="367"/>
      <c r="T380" s="367"/>
      <c r="U380" s="368"/>
    </row>
    <row r="381" spans="13:21" x14ac:dyDescent="0.2">
      <c r="M381" s="190" t="s">
        <v>66</v>
      </c>
      <c r="N381" s="190"/>
      <c r="O381" s="149"/>
      <c r="P381" s="149"/>
      <c r="Q381" s="191"/>
      <c r="R381" s="191"/>
      <c r="S381" s="191"/>
      <c r="T381" s="191"/>
      <c r="U381" s="122"/>
    </row>
    <row r="382" spans="13:21" x14ac:dyDescent="0.2">
      <c r="M382" s="187" t="s">
        <v>48</v>
      </c>
      <c r="N382" s="149">
        <f>Summary!J15</f>
        <v>1408.5</v>
      </c>
      <c r="O382" s="149">
        <f>M25</f>
        <v>1424</v>
      </c>
      <c r="P382" s="149">
        <f>Summary!K15</f>
        <v>1410</v>
      </c>
      <c r="Q382" s="149">
        <f>Summary!L15</f>
        <v>1412.5</v>
      </c>
      <c r="R382" s="149">
        <f>Summary!M15</f>
        <v>1411</v>
      </c>
      <c r="S382" s="149">
        <f>Summary!N15</f>
        <v>1405</v>
      </c>
      <c r="T382" s="149">
        <f>Summary!O15</f>
        <v>1397.2051900797071</v>
      </c>
      <c r="U382" s="149">
        <f>Summary!P15</f>
        <v>1389.453625043182</v>
      </c>
    </row>
    <row r="383" spans="13:21" x14ac:dyDescent="0.2">
      <c r="M383" s="137" t="s">
        <v>49</v>
      </c>
      <c r="N383" s="149">
        <f>Summary!J16</f>
        <v>9619203.9199999999</v>
      </c>
      <c r="O383" s="149">
        <f>P24</f>
        <v>11113021</v>
      </c>
      <c r="P383" s="149">
        <f>Summary!K16</f>
        <v>9445561.1400000006</v>
      </c>
      <c r="Q383" s="149">
        <f>Summary!L16</f>
        <v>9833794.3900000006</v>
      </c>
      <c r="R383" s="149">
        <f>Summary!M16</f>
        <v>9743005.5999999996</v>
      </c>
      <c r="S383" s="149">
        <f>Summary!N16</f>
        <v>9225363.5999999996</v>
      </c>
      <c r="T383" s="149">
        <f>Summary!O16</f>
        <v>9620554.3751475941</v>
      </c>
      <c r="U383" s="149">
        <f>Summary!P16</f>
        <v>9682146.5299625322</v>
      </c>
    </row>
    <row r="384" spans="13:21" x14ac:dyDescent="0.2">
      <c r="M384" s="203"/>
      <c r="N384" s="203"/>
      <c r="O384" s="149"/>
      <c r="P384" s="149"/>
      <c r="Q384" s="191"/>
      <c r="R384" s="191"/>
      <c r="S384" s="191"/>
      <c r="T384" s="191"/>
      <c r="U384" s="122"/>
    </row>
    <row r="385" spans="13:21" x14ac:dyDescent="0.2">
      <c r="M385" s="190" t="str">
        <f>C310</f>
        <v>GS&lt;50 kW</v>
      </c>
      <c r="N385" s="190"/>
      <c r="O385" s="149"/>
      <c r="P385" s="149"/>
      <c r="Q385" s="191"/>
      <c r="R385" s="191"/>
      <c r="S385" s="191"/>
      <c r="T385" s="191"/>
      <c r="U385" s="122"/>
    </row>
    <row r="386" spans="13:21" x14ac:dyDescent="0.2">
      <c r="M386" s="187" t="s">
        <v>48</v>
      </c>
      <c r="N386" s="149">
        <f>Summary!J19</f>
        <v>231.5</v>
      </c>
      <c r="O386" s="149">
        <f>M26</f>
        <v>235</v>
      </c>
      <c r="P386" s="149">
        <f>Summary!K19</f>
        <v>233.5</v>
      </c>
      <c r="Q386" s="149">
        <f>Summary!L19</f>
        <v>234.5</v>
      </c>
      <c r="R386" s="149">
        <f>Summary!M19</f>
        <v>234</v>
      </c>
      <c r="S386" s="149">
        <f>Summary!N19</f>
        <v>234</v>
      </c>
      <c r="T386" s="149">
        <f>Summary!O19</f>
        <v>231.22610586256388</v>
      </c>
      <c r="U386" s="149">
        <f>Summary!P19</f>
        <v>228.48509415540855</v>
      </c>
    </row>
    <row r="387" spans="13:21" x14ac:dyDescent="0.2">
      <c r="M387" s="137" t="s">
        <v>49</v>
      </c>
      <c r="N387" s="149">
        <f>Summary!J20</f>
        <v>5619045.1600000001</v>
      </c>
      <c r="O387" s="149">
        <f>P25</f>
        <v>6246086.669440615</v>
      </c>
      <c r="P387" s="149">
        <f>Summary!K20</f>
        <v>5320355.49</v>
      </c>
      <c r="Q387" s="149">
        <f>Summary!L20</f>
        <v>5238114.24</v>
      </c>
      <c r="R387" s="149">
        <f>Summary!M20</f>
        <v>5315998.9000000004</v>
      </c>
      <c r="S387" s="149">
        <f>Summary!N20</f>
        <v>5110231.71</v>
      </c>
      <c r="T387" s="149">
        <f>Summary!O20</f>
        <v>5250091.0085293613</v>
      </c>
      <c r="U387" s="149">
        <f>Summary!P20</f>
        <v>5119280.7263826206</v>
      </c>
    </row>
    <row r="388" spans="13:21" x14ac:dyDescent="0.2">
      <c r="M388" s="203"/>
      <c r="N388" s="203"/>
      <c r="O388" s="149"/>
      <c r="P388" s="149"/>
      <c r="Q388" s="191"/>
      <c r="R388" s="191"/>
      <c r="S388" s="191"/>
      <c r="T388" s="191"/>
      <c r="U388" s="122"/>
    </row>
    <row r="389" spans="13:21" x14ac:dyDescent="0.2">
      <c r="M389" s="190" t="str">
        <f>Summary!A22</f>
        <v>GS&gt;50 kW</v>
      </c>
      <c r="N389" s="190"/>
      <c r="O389" s="149"/>
      <c r="P389" s="149"/>
      <c r="Q389" s="191"/>
      <c r="R389" s="191"/>
      <c r="S389" s="191"/>
      <c r="T389" s="191"/>
      <c r="U389" s="122"/>
    </row>
    <row r="390" spans="13:21" x14ac:dyDescent="0.2">
      <c r="M390" s="187" t="s">
        <v>48</v>
      </c>
      <c r="N390" s="149">
        <f>Summary!J23</f>
        <v>22</v>
      </c>
      <c r="O390" s="149">
        <f>M27</f>
        <v>15</v>
      </c>
      <c r="P390" s="149">
        <f>Summary!K23</f>
        <v>20</v>
      </c>
      <c r="Q390" s="149">
        <f>Summary!L23</f>
        <v>18</v>
      </c>
      <c r="R390" s="149">
        <f>Summary!M23</f>
        <v>19</v>
      </c>
      <c r="S390" s="149">
        <f>Summary!N23</f>
        <v>19</v>
      </c>
      <c r="T390" s="149">
        <f>Summary!O23</f>
        <v>17</v>
      </c>
      <c r="U390" s="149">
        <f>Summary!P23</f>
        <v>17</v>
      </c>
    </row>
    <row r="391" spans="13:21" x14ac:dyDescent="0.2">
      <c r="M391" s="137" t="s">
        <v>49</v>
      </c>
      <c r="N391" s="149">
        <f>Summary!J24</f>
        <v>6675900</v>
      </c>
      <c r="O391" s="149">
        <f>P26</f>
        <v>5218563.3844691971</v>
      </c>
      <c r="P391" s="149">
        <f>Summary!K24</f>
        <v>6722750</v>
      </c>
      <c r="Q391" s="149">
        <f>Summary!L24</f>
        <v>7020268</v>
      </c>
      <c r="R391" s="149">
        <f>Summary!M24</f>
        <v>7851921</v>
      </c>
      <c r="S391" s="149">
        <f>Summary!N24</f>
        <v>17571100</v>
      </c>
      <c r="T391" s="149">
        <f>Summary!O24</f>
        <v>11870853.821209416</v>
      </c>
      <c r="U391" s="149">
        <f>Summary!P24</f>
        <v>15044561.464129582</v>
      </c>
    </row>
    <row r="392" spans="13:21" x14ac:dyDescent="0.2">
      <c r="M392" s="137" t="s">
        <v>50</v>
      </c>
      <c r="N392" s="149">
        <f>Summary!J25</f>
        <v>20693.859999999997</v>
      </c>
      <c r="O392" s="149">
        <v>13872</v>
      </c>
      <c r="P392" s="149">
        <f>Summary!K25</f>
        <v>22334.590000000004</v>
      </c>
      <c r="Q392" s="149">
        <f>Summary!L25</f>
        <v>21680</v>
      </c>
      <c r="R392" s="149">
        <f>Summary!M25</f>
        <v>24636</v>
      </c>
      <c r="S392" s="149">
        <f>Summary!N25</f>
        <v>50899</v>
      </c>
      <c r="T392" s="149">
        <f>Summary!O25</f>
        <v>33612.901500235763</v>
      </c>
      <c r="U392" s="149">
        <f>Summary!P25</f>
        <v>42599.409463245327</v>
      </c>
    </row>
    <row r="393" spans="13:21" x14ac:dyDescent="0.2">
      <c r="M393" s="203"/>
      <c r="N393" s="203"/>
      <c r="O393" s="149"/>
      <c r="P393" s="149"/>
      <c r="Q393" s="149"/>
      <c r="R393" s="149"/>
      <c r="S393" s="149"/>
      <c r="T393" s="149"/>
      <c r="U393" s="122"/>
    </row>
    <row r="394" spans="13:21" x14ac:dyDescent="0.2">
      <c r="M394" s="190" t="s">
        <v>207</v>
      </c>
      <c r="N394" s="190"/>
      <c r="O394" s="149"/>
      <c r="P394" s="149"/>
      <c r="Q394" s="191"/>
      <c r="R394" s="191"/>
      <c r="S394" s="191"/>
      <c r="T394" s="191"/>
      <c r="U394" s="122"/>
    </row>
    <row r="395" spans="13:21" x14ac:dyDescent="0.2">
      <c r="M395" s="187" t="s">
        <v>69</v>
      </c>
      <c r="N395" s="149">
        <f>Summary!J33</f>
        <v>631.5</v>
      </c>
      <c r="O395" s="149">
        <f>M28</f>
        <v>623</v>
      </c>
      <c r="P395" s="149">
        <f>Summary!K33</f>
        <v>635</v>
      </c>
      <c r="Q395" s="149">
        <f>Summary!L33</f>
        <v>635</v>
      </c>
      <c r="R395" s="149">
        <f>Summary!M33</f>
        <v>632.5</v>
      </c>
      <c r="S395" s="149">
        <f>Summary!N33</f>
        <v>627.5</v>
      </c>
      <c r="T395" s="149">
        <f>Summary!O33</f>
        <v>625</v>
      </c>
      <c r="U395" s="149">
        <f>Summary!P33</f>
        <v>625</v>
      </c>
    </row>
    <row r="396" spans="13:21" x14ac:dyDescent="0.2">
      <c r="M396" s="137" t="s">
        <v>49</v>
      </c>
      <c r="N396" s="149">
        <f>Summary!J34</f>
        <v>469700.8</v>
      </c>
      <c r="O396" s="149">
        <f>P27</f>
        <v>466492.7798266997</v>
      </c>
      <c r="P396" s="149">
        <f>Summary!K34</f>
        <v>469536.52</v>
      </c>
      <c r="Q396" s="149">
        <f>Summary!L34</f>
        <v>467723.6</v>
      </c>
      <c r="R396" s="149">
        <f>Summary!M34</f>
        <v>466562.6</v>
      </c>
      <c r="S396" s="149">
        <f>Summary!N34</f>
        <v>463596.13</v>
      </c>
      <c r="T396" s="149">
        <f>Summary!O34</f>
        <v>461749.13346613542</v>
      </c>
      <c r="U396" s="149">
        <f>Summary!P34</f>
        <v>461749.13346613542</v>
      </c>
    </row>
    <row r="397" spans="13:21" x14ac:dyDescent="0.2">
      <c r="M397" s="137" t="s">
        <v>50</v>
      </c>
      <c r="N397" s="149">
        <f>Summary!J35</f>
        <v>1450.33</v>
      </c>
      <c r="O397" s="149">
        <v>1316</v>
      </c>
      <c r="P397" s="149">
        <f>Summary!K35</f>
        <v>1450</v>
      </c>
      <c r="Q397" s="149">
        <f>Summary!L35</f>
        <v>1450</v>
      </c>
      <c r="R397" s="149">
        <f>Summary!M35</f>
        <v>1455</v>
      </c>
      <c r="S397" s="149">
        <f>Summary!N35</f>
        <v>1436.01</v>
      </c>
      <c r="T397" s="149">
        <f>Summary!O35</f>
        <v>1430.2888446215138</v>
      </c>
      <c r="U397" s="149">
        <f>Summary!P35</f>
        <v>1430.2888446215138</v>
      </c>
    </row>
    <row r="398" spans="13:21" x14ac:dyDescent="0.2">
      <c r="M398" s="203"/>
      <c r="N398" s="203"/>
      <c r="O398" s="149"/>
      <c r="P398" s="149"/>
      <c r="Q398" s="149"/>
      <c r="R398" s="149"/>
      <c r="S398" s="149"/>
      <c r="T398" s="149"/>
      <c r="U398" s="122"/>
    </row>
    <row r="399" spans="13:21" x14ac:dyDescent="0.2">
      <c r="M399" s="204" t="s">
        <v>17</v>
      </c>
      <c r="N399" s="204"/>
      <c r="O399" s="149"/>
      <c r="P399" s="149"/>
      <c r="Q399" s="149"/>
      <c r="R399" s="149"/>
      <c r="S399" s="149"/>
      <c r="T399" s="149"/>
      <c r="U399" s="122"/>
    </row>
    <row r="400" spans="13:21" x14ac:dyDescent="0.2">
      <c r="M400" s="122" t="s">
        <v>57</v>
      </c>
      <c r="N400" s="192">
        <f t="shared" ref="N400:O401" si="96">N382+N386+N390+N395</f>
        <v>2293.5</v>
      </c>
      <c r="O400" s="192">
        <f t="shared" si="96"/>
        <v>2297</v>
      </c>
      <c r="P400" s="192">
        <f t="shared" ref="P400:U400" si="97">P382+P386+P390+P395</f>
        <v>2298.5</v>
      </c>
      <c r="Q400" s="192">
        <f t="shared" si="97"/>
        <v>2300</v>
      </c>
      <c r="R400" s="192">
        <f t="shared" si="97"/>
        <v>2296.5</v>
      </c>
      <c r="S400" s="192">
        <f t="shared" si="97"/>
        <v>2285.5</v>
      </c>
      <c r="T400" s="192">
        <f t="shared" si="97"/>
        <v>2270.4312959422709</v>
      </c>
      <c r="U400" s="192">
        <f t="shared" si="97"/>
        <v>2259.9387191985907</v>
      </c>
    </row>
    <row r="401" spans="6:39" x14ac:dyDescent="0.2">
      <c r="M401" s="205" t="s">
        <v>49</v>
      </c>
      <c r="N401" s="192">
        <f t="shared" si="96"/>
        <v>22383849.879999999</v>
      </c>
      <c r="O401" s="280">
        <f>O383+O387+O391+O396</f>
        <v>23044163.833736513</v>
      </c>
      <c r="P401" s="192">
        <f t="shared" ref="P401:U401" si="98">P383+P387+P391+P396</f>
        <v>21958203.150000002</v>
      </c>
      <c r="Q401" s="192">
        <f t="shared" si="98"/>
        <v>22559900.230000004</v>
      </c>
      <c r="R401" s="192">
        <f t="shared" si="98"/>
        <v>23377488.100000001</v>
      </c>
      <c r="S401" s="192">
        <f t="shared" si="98"/>
        <v>32370291.439999998</v>
      </c>
      <c r="T401" s="192">
        <f t="shared" si="98"/>
        <v>27203248.338352505</v>
      </c>
      <c r="U401" s="192">
        <f t="shared" si="98"/>
        <v>30307737.853940871</v>
      </c>
    </row>
    <row r="402" spans="6:39" ht="38.25" x14ac:dyDescent="0.2">
      <c r="H402"/>
      <c r="I402"/>
      <c r="J402"/>
      <c r="K402"/>
      <c r="L402"/>
      <c r="M402" s="239" t="s">
        <v>255</v>
      </c>
      <c r="N402" s="192">
        <f>N384+N388+N392+N397</f>
        <v>22144.189999999995</v>
      </c>
      <c r="O402" s="280">
        <f>O384+O388+O392+O397</f>
        <v>15188</v>
      </c>
      <c r="P402" s="192">
        <f t="shared" ref="P402:U402" si="99">P384+P388+P392+P397</f>
        <v>23784.590000000004</v>
      </c>
      <c r="Q402" s="192">
        <f t="shared" si="99"/>
        <v>23130</v>
      </c>
      <c r="R402" s="192">
        <f t="shared" si="99"/>
        <v>26091</v>
      </c>
      <c r="S402" s="192">
        <f t="shared" si="99"/>
        <v>52335.01</v>
      </c>
      <c r="T402" s="192">
        <f t="shared" si="99"/>
        <v>35043.190344857278</v>
      </c>
      <c r="U402" s="192">
        <f t="shared" si="99"/>
        <v>44029.698307866842</v>
      </c>
    </row>
    <row r="403" spans="6:39" x14ac:dyDescent="0.2">
      <c r="F403"/>
      <c r="G403"/>
    </row>
    <row r="404" spans="6:39" x14ac:dyDescent="0.2">
      <c r="N404"/>
      <c r="O404"/>
      <c r="P404"/>
      <c r="Q404"/>
      <c r="R404"/>
      <c r="S404"/>
      <c r="T404"/>
      <c r="U404"/>
      <c r="V404"/>
      <c r="W404" s="167"/>
      <c r="X404" s="167"/>
      <c r="Y404" s="167"/>
      <c r="Z404" s="167"/>
    </row>
    <row r="405" spans="6:39" x14ac:dyDescent="0.2">
      <c r="F405" s="195"/>
      <c r="G405" s="195"/>
      <c r="N405"/>
      <c r="O405"/>
      <c r="P405"/>
      <c r="Q405"/>
      <c r="R405"/>
      <c r="S405"/>
      <c r="T405"/>
      <c r="U405"/>
      <c r="V405"/>
      <c r="W405" s="224" t="s">
        <v>259</v>
      </c>
      <c r="X405" s="224"/>
      <c r="Y405" s="224"/>
      <c r="Z405" s="167"/>
    </row>
    <row r="406" spans="6:39" ht="38.25" x14ac:dyDescent="0.2">
      <c r="F406" s="195"/>
      <c r="G406" s="195"/>
      <c r="N406"/>
      <c r="O406"/>
      <c r="P406"/>
      <c r="Q406"/>
      <c r="R406"/>
      <c r="S406"/>
      <c r="T406"/>
      <c r="U406"/>
      <c r="V406"/>
      <c r="W406" s="261" t="s">
        <v>195</v>
      </c>
      <c r="X406" s="123" t="s">
        <v>143</v>
      </c>
      <c r="Y406" s="194" t="s">
        <v>199</v>
      </c>
      <c r="Z406" s="194" t="s">
        <v>196</v>
      </c>
      <c r="AA406" s="194" t="s">
        <v>197</v>
      </c>
    </row>
    <row r="407" spans="6:39" x14ac:dyDescent="0.2">
      <c r="F407" s="195"/>
      <c r="G407" s="195"/>
      <c r="W407" s="259" t="str">
        <f>K4</f>
        <v>Residential</v>
      </c>
      <c r="X407" s="196">
        <f>N4</f>
        <v>676858.56</v>
      </c>
      <c r="Y407" s="196">
        <f>M4</f>
        <v>746244</v>
      </c>
      <c r="Z407" s="196">
        <f>Y407-X407</f>
        <v>69385.439999999944</v>
      </c>
      <c r="AA407" s="197">
        <f>Z407/X407</f>
        <v>0.10251098841093173</v>
      </c>
    </row>
    <row r="408" spans="6:39" x14ac:dyDescent="0.2">
      <c r="W408" s="259" t="str">
        <f>K5</f>
        <v>GS&lt;50</v>
      </c>
      <c r="X408" s="196">
        <f>N5</f>
        <v>249046.31</v>
      </c>
      <c r="Y408" s="196">
        <f>M5</f>
        <v>287448</v>
      </c>
      <c r="Z408" s="196">
        <f t="shared" ref="Z408:Z410" si="100">Y408-X408</f>
        <v>38401.69</v>
      </c>
      <c r="AA408" s="197">
        <f t="shared" ref="AA408:AA410" si="101">Z408/X408</f>
        <v>0.15419497682981131</v>
      </c>
    </row>
    <row r="409" spans="6:39" x14ac:dyDescent="0.2">
      <c r="W409" s="259" t="str">
        <f>K6</f>
        <v>GS&gt;50</v>
      </c>
      <c r="X409" s="196">
        <f>N6</f>
        <v>151057.57</v>
      </c>
      <c r="Y409" s="196">
        <f>M6</f>
        <v>115030</v>
      </c>
      <c r="Z409" s="196">
        <f t="shared" si="100"/>
        <v>-36027.570000000007</v>
      </c>
      <c r="AA409" s="197">
        <f t="shared" si="101"/>
        <v>-0.23850224785159727</v>
      </c>
    </row>
    <row r="410" spans="6:39" x14ac:dyDescent="0.2">
      <c r="W410" s="259" t="str">
        <f>K7</f>
        <v>Street Lights</v>
      </c>
      <c r="X410" s="196">
        <f>N7</f>
        <v>91060.55</v>
      </c>
      <c r="Y410" s="196">
        <f>M7</f>
        <v>84093</v>
      </c>
      <c r="Z410" s="196">
        <f t="shared" si="100"/>
        <v>-6967.5500000000029</v>
      </c>
      <c r="AA410" s="197">
        <f t="shared" si="101"/>
        <v>-7.6515571232548041E-2</v>
      </c>
    </row>
    <row r="411" spans="6:39" x14ac:dyDescent="0.2">
      <c r="W411" s="206" t="s">
        <v>17</v>
      </c>
      <c r="X411" s="196">
        <f>SUM(X407:X410)</f>
        <v>1168022.9900000002</v>
      </c>
      <c r="Y411" s="196">
        <f>SUM(Y407:Y410)</f>
        <v>1232815</v>
      </c>
      <c r="Z411" s="196">
        <f t="shared" ref="Z411" si="102">Y411-X411</f>
        <v>64792.009999999776</v>
      </c>
      <c r="AA411" s="197">
        <f t="shared" ref="AA411" si="103">Z411/X411</f>
        <v>5.5471519443294315E-2</v>
      </c>
    </row>
    <row r="412" spans="6:39" x14ac:dyDescent="0.2">
      <c r="AB412" s="167"/>
      <c r="AC412" s="167"/>
      <c r="AD412" s="260"/>
      <c r="AE412" s="260"/>
      <c r="AF412" s="260"/>
    </row>
    <row r="413" spans="6:39" x14ac:dyDescent="0.2">
      <c r="AB413" s="224" t="s">
        <v>260</v>
      </c>
      <c r="AC413" s="224"/>
      <c r="AD413" s="224"/>
      <c r="AE413" s="167"/>
      <c r="AF413" s="260"/>
    </row>
    <row r="414" spans="6:39" ht="54.75" customHeight="1" x14ac:dyDescent="0.2">
      <c r="AB414" s="320" t="s">
        <v>198</v>
      </c>
      <c r="AC414" s="370" t="s">
        <v>265</v>
      </c>
      <c r="AD414" s="370"/>
      <c r="AE414" s="308" t="s">
        <v>263</v>
      </c>
      <c r="AF414" s="369" t="s">
        <v>262</v>
      </c>
      <c r="AG414" s="369"/>
      <c r="AH414" s="355" t="s">
        <v>266</v>
      </c>
      <c r="AI414" s="355"/>
      <c r="AJ414" s="355" t="s">
        <v>267</v>
      </c>
      <c r="AK414" s="355"/>
      <c r="AL414" s="355" t="s">
        <v>268</v>
      </c>
      <c r="AM414" s="355"/>
    </row>
    <row r="415" spans="6:39" ht="19.5" customHeight="1" x14ac:dyDescent="0.2">
      <c r="AB415" s="359" t="str">
        <f>F148</f>
        <v>Weather 
Normal Conversion 
Factor</v>
      </c>
      <c r="AC415" s="359"/>
      <c r="AD415" s="359"/>
      <c r="AE415" s="359"/>
      <c r="AF415" s="359"/>
      <c r="AG415" s="359"/>
      <c r="AH415" s="309">
        <f>F159</f>
        <v>1.0237014639400914</v>
      </c>
      <c r="AI415" s="310"/>
      <c r="AJ415" s="355"/>
      <c r="AK415" s="355"/>
      <c r="AL415" s="355"/>
      <c r="AM415" s="355"/>
    </row>
    <row r="416" spans="6:39" ht="38.25" x14ac:dyDescent="0.2">
      <c r="AB416" s="311"/>
      <c r="AC416" s="312" t="str">
        <f>X406</f>
        <v>2012 Actual</v>
      </c>
      <c r="AD416" s="312" t="str">
        <f>Y406</f>
        <v>2012 Board Approved</v>
      </c>
      <c r="AE416" s="313"/>
      <c r="AF416" s="312" t="s">
        <v>143</v>
      </c>
      <c r="AG416" s="312" t="s">
        <v>199</v>
      </c>
      <c r="AH416" s="312" t="s">
        <v>143</v>
      </c>
      <c r="AI416" s="312" t="s">
        <v>199</v>
      </c>
      <c r="AJ416" s="312" t="s">
        <v>143</v>
      </c>
      <c r="AK416" s="312" t="s">
        <v>199</v>
      </c>
      <c r="AL416" s="312" t="s">
        <v>143</v>
      </c>
      <c r="AM416" s="312" t="s">
        <v>199</v>
      </c>
    </row>
    <row r="417" spans="23:39" x14ac:dyDescent="0.2">
      <c r="AB417" s="314" t="str">
        <f>W407</f>
        <v>Residential</v>
      </c>
      <c r="AC417" s="315">
        <f>P382</f>
        <v>1410</v>
      </c>
      <c r="AD417" s="315">
        <f>O382</f>
        <v>1424</v>
      </c>
      <c r="AE417" s="316" t="s">
        <v>168</v>
      </c>
      <c r="AF417" s="316">
        <f>P383</f>
        <v>9445561.1400000006</v>
      </c>
      <c r="AG417" s="316">
        <f>O383</f>
        <v>11113021</v>
      </c>
      <c r="AH417" s="316">
        <f>AF417*$AH$415</f>
        <v>9669434.76675364</v>
      </c>
      <c r="AI417" s="316">
        <f>AG417</f>
        <v>11113021</v>
      </c>
      <c r="AJ417" s="316">
        <f>AF417/AC417</f>
        <v>6698.9795319148943</v>
      </c>
      <c r="AK417" s="316">
        <f>AG417/AD417</f>
        <v>7804.0877808988762</v>
      </c>
      <c r="AL417" s="316">
        <f>AH417/AC417</f>
        <v>6857.755153725986</v>
      </c>
      <c r="AM417" s="316">
        <f>AI417/AD417</f>
        <v>7804.0877808988762</v>
      </c>
    </row>
    <row r="418" spans="23:39" x14ac:dyDescent="0.2">
      <c r="AB418" s="314" t="str">
        <f>W408</f>
        <v>GS&lt;50</v>
      </c>
      <c r="AC418" s="315">
        <f>P386</f>
        <v>233.5</v>
      </c>
      <c r="AD418" s="315">
        <f>O386</f>
        <v>235</v>
      </c>
      <c r="AE418" s="316" t="s">
        <v>168</v>
      </c>
      <c r="AF418" s="317">
        <f>P387</f>
        <v>5320355.49</v>
      </c>
      <c r="AG418" s="317">
        <f>O387</f>
        <v>6246086.669440615</v>
      </c>
      <c r="AH418" s="316">
        <f t="shared" ref="AH418:AH420" si="104">AF418*$AH$415</f>
        <v>5446455.7037947029</v>
      </c>
      <c r="AI418" s="316">
        <f t="shared" ref="AI418:AI420" si="105">AG418</f>
        <v>6246086.669440615</v>
      </c>
      <c r="AJ418" s="316">
        <f t="shared" ref="AJ418:AJ420" si="106">AF418/AC418</f>
        <v>22785.248351177732</v>
      </c>
      <c r="AK418" s="316">
        <f t="shared" ref="AK418:AK420" si="107">AG418/AD418</f>
        <v>26579.092210385596</v>
      </c>
      <c r="AL418" s="316">
        <f t="shared" ref="AL418:AL420" si="108">AH418/AC418</f>
        <v>23325.292093339198</v>
      </c>
      <c r="AM418" s="316">
        <f t="shared" ref="AM418:AM420" si="109">AI418/AD418</f>
        <v>26579.092210385596</v>
      </c>
    </row>
    <row r="419" spans="23:39" x14ac:dyDescent="0.2">
      <c r="AB419" s="314" t="str">
        <f>W409</f>
        <v>GS&gt;50</v>
      </c>
      <c r="AC419" s="315">
        <f>P390</f>
        <v>20</v>
      </c>
      <c r="AD419" s="315">
        <f>O390</f>
        <v>15</v>
      </c>
      <c r="AE419" s="316" t="s">
        <v>264</v>
      </c>
      <c r="AF419" s="317">
        <f>P392</f>
        <v>22334.590000000004</v>
      </c>
      <c r="AG419" s="317">
        <f>O392</f>
        <v>13872</v>
      </c>
      <c r="AH419" s="316">
        <f t="shared" si="104"/>
        <v>22863.952479501731</v>
      </c>
      <c r="AI419" s="316">
        <f t="shared" si="105"/>
        <v>13872</v>
      </c>
      <c r="AJ419" s="316">
        <f t="shared" si="106"/>
        <v>1116.7295000000001</v>
      </c>
      <c r="AK419" s="316">
        <f t="shared" si="107"/>
        <v>924.8</v>
      </c>
      <c r="AL419" s="316">
        <f t="shared" si="108"/>
        <v>1143.1976239750866</v>
      </c>
      <c r="AM419" s="316">
        <f t="shared" si="109"/>
        <v>924.8</v>
      </c>
    </row>
    <row r="420" spans="23:39" x14ac:dyDescent="0.2">
      <c r="AB420" s="314" t="str">
        <f>W410</f>
        <v>Street Lights</v>
      </c>
      <c r="AC420" s="315">
        <f>P395</f>
        <v>635</v>
      </c>
      <c r="AD420" s="315">
        <f>O395</f>
        <v>623</v>
      </c>
      <c r="AE420" s="316" t="s">
        <v>264</v>
      </c>
      <c r="AF420" s="317">
        <f>P397</f>
        <v>1450</v>
      </c>
      <c r="AG420" s="317">
        <f>O397</f>
        <v>1316</v>
      </c>
      <c r="AH420" s="316">
        <f t="shared" si="104"/>
        <v>1484.3671227131326</v>
      </c>
      <c r="AI420" s="316">
        <f t="shared" si="105"/>
        <v>1316</v>
      </c>
      <c r="AJ420" s="316">
        <f t="shared" si="106"/>
        <v>2.2834645669291338</v>
      </c>
      <c r="AK420" s="316">
        <f t="shared" si="107"/>
        <v>2.1123595505617976</v>
      </c>
      <c r="AL420" s="316">
        <f t="shared" si="108"/>
        <v>2.3375860200206815</v>
      </c>
      <c r="AM420" s="316">
        <f t="shared" si="109"/>
        <v>2.1123595505617976</v>
      </c>
    </row>
    <row r="421" spans="23:39" x14ac:dyDescent="0.2">
      <c r="AB421" s="314" t="s">
        <v>10</v>
      </c>
      <c r="AC421" s="315">
        <f>SUM(AC417:AC420)</f>
        <v>2298.5</v>
      </c>
      <c r="AD421" s="315">
        <f>SUM(AD417:AD420)</f>
        <v>2297</v>
      </c>
      <c r="AE421" s="316"/>
      <c r="AF421" s="317"/>
      <c r="AG421" s="317"/>
      <c r="AH421" s="317"/>
      <c r="AI421" s="317"/>
      <c r="AJ421" s="317"/>
      <c r="AK421" s="317"/>
      <c r="AL421" s="317"/>
      <c r="AM421" s="317"/>
    </row>
    <row r="422" spans="23:39" x14ac:dyDescent="0.2">
      <c r="AB422" s="318"/>
      <c r="AC422" s="356" t="s">
        <v>261</v>
      </c>
      <c r="AD422" s="356"/>
      <c r="AE422" s="318"/>
      <c r="AF422" s="356" t="s">
        <v>261</v>
      </c>
      <c r="AG422" s="356"/>
      <c r="AH422" s="360" t="s">
        <v>261</v>
      </c>
      <c r="AI422" s="360"/>
      <c r="AJ422" s="360" t="s">
        <v>261</v>
      </c>
      <c r="AK422" s="360"/>
      <c r="AL422" s="360" t="s">
        <v>261</v>
      </c>
      <c r="AM422" s="360"/>
    </row>
    <row r="423" spans="23:39" x14ac:dyDescent="0.2">
      <c r="AB423" s="319" t="str">
        <f>AB417</f>
        <v>Residential</v>
      </c>
      <c r="AC423" s="354">
        <f>AD417-AC417</f>
        <v>14</v>
      </c>
      <c r="AD423" s="354"/>
      <c r="AE423" s="316" t="s">
        <v>168</v>
      </c>
      <c r="AF423" s="354">
        <f>AG417-AF417</f>
        <v>1667459.8599999994</v>
      </c>
      <c r="AG423" s="354"/>
      <c r="AH423" s="354">
        <f>AI417-AH417</f>
        <v>1443586.23324636</v>
      </c>
      <c r="AI423" s="354"/>
      <c r="AJ423" s="354">
        <f>AK417-AJ417</f>
        <v>1105.1082489839819</v>
      </c>
      <c r="AK423" s="354"/>
      <c r="AL423" s="354">
        <f>AM417-AL417</f>
        <v>946.33262717289017</v>
      </c>
      <c r="AM423" s="354"/>
    </row>
    <row r="424" spans="23:39" x14ac:dyDescent="0.2">
      <c r="AB424" s="319" t="str">
        <f t="shared" ref="AB424:AB426" si="110">AB418</f>
        <v>GS&lt;50</v>
      </c>
      <c r="AC424" s="354">
        <f t="shared" ref="AC424:AC426" si="111">AD418-AC418</f>
        <v>1.5</v>
      </c>
      <c r="AD424" s="354"/>
      <c r="AE424" s="316" t="s">
        <v>168</v>
      </c>
      <c r="AF424" s="354">
        <f t="shared" ref="AF424:AH426" si="112">AG418-AF418</f>
        <v>925731.17944061477</v>
      </c>
      <c r="AG424" s="354"/>
      <c r="AH424" s="354">
        <f t="shared" si="112"/>
        <v>799630.9656459121</v>
      </c>
      <c r="AI424" s="354"/>
      <c r="AJ424" s="354">
        <f t="shared" ref="AJ424" si="113">AK418-AJ418</f>
        <v>3793.8438592078637</v>
      </c>
      <c r="AK424" s="354"/>
      <c r="AL424" s="354">
        <f t="shared" ref="AL424" si="114">AM418-AL418</f>
        <v>3253.8001170463976</v>
      </c>
      <c r="AM424" s="354"/>
    </row>
    <row r="425" spans="23:39" x14ac:dyDescent="0.2">
      <c r="AB425" s="319" t="str">
        <f t="shared" si="110"/>
        <v>GS&gt;50</v>
      </c>
      <c r="AC425" s="354">
        <f t="shared" si="111"/>
        <v>-5</v>
      </c>
      <c r="AD425" s="354"/>
      <c r="AE425" s="316" t="s">
        <v>264</v>
      </c>
      <c r="AF425" s="354">
        <f t="shared" si="112"/>
        <v>-8462.5900000000038</v>
      </c>
      <c r="AG425" s="354"/>
      <c r="AH425" s="354">
        <f t="shared" si="112"/>
        <v>-8991.9524795017314</v>
      </c>
      <c r="AI425" s="354"/>
      <c r="AJ425" s="354">
        <f t="shared" ref="AJ425" si="115">AK419-AJ419</f>
        <v>-191.92950000000019</v>
      </c>
      <c r="AK425" s="354"/>
      <c r="AL425" s="354">
        <f t="shared" ref="AL425" si="116">AM419-AL419</f>
        <v>-218.39762397508662</v>
      </c>
      <c r="AM425" s="354"/>
    </row>
    <row r="426" spans="23:39" x14ac:dyDescent="0.2">
      <c r="W426" s="281"/>
      <c r="X426" s="167"/>
      <c r="Y426" s="167"/>
      <c r="Z426" s="167"/>
      <c r="AA426" s="167"/>
      <c r="AB426" s="319" t="str">
        <f t="shared" si="110"/>
        <v>Street Lights</v>
      </c>
      <c r="AC426" s="354">
        <f t="shared" si="111"/>
        <v>-12</v>
      </c>
      <c r="AD426" s="354"/>
      <c r="AE426" s="316" t="s">
        <v>264</v>
      </c>
      <c r="AF426" s="354">
        <f t="shared" si="112"/>
        <v>-134</v>
      </c>
      <c r="AG426" s="354"/>
      <c r="AH426" s="354">
        <f t="shared" si="112"/>
        <v>-168.36712271313263</v>
      </c>
      <c r="AI426" s="354"/>
      <c r="AJ426" s="354">
        <f t="shared" ref="AJ426" si="117">AK420-AJ420</f>
        <v>-0.17110501636733622</v>
      </c>
      <c r="AK426" s="354"/>
      <c r="AL426" s="354">
        <f t="shared" ref="AL426" si="118">AM420-AL420</f>
        <v>-0.22522646945888392</v>
      </c>
      <c r="AM426" s="354"/>
    </row>
    <row r="427" spans="23:39" x14ac:dyDescent="0.2">
      <c r="W427" s="224" t="s">
        <v>269</v>
      </c>
      <c r="X427" s="224"/>
      <c r="Y427" s="224"/>
      <c r="Z427" s="167"/>
      <c r="AA427" s="167"/>
    </row>
    <row r="428" spans="23:39" ht="25.5" x14ac:dyDescent="0.2">
      <c r="W428" s="261" t="s">
        <v>195</v>
      </c>
      <c r="X428" s="123" t="s">
        <v>220</v>
      </c>
      <c r="Y428" s="194" t="s">
        <v>246</v>
      </c>
      <c r="Z428" s="194" t="s">
        <v>196</v>
      </c>
      <c r="AA428" s="194" t="s">
        <v>197</v>
      </c>
    </row>
    <row r="429" spans="23:39" x14ac:dyDescent="0.2">
      <c r="W429" s="259" t="str">
        <f>W407</f>
        <v>Residential</v>
      </c>
      <c r="X429" s="196">
        <f>L4</f>
        <v>618479.2699999999</v>
      </c>
      <c r="Y429" s="196">
        <f>X407</f>
        <v>676858.56</v>
      </c>
      <c r="Z429" s="196">
        <f>Y429-X429</f>
        <v>58379.290000000154</v>
      </c>
      <c r="AA429" s="197">
        <f>Z429/X429</f>
        <v>9.4391668131415571E-2</v>
      </c>
    </row>
    <row r="430" spans="23:39" x14ac:dyDescent="0.2">
      <c r="W430" s="259" t="str">
        <f t="shared" ref="W430:W432" si="119">W408</f>
        <v>GS&lt;50</v>
      </c>
      <c r="X430" s="196">
        <f>L5</f>
        <v>235089.72</v>
      </c>
      <c r="Y430" s="196">
        <f t="shared" ref="Y430:Y432" si="120">X408</f>
        <v>249046.31</v>
      </c>
      <c r="Z430" s="196">
        <f t="shared" ref="Z430:Z433" si="121">Y430-X430</f>
        <v>13956.589999999997</v>
      </c>
      <c r="AA430" s="197">
        <f t="shared" ref="AA430:AA433" si="122">Z430/X430</f>
        <v>5.9367079087932879E-2</v>
      </c>
    </row>
    <row r="431" spans="23:39" x14ac:dyDescent="0.2">
      <c r="W431" s="259" t="str">
        <f t="shared" si="119"/>
        <v>GS&gt;50</v>
      </c>
      <c r="X431" s="196">
        <f>L6</f>
        <v>142580.84</v>
      </c>
      <c r="Y431" s="196">
        <f t="shared" si="120"/>
        <v>151057.57</v>
      </c>
      <c r="Z431" s="196">
        <f t="shared" si="121"/>
        <v>8476.7300000000105</v>
      </c>
      <c r="AA431" s="197">
        <f t="shared" si="122"/>
        <v>5.945209749079898E-2</v>
      </c>
    </row>
    <row r="432" spans="23:39" x14ac:dyDescent="0.2">
      <c r="W432" s="259" t="str">
        <f t="shared" si="119"/>
        <v>Street Lights</v>
      </c>
      <c r="X432" s="196">
        <f>L7</f>
        <v>75440.539999999994</v>
      </c>
      <c r="Y432" s="196">
        <f t="shared" si="120"/>
        <v>91060.55</v>
      </c>
      <c r="Z432" s="196">
        <f t="shared" si="121"/>
        <v>15620.010000000009</v>
      </c>
      <c r="AA432" s="197">
        <f t="shared" si="122"/>
        <v>0.20705061231003927</v>
      </c>
    </row>
    <row r="433" spans="23:39" x14ac:dyDescent="0.2">
      <c r="W433" s="206" t="s">
        <v>17</v>
      </c>
      <c r="X433" s="196">
        <f>SUM(X429:X432)</f>
        <v>1071590.3699999999</v>
      </c>
      <c r="Y433" s="196">
        <f>SUM(Y429:Y432)</f>
        <v>1168022.9900000002</v>
      </c>
      <c r="Z433" s="196">
        <f t="shared" si="121"/>
        <v>96432.620000000345</v>
      </c>
      <c r="AA433" s="197">
        <f t="shared" si="122"/>
        <v>8.9990189068235429E-2</v>
      </c>
    </row>
    <row r="435" spans="23:39" x14ac:dyDescent="0.2">
      <c r="AB435" s="224" t="s">
        <v>270</v>
      </c>
      <c r="AC435" s="224"/>
      <c r="AD435" s="224"/>
      <c r="AE435" s="167"/>
      <c r="AF435" s="260"/>
    </row>
    <row r="436" spans="23:39" ht="48" customHeight="1" x14ac:dyDescent="0.2">
      <c r="AB436" s="255" t="s">
        <v>198</v>
      </c>
      <c r="AC436" s="349" t="s">
        <v>265</v>
      </c>
      <c r="AD436" s="349"/>
      <c r="AE436" s="222" t="s">
        <v>263</v>
      </c>
      <c r="AF436" s="350" t="s">
        <v>262</v>
      </c>
      <c r="AG436" s="350"/>
      <c r="AH436" s="351" t="s">
        <v>266</v>
      </c>
      <c r="AI436" s="351"/>
      <c r="AJ436" s="351" t="s">
        <v>267</v>
      </c>
      <c r="AK436" s="351"/>
      <c r="AL436" s="351" t="s">
        <v>268</v>
      </c>
      <c r="AM436" s="351"/>
    </row>
    <row r="437" spans="23:39" x14ac:dyDescent="0.2">
      <c r="AB437" s="353" t="str">
        <f>AB415</f>
        <v>Weather 
Normal Conversion 
Factor</v>
      </c>
      <c r="AC437" s="353"/>
      <c r="AD437" s="353"/>
      <c r="AE437" s="353"/>
      <c r="AF437" s="353"/>
      <c r="AG437" s="353"/>
      <c r="AH437" s="256">
        <f>F158</f>
        <v>1.0040998519239508</v>
      </c>
      <c r="AI437" s="256">
        <f>AH415</f>
        <v>1.0237014639400914</v>
      </c>
      <c r="AJ437" s="351"/>
      <c r="AK437" s="351"/>
      <c r="AL437" s="351"/>
      <c r="AM437" s="351"/>
    </row>
    <row r="438" spans="23:39" ht="25.5" x14ac:dyDescent="0.2">
      <c r="AB438" s="257"/>
      <c r="AC438" s="123" t="str">
        <f>X428</f>
        <v>2011 
Actual</v>
      </c>
      <c r="AD438" s="123" t="str">
        <f>Y428</f>
        <v>2012 
Actual</v>
      </c>
      <c r="AE438" s="258"/>
      <c r="AF438" s="123" t="str">
        <f>AC438</f>
        <v>2011 
Actual</v>
      </c>
      <c r="AG438" s="123" t="str">
        <f>AD438</f>
        <v>2012 
Actual</v>
      </c>
      <c r="AH438" s="123" t="str">
        <f>AF438</f>
        <v>2011 
Actual</v>
      </c>
      <c r="AI438" s="123" t="str">
        <f>AG438</f>
        <v>2012 
Actual</v>
      </c>
      <c r="AJ438" s="123" t="str">
        <f>AF438</f>
        <v>2011 
Actual</v>
      </c>
      <c r="AK438" s="123" t="str">
        <f>AG438</f>
        <v>2012 
Actual</v>
      </c>
      <c r="AL438" s="123" t="str">
        <f>AH438</f>
        <v>2011 
Actual</v>
      </c>
      <c r="AM438" s="123" t="str">
        <f>AI438</f>
        <v>2012 
Actual</v>
      </c>
    </row>
    <row r="439" spans="23:39" x14ac:dyDescent="0.2">
      <c r="AB439" s="259" t="str">
        <f>AB417</f>
        <v>Residential</v>
      </c>
      <c r="AC439" s="192">
        <f>N382</f>
        <v>1408.5</v>
      </c>
      <c r="AD439" s="192">
        <f>AC417</f>
        <v>1410</v>
      </c>
      <c r="AE439" s="194" t="s">
        <v>168</v>
      </c>
      <c r="AF439" s="194">
        <f>N383</f>
        <v>9619203.9199999999</v>
      </c>
      <c r="AG439" s="192">
        <f>AF417</f>
        <v>9445561.1400000006</v>
      </c>
      <c r="AH439" s="194">
        <f>AF439*$AH$437</f>
        <v>9658641.2316982877</v>
      </c>
      <c r="AI439" s="192">
        <f>AH417</f>
        <v>9669434.76675364</v>
      </c>
      <c r="AJ439" s="194">
        <f>AF439/AC439</f>
        <v>6829.3957543485976</v>
      </c>
      <c r="AK439" s="194">
        <f>AG439/AD439</f>
        <v>6698.9795319148943</v>
      </c>
      <c r="AL439" s="194">
        <f>AH439/AC439</f>
        <v>6857.3952656714855</v>
      </c>
      <c r="AM439" s="194">
        <f>AI439/AD439</f>
        <v>6857.755153725986</v>
      </c>
    </row>
    <row r="440" spans="23:39" x14ac:dyDescent="0.2">
      <c r="AB440" s="259" t="str">
        <f t="shared" ref="AB440:AB442" si="123">AB418</f>
        <v>GS&lt;50</v>
      </c>
      <c r="AC440" s="192">
        <f>N386</f>
        <v>231.5</v>
      </c>
      <c r="AD440" s="192">
        <f t="shared" ref="AD440:AD442" si="124">AC418</f>
        <v>233.5</v>
      </c>
      <c r="AE440" s="194" t="s">
        <v>168</v>
      </c>
      <c r="AF440" s="198">
        <f>N387</f>
        <v>5619045.1600000001</v>
      </c>
      <c r="AG440" s="192">
        <f t="shared" ref="AG440:AG442" si="125">AF418</f>
        <v>5320355.49</v>
      </c>
      <c r="AH440" s="194">
        <f t="shared" ref="AH440:AH442" si="126">AF440*$AH$437</f>
        <v>5642082.4131099926</v>
      </c>
      <c r="AI440" s="192">
        <f t="shared" ref="AI440:AI442" si="127">AH418</f>
        <v>5446455.7037947029</v>
      </c>
      <c r="AJ440" s="194">
        <f t="shared" ref="AJ440:AJ442" si="128">AF440/AC440</f>
        <v>24272.333304535638</v>
      </c>
      <c r="AK440" s="194">
        <f t="shared" ref="AK440:AK442" si="129">AG440/AD440</f>
        <v>22785.248351177732</v>
      </c>
      <c r="AL440" s="194">
        <f t="shared" ref="AL440:AL442" si="130">AH440/AC440</f>
        <v>24371.846276933014</v>
      </c>
      <c r="AM440" s="194">
        <f t="shared" ref="AM440:AM442" si="131">AI440/AD440</f>
        <v>23325.292093339198</v>
      </c>
    </row>
    <row r="441" spans="23:39" x14ac:dyDescent="0.2">
      <c r="AB441" s="259" t="str">
        <f t="shared" si="123"/>
        <v>GS&gt;50</v>
      </c>
      <c r="AC441" s="192">
        <f>N390</f>
        <v>22</v>
      </c>
      <c r="AD441" s="192">
        <f t="shared" si="124"/>
        <v>20</v>
      </c>
      <c r="AE441" s="194" t="s">
        <v>264</v>
      </c>
      <c r="AF441" s="198">
        <f>N392</f>
        <v>20693.859999999997</v>
      </c>
      <c r="AG441" s="192">
        <f t="shared" si="125"/>
        <v>22334.590000000004</v>
      </c>
      <c r="AH441" s="194">
        <f t="shared" si="126"/>
        <v>20778.701761734967</v>
      </c>
      <c r="AI441" s="192">
        <f t="shared" si="127"/>
        <v>22863.952479501731</v>
      </c>
      <c r="AJ441" s="194">
        <f t="shared" si="128"/>
        <v>940.62999999999988</v>
      </c>
      <c r="AK441" s="194">
        <f t="shared" si="129"/>
        <v>1116.7295000000001</v>
      </c>
      <c r="AL441" s="194">
        <f t="shared" si="130"/>
        <v>944.48644371522573</v>
      </c>
      <c r="AM441" s="194">
        <f t="shared" si="131"/>
        <v>1143.1976239750866</v>
      </c>
    </row>
    <row r="442" spans="23:39" x14ac:dyDescent="0.2">
      <c r="AB442" s="259" t="str">
        <f t="shared" si="123"/>
        <v>Street Lights</v>
      </c>
      <c r="AC442" s="192">
        <f>N395</f>
        <v>631.5</v>
      </c>
      <c r="AD442" s="192">
        <f t="shared" si="124"/>
        <v>635</v>
      </c>
      <c r="AE442" s="194" t="s">
        <v>264</v>
      </c>
      <c r="AF442" s="198">
        <f>N397</f>
        <v>1450.33</v>
      </c>
      <c r="AG442" s="192">
        <f t="shared" si="125"/>
        <v>1450</v>
      </c>
      <c r="AH442" s="194">
        <f t="shared" si="126"/>
        <v>1456.2761382408635</v>
      </c>
      <c r="AI442" s="192">
        <f t="shared" si="127"/>
        <v>1484.3671227131326</v>
      </c>
      <c r="AJ442" s="194">
        <f t="shared" si="128"/>
        <v>2.2966429136975455</v>
      </c>
      <c r="AK442" s="194">
        <f t="shared" si="129"/>
        <v>2.2834645669291338</v>
      </c>
      <c r="AL442" s="194">
        <f t="shared" si="130"/>
        <v>2.3060588095658963</v>
      </c>
      <c r="AM442" s="194">
        <f t="shared" si="131"/>
        <v>2.3375860200206815</v>
      </c>
    </row>
    <row r="443" spans="23:39" x14ac:dyDescent="0.2">
      <c r="AB443" s="259" t="s">
        <v>10</v>
      </c>
      <c r="AC443" s="192">
        <f>SUM(AC439:AC442)</f>
        <v>2293.5</v>
      </c>
      <c r="AD443" s="192">
        <f>SUM(AD439:AD442)</f>
        <v>2298.5</v>
      </c>
      <c r="AE443" s="194"/>
      <c r="AF443" s="198"/>
      <c r="AG443" s="198"/>
      <c r="AH443" s="198"/>
      <c r="AI443" s="198"/>
      <c r="AJ443" s="198"/>
      <c r="AK443" s="198"/>
      <c r="AL443" s="198"/>
      <c r="AM443" s="198"/>
    </row>
    <row r="444" spans="23:39" x14ac:dyDescent="0.2">
      <c r="AB444" s="122"/>
      <c r="AC444" s="348" t="s">
        <v>261</v>
      </c>
      <c r="AD444" s="348"/>
      <c r="AE444" s="122"/>
      <c r="AF444" s="348" t="s">
        <v>261</v>
      </c>
      <c r="AG444" s="348"/>
      <c r="AH444" s="348" t="s">
        <v>261</v>
      </c>
      <c r="AI444" s="348"/>
      <c r="AJ444" s="348" t="s">
        <v>261</v>
      </c>
      <c r="AK444" s="348"/>
      <c r="AL444" s="348" t="s">
        <v>261</v>
      </c>
      <c r="AM444" s="348"/>
    </row>
    <row r="445" spans="23:39" x14ac:dyDescent="0.2">
      <c r="AB445" s="199" t="str">
        <f>AB439</f>
        <v>Residential</v>
      </c>
      <c r="AC445" s="352">
        <f>AD439-AC439</f>
        <v>1.5</v>
      </c>
      <c r="AD445" s="352"/>
      <c r="AE445" s="194" t="s">
        <v>168</v>
      </c>
      <c r="AF445" s="352">
        <f>AG439-AF439</f>
        <v>-173642.77999999933</v>
      </c>
      <c r="AG445" s="352"/>
      <c r="AH445" s="352">
        <f>AI439-AH439</f>
        <v>10793.535055352375</v>
      </c>
      <c r="AI445" s="352"/>
      <c r="AJ445" s="352">
        <f>AK439-AJ439</f>
        <v>-130.4162224337033</v>
      </c>
      <c r="AK445" s="352"/>
      <c r="AL445" s="352">
        <f>AM439-AL439</f>
        <v>0.35988805450051586</v>
      </c>
      <c r="AM445" s="352"/>
    </row>
    <row r="446" spans="23:39" x14ac:dyDescent="0.2">
      <c r="AB446" s="199" t="str">
        <f t="shared" ref="AB446:AB448" si="132">AB440</f>
        <v>GS&lt;50</v>
      </c>
      <c r="AC446" s="352">
        <f t="shared" ref="AC446:AC448" si="133">AD440-AC440</f>
        <v>2</v>
      </c>
      <c r="AD446" s="352"/>
      <c r="AE446" s="194" t="s">
        <v>168</v>
      </c>
      <c r="AF446" s="352">
        <f t="shared" ref="AF446" si="134">AG440-AF440</f>
        <v>-298689.66999999993</v>
      </c>
      <c r="AG446" s="352"/>
      <c r="AH446" s="352">
        <f t="shared" ref="AH446" si="135">AI440-AH440</f>
        <v>-195626.70931528974</v>
      </c>
      <c r="AI446" s="352"/>
      <c r="AJ446" s="352">
        <f t="shared" ref="AJ446" si="136">AK440-AJ440</f>
        <v>-1487.0849533579058</v>
      </c>
      <c r="AK446" s="352"/>
      <c r="AL446" s="352">
        <f t="shared" ref="AL446" si="137">AM440-AL440</f>
        <v>-1046.5541835938166</v>
      </c>
      <c r="AM446" s="352"/>
    </row>
    <row r="447" spans="23:39" x14ac:dyDescent="0.2">
      <c r="AB447" s="199" t="str">
        <f t="shared" si="132"/>
        <v>GS&gt;50</v>
      </c>
      <c r="AC447" s="352">
        <f t="shared" si="133"/>
        <v>-2</v>
      </c>
      <c r="AD447" s="352"/>
      <c r="AE447" s="194" t="s">
        <v>264</v>
      </c>
      <c r="AF447" s="352">
        <f t="shared" ref="AF447" si="138">AG441-AF441</f>
        <v>1640.7300000000068</v>
      </c>
      <c r="AG447" s="352"/>
      <c r="AH447" s="352">
        <f t="shared" ref="AH447" si="139">AI441-AH441</f>
        <v>2085.2507177667649</v>
      </c>
      <c r="AI447" s="352"/>
      <c r="AJ447" s="352">
        <f t="shared" ref="AJ447" si="140">AK441-AJ441</f>
        <v>176.09950000000026</v>
      </c>
      <c r="AK447" s="352"/>
      <c r="AL447" s="352">
        <f t="shared" ref="AL447" si="141">AM441-AL441</f>
        <v>198.71118025986084</v>
      </c>
      <c r="AM447" s="352"/>
    </row>
    <row r="448" spans="23:39" x14ac:dyDescent="0.2">
      <c r="AB448" s="199" t="str">
        <f t="shared" si="132"/>
        <v>Street Lights</v>
      </c>
      <c r="AC448" s="352">
        <f t="shared" si="133"/>
        <v>3.5</v>
      </c>
      <c r="AD448" s="352"/>
      <c r="AE448" s="194" t="s">
        <v>264</v>
      </c>
      <c r="AF448" s="352">
        <f t="shared" ref="AF448" si="142">AG442-AF442</f>
        <v>-0.32999999999992724</v>
      </c>
      <c r="AG448" s="352"/>
      <c r="AH448" s="352">
        <f t="shared" ref="AH448" si="143">AI442-AH442</f>
        <v>28.090984472269156</v>
      </c>
      <c r="AI448" s="352"/>
      <c r="AJ448" s="352">
        <f t="shared" ref="AJ448" si="144">AK442-AJ442</f>
        <v>-1.3178346768411675E-2</v>
      </c>
      <c r="AK448" s="352"/>
      <c r="AL448" s="352">
        <f t="shared" ref="AL448" si="145">AM442-AL442</f>
        <v>3.1527210454785237E-2</v>
      </c>
      <c r="AM448" s="352"/>
    </row>
    <row r="449" spans="23:39" x14ac:dyDescent="0.2">
      <c r="W449" s="224" t="s">
        <v>271</v>
      </c>
      <c r="X449" s="224"/>
      <c r="Y449" s="224"/>
      <c r="Z449" s="167"/>
      <c r="AA449" s="167"/>
    </row>
    <row r="450" spans="23:39" ht="25.5" x14ac:dyDescent="0.2">
      <c r="W450" s="261" t="s">
        <v>195</v>
      </c>
      <c r="X450" s="194" t="str">
        <f>Y428</f>
        <v>2012 
Actual</v>
      </c>
      <c r="Y450" s="194" t="s">
        <v>247</v>
      </c>
      <c r="Z450" s="194" t="s">
        <v>196</v>
      </c>
      <c r="AA450" s="194" t="s">
        <v>197</v>
      </c>
    </row>
    <row r="451" spans="23:39" x14ac:dyDescent="0.2">
      <c r="W451" s="259" t="str">
        <f>W429</f>
        <v>Residential</v>
      </c>
      <c r="X451" s="196">
        <f>Y429</f>
        <v>676858.56</v>
      </c>
      <c r="Y451" s="196">
        <f>O4</f>
        <v>773905.84</v>
      </c>
      <c r="Z451" s="196">
        <f>Y451-X451</f>
        <v>97047.279999999912</v>
      </c>
      <c r="AA451" s="197">
        <f>Z451/X451</f>
        <v>0.1433789653188399</v>
      </c>
    </row>
    <row r="452" spans="23:39" x14ac:dyDescent="0.2">
      <c r="W452" s="259" t="str">
        <f t="shared" ref="W452:W454" si="146">W430</f>
        <v>GS&lt;50</v>
      </c>
      <c r="X452" s="196">
        <f t="shared" ref="X452:X454" si="147">Y430</f>
        <v>249046.31</v>
      </c>
      <c r="Y452" s="196">
        <f>O5</f>
        <v>276073.57</v>
      </c>
      <c r="Z452" s="196">
        <f t="shared" ref="Z452:Z455" si="148">Y452-X452</f>
        <v>27027.260000000009</v>
      </c>
      <c r="AA452" s="197">
        <f t="shared" ref="AA452:AA455" si="149">Z452/X452</f>
        <v>0.10852302931129559</v>
      </c>
    </row>
    <row r="453" spans="23:39" x14ac:dyDescent="0.2">
      <c r="W453" s="259" t="str">
        <f t="shared" si="146"/>
        <v>GS&gt;50</v>
      </c>
      <c r="X453" s="196">
        <f t="shared" si="147"/>
        <v>151057.57</v>
      </c>
      <c r="Y453" s="196">
        <f>O6</f>
        <v>163590.17000000001</v>
      </c>
      <c r="Z453" s="196">
        <f t="shared" si="148"/>
        <v>12532.600000000006</v>
      </c>
      <c r="AA453" s="197">
        <f t="shared" si="149"/>
        <v>8.2965719625967799E-2</v>
      </c>
    </row>
    <row r="454" spans="23:39" x14ac:dyDescent="0.2">
      <c r="W454" s="259" t="str">
        <f t="shared" si="146"/>
        <v>Street Lights</v>
      </c>
      <c r="X454" s="196">
        <f t="shared" si="147"/>
        <v>91060.55</v>
      </c>
      <c r="Y454" s="196">
        <f>O7</f>
        <v>111656.49</v>
      </c>
      <c r="Z454" s="196">
        <f t="shared" si="148"/>
        <v>20595.940000000002</v>
      </c>
      <c r="AA454" s="197">
        <f t="shared" si="149"/>
        <v>0.22617851528461008</v>
      </c>
    </row>
    <row r="455" spans="23:39" x14ac:dyDescent="0.2">
      <c r="W455" s="206" t="s">
        <v>17</v>
      </c>
      <c r="X455" s="196">
        <f>SUM(X451:X454)</f>
        <v>1168022.9900000002</v>
      </c>
      <c r="Y455" s="196">
        <f>SUM(Y451:Y454)</f>
        <v>1325226.0699999998</v>
      </c>
      <c r="Z455" s="196">
        <f t="shared" si="148"/>
        <v>157203.07999999961</v>
      </c>
      <c r="AA455" s="197">
        <f t="shared" si="149"/>
        <v>0.13458902893683589</v>
      </c>
    </row>
    <row r="457" spans="23:39" x14ac:dyDescent="0.2">
      <c r="AB457" s="224" t="s">
        <v>272</v>
      </c>
      <c r="AC457" s="224"/>
      <c r="AD457" s="224"/>
      <c r="AE457" s="167"/>
      <c r="AF457" s="260"/>
    </row>
    <row r="458" spans="23:39" x14ac:dyDescent="0.2">
      <c r="AB458" s="255" t="s">
        <v>198</v>
      </c>
      <c r="AC458" s="349" t="s">
        <v>265</v>
      </c>
      <c r="AD458" s="349"/>
      <c r="AE458" s="222" t="s">
        <v>263</v>
      </c>
      <c r="AF458" s="350" t="s">
        <v>262</v>
      </c>
      <c r="AG458" s="350"/>
      <c r="AH458" s="351" t="s">
        <v>266</v>
      </c>
      <c r="AI458" s="351"/>
      <c r="AJ458" s="351" t="s">
        <v>267</v>
      </c>
      <c r="AK458" s="351"/>
      <c r="AL458" s="351" t="s">
        <v>268</v>
      </c>
      <c r="AM458" s="351"/>
    </row>
    <row r="459" spans="23:39" x14ac:dyDescent="0.2">
      <c r="AB459" s="353" t="str">
        <f>AB437</f>
        <v>Weather 
Normal Conversion 
Factor</v>
      </c>
      <c r="AC459" s="353"/>
      <c r="AD459" s="353"/>
      <c r="AE459" s="353"/>
      <c r="AF459" s="353"/>
      <c r="AG459" s="353"/>
      <c r="AH459" s="256">
        <f>AI437</f>
        <v>1.0237014639400914</v>
      </c>
      <c r="AI459" s="256">
        <f>F160</f>
        <v>0.98477996872220108</v>
      </c>
      <c r="AJ459" s="351"/>
      <c r="AK459" s="351"/>
      <c r="AL459" s="351"/>
      <c r="AM459" s="351"/>
    </row>
    <row r="460" spans="23:39" ht="25.5" x14ac:dyDescent="0.2">
      <c r="AB460" s="257"/>
      <c r="AC460" s="123" t="str">
        <f>X450</f>
        <v>2012 
Actual</v>
      </c>
      <c r="AD460" s="123" t="str">
        <f>Y450</f>
        <v>2013 
Actual</v>
      </c>
      <c r="AE460" s="258"/>
      <c r="AF460" s="123" t="str">
        <f>AC460</f>
        <v>2012 
Actual</v>
      </c>
      <c r="AG460" s="123" t="str">
        <f>AD460</f>
        <v>2013 
Actual</v>
      </c>
      <c r="AH460" s="123" t="str">
        <f>AF460</f>
        <v>2012 
Actual</v>
      </c>
      <c r="AI460" s="123" t="str">
        <f>AG460</f>
        <v>2013 
Actual</v>
      </c>
      <c r="AJ460" s="123" t="str">
        <f>AF460</f>
        <v>2012 
Actual</v>
      </c>
      <c r="AK460" s="123" t="str">
        <f>AG460</f>
        <v>2013 
Actual</v>
      </c>
      <c r="AL460" s="123" t="str">
        <f>AH460</f>
        <v>2012 
Actual</v>
      </c>
      <c r="AM460" s="123" t="str">
        <f>AI460</f>
        <v>2013 
Actual</v>
      </c>
    </row>
    <row r="461" spans="23:39" x14ac:dyDescent="0.2">
      <c r="AB461" s="259" t="str">
        <f>AB439</f>
        <v>Residential</v>
      </c>
      <c r="AC461" s="192">
        <f>AD439</f>
        <v>1410</v>
      </c>
      <c r="AD461" s="192">
        <f>Q382</f>
        <v>1412.5</v>
      </c>
      <c r="AE461" s="194" t="s">
        <v>168</v>
      </c>
      <c r="AF461" s="192">
        <f>AG439</f>
        <v>9445561.1400000006</v>
      </c>
      <c r="AG461" s="192">
        <f>Q383</f>
        <v>9833794.3900000006</v>
      </c>
      <c r="AH461" s="194">
        <f>AF461*AH459</f>
        <v>9669434.76675364</v>
      </c>
      <c r="AI461" s="192">
        <f>AG461*AI459</f>
        <v>9684123.7318047564</v>
      </c>
      <c r="AJ461" s="194">
        <f>AF461/AC461</f>
        <v>6698.9795319148943</v>
      </c>
      <c r="AK461" s="194">
        <f>AG461/AD461</f>
        <v>6961.9783292035399</v>
      </c>
      <c r="AL461" s="194">
        <f>AH461/AC461</f>
        <v>6857.755153725986</v>
      </c>
      <c r="AM461" s="194">
        <f>AI461/AD461</f>
        <v>6856.016801277704</v>
      </c>
    </row>
    <row r="462" spans="23:39" x14ac:dyDescent="0.2">
      <c r="AB462" s="259" t="str">
        <f t="shared" ref="AB462:AB464" si="150">AB440</f>
        <v>GS&lt;50</v>
      </c>
      <c r="AC462" s="192">
        <f t="shared" ref="AC462:AC464" si="151">AD440</f>
        <v>233.5</v>
      </c>
      <c r="AD462" s="192">
        <f>Q386</f>
        <v>234.5</v>
      </c>
      <c r="AE462" s="194" t="s">
        <v>168</v>
      </c>
      <c r="AF462" s="192">
        <f t="shared" ref="AF462:AF464" si="152">AG440</f>
        <v>5320355.49</v>
      </c>
      <c r="AG462" s="192">
        <f>Q387</f>
        <v>5238114.24</v>
      </c>
      <c r="AH462" s="194">
        <f>AF462*AH459</f>
        <v>5446455.7037947029</v>
      </c>
      <c r="AI462" s="192">
        <f>AG462*AI459</f>
        <v>5158389.9774305159</v>
      </c>
      <c r="AJ462" s="194">
        <f t="shared" ref="AJ462:AJ464" si="153">AF462/AC462</f>
        <v>22785.248351177732</v>
      </c>
      <c r="AK462" s="194">
        <f t="shared" ref="AK462:AK463" si="154">AG462/AD462</f>
        <v>22337.374157782517</v>
      </c>
      <c r="AL462" s="194">
        <f t="shared" ref="AL462:AL464" si="155">AH462/AC462</f>
        <v>23325.292093339198</v>
      </c>
      <c r="AM462" s="194">
        <f>AI462/AD462</f>
        <v>21997.39862443717</v>
      </c>
    </row>
    <row r="463" spans="23:39" x14ac:dyDescent="0.2">
      <c r="AB463" s="259" t="str">
        <f t="shared" si="150"/>
        <v>GS&gt;50</v>
      </c>
      <c r="AC463" s="192">
        <f t="shared" si="151"/>
        <v>20</v>
      </c>
      <c r="AD463" s="192">
        <f>Q390</f>
        <v>18</v>
      </c>
      <c r="AE463" s="194" t="s">
        <v>264</v>
      </c>
      <c r="AF463" s="192">
        <f t="shared" si="152"/>
        <v>22334.590000000004</v>
      </c>
      <c r="AG463" s="192">
        <f>Q392</f>
        <v>21680</v>
      </c>
      <c r="AH463" s="194">
        <f>AF463*AH459</f>
        <v>22863.952479501731</v>
      </c>
      <c r="AI463" s="192">
        <f>AG463*AI459</f>
        <v>21350.029721897321</v>
      </c>
      <c r="AJ463" s="194">
        <f t="shared" si="153"/>
        <v>1116.7295000000001</v>
      </c>
      <c r="AK463" s="194">
        <f t="shared" si="154"/>
        <v>1204.4444444444443</v>
      </c>
      <c r="AL463" s="194">
        <f t="shared" si="155"/>
        <v>1143.1976239750866</v>
      </c>
      <c r="AM463" s="194">
        <f t="shared" ref="AM463:AM464" si="156">AI463/AD463</f>
        <v>1186.1127623276288</v>
      </c>
    </row>
    <row r="464" spans="23:39" x14ac:dyDescent="0.2">
      <c r="AB464" s="259" t="str">
        <f t="shared" si="150"/>
        <v>Street Lights</v>
      </c>
      <c r="AC464" s="192">
        <f t="shared" si="151"/>
        <v>635</v>
      </c>
      <c r="AD464" s="192">
        <f>Q395</f>
        <v>635</v>
      </c>
      <c r="AE464" s="194" t="s">
        <v>264</v>
      </c>
      <c r="AF464" s="192">
        <f t="shared" si="152"/>
        <v>1450</v>
      </c>
      <c r="AG464" s="192">
        <f>Q397</f>
        <v>1450</v>
      </c>
      <c r="AH464" s="194">
        <f>AF464*AH459</f>
        <v>1484.3671227131326</v>
      </c>
      <c r="AI464" s="192">
        <f>AG464*AI459</f>
        <v>1427.9309546471916</v>
      </c>
      <c r="AJ464" s="194">
        <f t="shared" si="153"/>
        <v>2.2834645669291338</v>
      </c>
      <c r="AK464" s="194">
        <f>AG464/AD464</f>
        <v>2.2834645669291338</v>
      </c>
      <c r="AL464" s="194">
        <f t="shared" si="155"/>
        <v>2.3375860200206815</v>
      </c>
      <c r="AM464" s="194">
        <f t="shared" si="156"/>
        <v>2.2487101647987271</v>
      </c>
    </row>
    <row r="465" spans="23:39" x14ac:dyDescent="0.2">
      <c r="AB465" s="259" t="s">
        <v>10</v>
      </c>
      <c r="AC465" s="192">
        <f>SUM(AC461:AC464)</f>
        <v>2298.5</v>
      </c>
      <c r="AD465" s="192">
        <f>SUM(AD461:AD464)</f>
        <v>2300</v>
      </c>
      <c r="AE465" s="194"/>
      <c r="AF465" s="198"/>
      <c r="AG465" s="198"/>
      <c r="AH465" s="198"/>
      <c r="AI465" s="198"/>
      <c r="AJ465" s="198"/>
      <c r="AK465" s="198"/>
      <c r="AL465" s="198"/>
      <c r="AM465" s="198"/>
    </row>
    <row r="466" spans="23:39" x14ac:dyDescent="0.2">
      <c r="AB466" s="122"/>
      <c r="AC466" s="348" t="s">
        <v>261</v>
      </c>
      <c r="AD466" s="348"/>
      <c r="AE466" s="122"/>
      <c r="AF466" s="348" t="s">
        <v>261</v>
      </c>
      <c r="AG466" s="348"/>
      <c r="AH466" s="348" t="s">
        <v>261</v>
      </c>
      <c r="AI466" s="348"/>
      <c r="AJ466" s="348" t="s">
        <v>261</v>
      </c>
      <c r="AK466" s="348"/>
      <c r="AL466" s="348" t="s">
        <v>261</v>
      </c>
      <c r="AM466" s="348"/>
    </row>
    <row r="467" spans="23:39" x14ac:dyDescent="0.2">
      <c r="AB467" s="199" t="str">
        <f>AB461</f>
        <v>Residential</v>
      </c>
      <c r="AC467" s="352">
        <f>AD461-AC461</f>
        <v>2.5</v>
      </c>
      <c r="AD467" s="352"/>
      <c r="AE467" s="194" t="s">
        <v>168</v>
      </c>
      <c r="AF467" s="352">
        <f>AG461-AF461</f>
        <v>388233.25</v>
      </c>
      <c r="AG467" s="352"/>
      <c r="AH467" s="352">
        <f>AI461-AH461</f>
        <v>14688.965051116422</v>
      </c>
      <c r="AI467" s="352"/>
      <c r="AJ467" s="352">
        <f>AK461-AJ461</f>
        <v>262.99879728864562</v>
      </c>
      <c r="AK467" s="352"/>
      <c r="AL467" s="352">
        <f>AM461-AL461</f>
        <v>-1.7383524482820576</v>
      </c>
      <c r="AM467" s="352"/>
    </row>
    <row r="468" spans="23:39" x14ac:dyDescent="0.2">
      <c r="AB468" s="199" t="str">
        <f t="shared" ref="AB468:AB470" si="157">AB462</f>
        <v>GS&lt;50</v>
      </c>
      <c r="AC468" s="352">
        <f t="shared" ref="AC468:AC470" si="158">AD462-AC462</f>
        <v>1</v>
      </c>
      <c r="AD468" s="352"/>
      <c r="AE468" s="194" t="s">
        <v>168</v>
      </c>
      <c r="AF468" s="352">
        <f t="shared" ref="AF468" si="159">AG462-AF462</f>
        <v>-82241.25</v>
      </c>
      <c r="AG468" s="352"/>
      <c r="AH468" s="352">
        <f t="shared" ref="AH468" si="160">AI462-AH462</f>
        <v>-288065.72636418696</v>
      </c>
      <c r="AI468" s="352"/>
      <c r="AJ468" s="352">
        <f t="shared" ref="AJ468" si="161">AK462-AJ462</f>
        <v>-447.87419339521512</v>
      </c>
      <c r="AK468" s="352"/>
      <c r="AL468" s="352">
        <f t="shared" ref="AL468" si="162">AM462-AL462</f>
        <v>-1327.893468902028</v>
      </c>
      <c r="AM468" s="352"/>
    </row>
    <row r="469" spans="23:39" x14ac:dyDescent="0.2">
      <c r="AB469" s="199" t="str">
        <f t="shared" si="157"/>
        <v>GS&gt;50</v>
      </c>
      <c r="AC469" s="352">
        <f t="shared" si="158"/>
        <v>-2</v>
      </c>
      <c r="AD469" s="352"/>
      <c r="AE469" s="194" t="s">
        <v>264</v>
      </c>
      <c r="AF469" s="352">
        <f t="shared" ref="AF469" si="163">AG463-AF463</f>
        <v>-654.59000000000378</v>
      </c>
      <c r="AG469" s="352"/>
      <c r="AH469" s="352">
        <f t="shared" ref="AH469" si="164">AI463-AH463</f>
        <v>-1513.9227576044104</v>
      </c>
      <c r="AI469" s="352"/>
      <c r="AJ469" s="352">
        <f t="shared" ref="AJ469" si="165">AK463-AJ463</f>
        <v>87.7149444444442</v>
      </c>
      <c r="AK469" s="352"/>
      <c r="AL469" s="352">
        <f t="shared" ref="AL469" si="166">AM463-AL463</f>
        <v>42.915138352542272</v>
      </c>
      <c r="AM469" s="352"/>
    </row>
    <row r="470" spans="23:39" x14ac:dyDescent="0.2">
      <c r="AB470" s="199" t="str">
        <f t="shared" si="157"/>
        <v>Street Lights</v>
      </c>
      <c r="AC470" s="352">
        <f t="shared" si="158"/>
        <v>0</v>
      </c>
      <c r="AD470" s="352"/>
      <c r="AE470" s="194" t="s">
        <v>264</v>
      </c>
      <c r="AF470" s="352">
        <f t="shared" ref="AF470" si="167">AG464-AF464</f>
        <v>0</v>
      </c>
      <c r="AG470" s="352"/>
      <c r="AH470" s="352">
        <f t="shared" ref="AH470" si="168">AI464-AH464</f>
        <v>-56.436168065941047</v>
      </c>
      <c r="AI470" s="352"/>
      <c r="AJ470" s="352">
        <f t="shared" ref="AJ470" si="169">AK464-AJ464</f>
        <v>0</v>
      </c>
      <c r="AK470" s="352"/>
      <c r="AL470" s="352">
        <f t="shared" ref="AL470" si="170">AM464-AL464</f>
        <v>-8.8875855221954403E-2</v>
      </c>
      <c r="AM470" s="352"/>
    </row>
    <row r="471" spans="23:39" x14ac:dyDescent="0.2">
      <c r="W471" s="224" t="s">
        <v>273</v>
      </c>
      <c r="X471" s="224"/>
      <c r="Y471" s="224"/>
      <c r="Z471" s="167"/>
      <c r="AA471" s="167"/>
    </row>
    <row r="472" spans="23:39" ht="25.5" x14ac:dyDescent="0.2">
      <c r="W472" s="261" t="s">
        <v>195</v>
      </c>
      <c r="X472" s="194" t="str">
        <f>Y450</f>
        <v>2013 
Actual</v>
      </c>
      <c r="Y472" s="194" t="s">
        <v>248</v>
      </c>
      <c r="Z472" s="194" t="s">
        <v>196</v>
      </c>
      <c r="AA472" s="194" t="s">
        <v>197</v>
      </c>
    </row>
    <row r="473" spans="23:39" x14ac:dyDescent="0.2">
      <c r="W473" s="259" t="str">
        <f>W451</f>
        <v>Residential</v>
      </c>
      <c r="X473" s="196">
        <f>Y451</f>
        <v>773905.84</v>
      </c>
      <c r="Y473" s="196">
        <f>P4</f>
        <v>781984.78</v>
      </c>
      <c r="Z473" s="196">
        <f>Y473-X473</f>
        <v>8078.9400000000605</v>
      </c>
      <c r="AA473" s="197">
        <f>Z473/X473</f>
        <v>1.0439176941732421E-2</v>
      </c>
    </row>
    <row r="474" spans="23:39" x14ac:dyDescent="0.2">
      <c r="W474" s="259" t="str">
        <f t="shared" ref="W474:W476" si="171">W452</f>
        <v>GS&lt;50</v>
      </c>
      <c r="X474" s="196">
        <f t="shared" ref="X474:X476" si="172">Y452</f>
        <v>276073.57</v>
      </c>
      <c r="Y474" s="196">
        <f>P5</f>
        <v>275250.09000000003</v>
      </c>
      <c r="Z474" s="196">
        <f t="shared" ref="Z474:Z477" si="173">Y474-X474</f>
        <v>-823.47999999998137</v>
      </c>
      <c r="AA474" s="197">
        <f t="shared" ref="AA474:AA477" si="174">Z474/X474</f>
        <v>-2.9828280918016937E-3</v>
      </c>
    </row>
    <row r="475" spans="23:39" x14ac:dyDescent="0.2">
      <c r="W475" s="259" t="str">
        <f t="shared" si="171"/>
        <v>GS&gt;50</v>
      </c>
      <c r="X475" s="196">
        <f t="shared" si="172"/>
        <v>163590.17000000001</v>
      </c>
      <c r="Y475" s="196">
        <f>P6</f>
        <v>173917.02</v>
      </c>
      <c r="Z475" s="196">
        <f t="shared" si="173"/>
        <v>10326.849999999977</v>
      </c>
      <c r="AA475" s="197">
        <f t="shared" si="174"/>
        <v>6.3126347995114712E-2</v>
      </c>
    </row>
    <row r="476" spans="23:39" x14ac:dyDescent="0.2">
      <c r="W476" s="259" t="str">
        <f t="shared" si="171"/>
        <v>Street Lights</v>
      </c>
      <c r="X476" s="196">
        <f t="shared" si="172"/>
        <v>111656.49</v>
      </c>
      <c r="Y476" s="196">
        <f>P7</f>
        <v>112397.13</v>
      </c>
      <c r="Z476" s="196">
        <f t="shared" si="173"/>
        <v>740.63999999999942</v>
      </c>
      <c r="AA476" s="197">
        <f t="shared" si="174"/>
        <v>6.6332015272914224E-3</v>
      </c>
    </row>
    <row r="477" spans="23:39" x14ac:dyDescent="0.2">
      <c r="W477" s="206" t="s">
        <v>17</v>
      </c>
      <c r="X477" s="196">
        <f>SUM(X473:X476)</f>
        <v>1325226.0699999998</v>
      </c>
      <c r="Y477" s="196">
        <f>SUM(Y473:Y476)</f>
        <v>1343549.02</v>
      </c>
      <c r="Z477" s="196">
        <f t="shared" si="173"/>
        <v>18322.950000000186</v>
      </c>
      <c r="AA477" s="197">
        <f t="shared" si="174"/>
        <v>1.3826282484768949E-2</v>
      </c>
    </row>
    <row r="479" spans="23:39" x14ac:dyDescent="0.2">
      <c r="AB479" s="224" t="s">
        <v>274</v>
      </c>
      <c r="AC479" s="224"/>
      <c r="AD479" s="224"/>
      <c r="AE479" s="167"/>
      <c r="AF479" s="260"/>
    </row>
    <row r="480" spans="23:39" x14ac:dyDescent="0.2">
      <c r="AB480" s="255" t="s">
        <v>198</v>
      </c>
      <c r="AC480" s="349" t="s">
        <v>265</v>
      </c>
      <c r="AD480" s="349"/>
      <c r="AE480" s="222" t="s">
        <v>263</v>
      </c>
      <c r="AF480" s="350" t="s">
        <v>262</v>
      </c>
      <c r="AG480" s="350"/>
      <c r="AH480" s="351" t="s">
        <v>266</v>
      </c>
      <c r="AI480" s="351"/>
      <c r="AJ480" s="351" t="s">
        <v>267</v>
      </c>
      <c r="AK480" s="351"/>
      <c r="AL480" s="351" t="s">
        <v>268</v>
      </c>
      <c r="AM480" s="351"/>
    </row>
    <row r="481" spans="23:51" x14ac:dyDescent="0.2">
      <c r="AB481" s="343" t="str">
        <f>AB459</f>
        <v>Weather 
Normal Conversion 
Factor</v>
      </c>
      <c r="AC481" s="344"/>
      <c r="AD481" s="344"/>
      <c r="AE481" s="344"/>
      <c r="AF481" s="344"/>
      <c r="AG481" s="345"/>
      <c r="AH481" s="256">
        <f>AI459</f>
        <v>0.98477996872220108</v>
      </c>
      <c r="AI481" s="256">
        <f>F161</f>
        <v>0.98490201724064241</v>
      </c>
      <c r="AJ481" s="346"/>
      <c r="AK481" s="347"/>
      <c r="AL481" s="346"/>
      <c r="AM481" s="347"/>
    </row>
    <row r="482" spans="23:51" ht="25.5" x14ac:dyDescent="0.2">
      <c r="AB482" s="257"/>
      <c r="AC482" s="123" t="str">
        <f>X472</f>
        <v>2013 
Actual</v>
      </c>
      <c r="AD482" s="123" t="str">
        <f>Y472</f>
        <v>2014 
Actual</v>
      </c>
      <c r="AE482" s="258"/>
      <c r="AF482" s="123" t="str">
        <f>AC482</f>
        <v>2013 
Actual</v>
      </c>
      <c r="AG482" s="123" t="str">
        <f>AD482</f>
        <v>2014 
Actual</v>
      </c>
      <c r="AH482" s="123" t="str">
        <f>AF482</f>
        <v>2013 
Actual</v>
      </c>
      <c r="AI482" s="123" t="str">
        <f>AG482</f>
        <v>2014 
Actual</v>
      </c>
      <c r="AJ482" s="123" t="str">
        <f>AF482</f>
        <v>2013 
Actual</v>
      </c>
      <c r="AK482" s="123" t="str">
        <f>AG482</f>
        <v>2014 
Actual</v>
      </c>
      <c r="AL482" s="123" t="str">
        <f>AH482</f>
        <v>2013 
Actual</v>
      </c>
      <c r="AM482" s="123" t="str">
        <f>AI482</f>
        <v>2014 
Actual</v>
      </c>
    </row>
    <row r="483" spans="23:51" x14ac:dyDescent="0.2">
      <c r="AB483" s="259" t="str">
        <f>AB461</f>
        <v>Residential</v>
      </c>
      <c r="AC483" s="192">
        <f>AD461</f>
        <v>1412.5</v>
      </c>
      <c r="AD483" s="192">
        <f>R382</f>
        <v>1411</v>
      </c>
      <c r="AE483" s="194" t="s">
        <v>168</v>
      </c>
      <c r="AF483" s="192">
        <f>AG461</f>
        <v>9833794.3900000006</v>
      </c>
      <c r="AG483" s="192">
        <f>R383</f>
        <v>9743005.5999999996</v>
      </c>
      <c r="AH483" s="194">
        <f>AF483*AH481</f>
        <v>9684123.7318047564</v>
      </c>
      <c r="AI483" s="192">
        <f>AG483*AI481</f>
        <v>9595905.8694268744</v>
      </c>
      <c r="AJ483" s="194">
        <f>AF483/AC483</f>
        <v>6961.9783292035399</v>
      </c>
      <c r="AK483" s="194">
        <f>AG483/AD483</f>
        <v>6905.0358610914245</v>
      </c>
      <c r="AL483" s="194">
        <f>AH483/AC483</f>
        <v>6856.016801277704</v>
      </c>
      <c r="AM483" s="194">
        <f>AI483/AD483</f>
        <v>6800.7837487079196</v>
      </c>
    </row>
    <row r="484" spans="23:51" x14ac:dyDescent="0.2">
      <c r="AB484" s="259" t="str">
        <f t="shared" ref="AB484:AB486" si="175">AB462</f>
        <v>GS&lt;50</v>
      </c>
      <c r="AC484" s="192">
        <f t="shared" ref="AC484:AC486" si="176">AD462</f>
        <v>234.5</v>
      </c>
      <c r="AD484" s="192">
        <f>R386</f>
        <v>234</v>
      </c>
      <c r="AE484" s="194" t="s">
        <v>168</v>
      </c>
      <c r="AF484" s="192">
        <f t="shared" ref="AF484:AF486" si="177">AG462</f>
        <v>5238114.24</v>
      </c>
      <c r="AG484" s="192">
        <f>R387</f>
        <v>5315998.9000000004</v>
      </c>
      <c r="AH484" s="194">
        <f>AF484*AH481</f>
        <v>5158389.9774305159</v>
      </c>
      <c r="AI484" s="192">
        <f>AG484*AI481</f>
        <v>5235738.0402590362</v>
      </c>
      <c r="AJ484" s="194">
        <f t="shared" ref="AJ484:AJ486" si="178">AF484/AC484</f>
        <v>22337.374157782517</v>
      </c>
      <c r="AK484" s="194">
        <f t="shared" ref="AK484:AK485" si="179">AG484/AD484</f>
        <v>22717.944017094018</v>
      </c>
      <c r="AL484" s="194">
        <f t="shared" ref="AL484:AL486" si="180">AH484/AC484</f>
        <v>21997.39862443717</v>
      </c>
      <c r="AM484" s="194">
        <f>AI484/AD484</f>
        <v>22374.948889995881</v>
      </c>
    </row>
    <row r="485" spans="23:51" x14ac:dyDescent="0.2">
      <c r="AB485" s="259" t="str">
        <f t="shared" si="175"/>
        <v>GS&gt;50</v>
      </c>
      <c r="AC485" s="192">
        <f t="shared" si="176"/>
        <v>18</v>
      </c>
      <c r="AD485" s="192">
        <f>R390</f>
        <v>19</v>
      </c>
      <c r="AE485" s="194" t="s">
        <v>264</v>
      </c>
      <c r="AF485" s="192">
        <f t="shared" si="177"/>
        <v>21680</v>
      </c>
      <c r="AG485" s="192">
        <f>R392</f>
        <v>24636</v>
      </c>
      <c r="AH485" s="194">
        <f>AF485*AH481</f>
        <v>21350.029721897321</v>
      </c>
      <c r="AI485" s="192">
        <f>AG485*AI481</f>
        <v>24264.046096740465</v>
      </c>
      <c r="AJ485" s="194">
        <f t="shared" si="178"/>
        <v>1204.4444444444443</v>
      </c>
      <c r="AK485" s="194">
        <f t="shared" si="179"/>
        <v>1296.6315789473683</v>
      </c>
      <c r="AL485" s="194">
        <f t="shared" si="180"/>
        <v>1186.1127623276288</v>
      </c>
      <c r="AM485" s="194">
        <f t="shared" ref="AM485:AM486" si="181">AI485/AD485</f>
        <v>1277.0550577231825</v>
      </c>
    </row>
    <row r="486" spans="23:51" x14ac:dyDescent="0.2">
      <c r="AB486" s="259" t="str">
        <f t="shared" si="175"/>
        <v>Street Lights</v>
      </c>
      <c r="AC486" s="192">
        <f t="shared" si="176"/>
        <v>635</v>
      </c>
      <c r="AD486" s="192">
        <f>R395</f>
        <v>632.5</v>
      </c>
      <c r="AE486" s="194" t="s">
        <v>264</v>
      </c>
      <c r="AF486" s="192">
        <f t="shared" si="177"/>
        <v>1450</v>
      </c>
      <c r="AG486" s="192">
        <f>R397</f>
        <v>1455</v>
      </c>
      <c r="AH486" s="194">
        <f>AF486*AH481</f>
        <v>1427.9309546471916</v>
      </c>
      <c r="AI486" s="192">
        <f>AG486*AI481</f>
        <v>1433.0324350851347</v>
      </c>
      <c r="AJ486" s="194">
        <f t="shared" si="178"/>
        <v>2.2834645669291338</v>
      </c>
      <c r="AK486" s="194">
        <f>AG486/AD486</f>
        <v>2.3003952569169961</v>
      </c>
      <c r="AL486" s="194">
        <f t="shared" si="180"/>
        <v>2.2487101647987271</v>
      </c>
      <c r="AM486" s="194">
        <f t="shared" si="181"/>
        <v>2.2656639289883551</v>
      </c>
    </row>
    <row r="487" spans="23:51" x14ac:dyDescent="0.2">
      <c r="AB487" s="259" t="s">
        <v>10</v>
      </c>
      <c r="AC487" s="192">
        <f>SUM(AC483:AC486)</f>
        <v>2300</v>
      </c>
      <c r="AD487" s="192">
        <f>SUM(AD483:AD486)</f>
        <v>2296.5</v>
      </c>
      <c r="AE487" s="194"/>
      <c r="AF487" s="198"/>
      <c r="AG487" s="198"/>
      <c r="AH487" s="198"/>
      <c r="AI487" s="198"/>
      <c r="AJ487" s="198"/>
      <c r="AK487" s="198"/>
      <c r="AL487" s="198"/>
      <c r="AM487" s="198"/>
    </row>
    <row r="488" spans="23:51" x14ac:dyDescent="0.2">
      <c r="AB488" s="122"/>
      <c r="AC488" s="348" t="s">
        <v>261</v>
      </c>
      <c r="AD488" s="348"/>
      <c r="AE488" s="122"/>
      <c r="AF488" s="348" t="s">
        <v>261</v>
      </c>
      <c r="AG488" s="348"/>
      <c r="AH488" s="348" t="s">
        <v>261</v>
      </c>
      <c r="AI488" s="348"/>
      <c r="AJ488" s="348" t="s">
        <v>261</v>
      </c>
      <c r="AK488" s="348"/>
      <c r="AL488" s="348" t="s">
        <v>261</v>
      </c>
      <c r="AM488" s="348"/>
    </row>
    <row r="489" spans="23:51" x14ac:dyDescent="0.2">
      <c r="AB489" s="199" t="str">
        <f>AB483</f>
        <v>Residential</v>
      </c>
      <c r="AC489" s="341">
        <f>AD483-AC483</f>
        <v>-1.5</v>
      </c>
      <c r="AD489" s="342"/>
      <c r="AE489" s="194" t="s">
        <v>168</v>
      </c>
      <c r="AF489" s="341">
        <f>AG483-AF483</f>
        <v>-90788.790000000969</v>
      </c>
      <c r="AG489" s="342"/>
      <c r="AH489" s="341">
        <f>AI483-AH483</f>
        <v>-88217.862377882004</v>
      </c>
      <c r="AI489" s="342"/>
      <c r="AJ489" s="341">
        <f>AK483-AJ483</f>
        <v>-56.942468112115421</v>
      </c>
      <c r="AK489" s="342"/>
      <c r="AL489" s="341">
        <f>AM483-AL483</f>
        <v>-55.233052569784377</v>
      </c>
      <c r="AM489" s="342"/>
    </row>
    <row r="490" spans="23:51" x14ac:dyDescent="0.2">
      <c r="AB490" s="199" t="str">
        <f t="shared" ref="AB490:AB492" si="182">AB484</f>
        <v>GS&lt;50</v>
      </c>
      <c r="AC490" s="341">
        <f t="shared" ref="AC490:AC492" si="183">AD484-AC484</f>
        <v>-0.5</v>
      </c>
      <c r="AD490" s="342"/>
      <c r="AE490" s="194" t="s">
        <v>168</v>
      </c>
      <c r="AF490" s="341">
        <f t="shared" ref="AF490" si="184">AG484-AF484</f>
        <v>77884.660000000149</v>
      </c>
      <c r="AG490" s="342"/>
      <c r="AH490" s="341">
        <f t="shared" ref="AH490" si="185">AI484-AH484</f>
        <v>77348.062828520313</v>
      </c>
      <c r="AI490" s="342"/>
      <c r="AJ490" s="341">
        <f t="shared" ref="AJ490" si="186">AK484-AJ484</f>
        <v>380.5698593115012</v>
      </c>
      <c r="AK490" s="342"/>
      <c r="AL490" s="341">
        <f t="shared" ref="AL490" si="187">AM484-AL484</f>
        <v>377.55026555871154</v>
      </c>
      <c r="AM490" s="342"/>
    </row>
    <row r="491" spans="23:51" x14ac:dyDescent="0.2">
      <c r="AB491" s="199" t="str">
        <f t="shared" si="182"/>
        <v>GS&gt;50</v>
      </c>
      <c r="AC491" s="341">
        <f t="shared" si="183"/>
        <v>1</v>
      </c>
      <c r="AD491" s="342"/>
      <c r="AE491" s="194" t="s">
        <v>264</v>
      </c>
      <c r="AF491" s="341">
        <f t="shared" ref="AF491" si="188">AG485-AF485</f>
        <v>2956</v>
      </c>
      <c r="AG491" s="342"/>
      <c r="AH491" s="341">
        <f t="shared" ref="AH491" si="189">AI485-AH485</f>
        <v>2914.0163748431441</v>
      </c>
      <c r="AI491" s="342"/>
      <c r="AJ491" s="341">
        <f t="shared" ref="AJ491" si="190">AK485-AJ485</f>
        <v>92.187134502923982</v>
      </c>
      <c r="AK491" s="342"/>
      <c r="AL491" s="341">
        <f t="shared" ref="AL491" si="191">AM485-AL485</f>
        <v>90.942295395553629</v>
      </c>
      <c r="AM491" s="342"/>
    </row>
    <row r="492" spans="23:51" x14ac:dyDescent="0.2">
      <c r="AB492" s="199" t="str">
        <f t="shared" si="182"/>
        <v>Street Lights</v>
      </c>
      <c r="AC492" s="341">
        <f t="shared" si="183"/>
        <v>-2.5</v>
      </c>
      <c r="AD492" s="342"/>
      <c r="AE492" s="194" t="s">
        <v>264</v>
      </c>
      <c r="AF492" s="341">
        <f t="shared" ref="AF492" si="192">AG486-AF486</f>
        <v>5</v>
      </c>
      <c r="AG492" s="342"/>
      <c r="AH492" s="341">
        <f t="shared" ref="AH492" si="193">AI486-AH486</f>
        <v>5.1014804379431098</v>
      </c>
      <c r="AI492" s="342"/>
      <c r="AJ492" s="341">
        <f t="shared" ref="AJ492" si="194">AK486-AJ486</f>
        <v>1.6930689987862291E-2</v>
      </c>
      <c r="AK492" s="342"/>
      <c r="AL492" s="341">
        <f t="shared" ref="AL492" si="195">AM486-AL486</f>
        <v>1.6953764189628018E-2</v>
      </c>
      <c r="AM492" s="342"/>
      <c r="AN492"/>
      <c r="AO492"/>
      <c r="AP492"/>
      <c r="AQ492"/>
      <c r="AR492"/>
      <c r="AS492"/>
      <c r="AT492"/>
      <c r="AU492"/>
      <c r="AV492"/>
      <c r="AW492"/>
      <c r="AX492"/>
      <c r="AY492"/>
    </row>
    <row r="493" spans="23:51" x14ac:dyDescent="0.2">
      <c r="W493" s="224" t="s">
        <v>275</v>
      </c>
      <c r="X493" s="224"/>
      <c r="Y493" s="224"/>
      <c r="Z493" s="167"/>
      <c r="AA493" s="167"/>
      <c r="AN493"/>
      <c r="AO493"/>
      <c r="AP493"/>
      <c r="AQ493"/>
      <c r="AR493"/>
      <c r="AS493"/>
      <c r="AT493"/>
      <c r="AU493"/>
      <c r="AV493"/>
      <c r="AW493"/>
      <c r="AX493"/>
      <c r="AY493"/>
    </row>
    <row r="494" spans="23:51" ht="25.5" x14ac:dyDescent="0.2">
      <c r="W494" s="261" t="s">
        <v>195</v>
      </c>
      <c r="X494" s="194" t="str">
        <f>Y472</f>
        <v>2014 
Actual</v>
      </c>
      <c r="Y494" s="194" t="s">
        <v>249</v>
      </c>
      <c r="Z494" s="194" t="s">
        <v>196</v>
      </c>
      <c r="AA494" s="194" t="s">
        <v>197</v>
      </c>
      <c r="AN494"/>
      <c r="AO494"/>
      <c r="AP494"/>
      <c r="AQ494"/>
      <c r="AR494"/>
      <c r="AS494"/>
      <c r="AT494"/>
      <c r="AU494"/>
      <c r="AV494"/>
      <c r="AW494"/>
      <c r="AX494"/>
      <c r="AY494"/>
    </row>
    <row r="495" spans="23:51" x14ac:dyDescent="0.2">
      <c r="W495" s="259" t="str">
        <f>W473</f>
        <v>Residential</v>
      </c>
      <c r="X495" s="196">
        <f>Y473</f>
        <v>781984.78</v>
      </c>
      <c r="Y495" s="196">
        <f>Q4</f>
        <v>769098.55999999994</v>
      </c>
      <c r="Z495" s="196">
        <f>Y495-X495</f>
        <v>-12886.220000000088</v>
      </c>
      <c r="AA495" s="197">
        <f>Z495/X495</f>
        <v>-1.6478862926206938E-2</v>
      </c>
      <c r="AN495"/>
      <c r="AO495"/>
      <c r="AP495"/>
      <c r="AQ495"/>
      <c r="AR495"/>
      <c r="AS495"/>
      <c r="AT495"/>
      <c r="AU495"/>
      <c r="AV495"/>
      <c r="AW495"/>
      <c r="AX495"/>
      <c r="AY495"/>
    </row>
    <row r="496" spans="23:51" x14ac:dyDescent="0.2">
      <c r="W496" s="259" t="str">
        <f t="shared" ref="W496:W498" si="196">W474</f>
        <v>GS&lt;50</v>
      </c>
      <c r="X496" s="196">
        <f t="shared" ref="X496:X498" si="197">Y474</f>
        <v>275250.09000000003</v>
      </c>
      <c r="Y496" s="196">
        <f>Q5</f>
        <v>271053.35000000003</v>
      </c>
      <c r="Z496" s="196">
        <f t="shared" ref="Z496:Z499" si="198">Y496-X496</f>
        <v>-4196.7399999999907</v>
      </c>
      <c r="AA496" s="197">
        <f t="shared" ref="AA496:AA499" si="199">Z496/X496</f>
        <v>-1.5247006822050414E-2</v>
      </c>
    </row>
    <row r="497" spans="23:39" x14ac:dyDescent="0.2">
      <c r="W497" s="259" t="str">
        <f t="shared" si="196"/>
        <v>GS&gt;50</v>
      </c>
      <c r="X497" s="196">
        <f t="shared" si="197"/>
        <v>173917.02</v>
      </c>
      <c r="Y497" s="196">
        <f>Q6</f>
        <v>231321.17</v>
      </c>
      <c r="Z497" s="196">
        <f t="shared" si="198"/>
        <v>57404.150000000023</v>
      </c>
      <c r="AA497" s="197">
        <f t="shared" si="199"/>
        <v>0.33006631553369548</v>
      </c>
    </row>
    <row r="498" spans="23:39" x14ac:dyDescent="0.2">
      <c r="W498" s="259" t="str">
        <f t="shared" si="196"/>
        <v>Street Lights</v>
      </c>
      <c r="X498" s="196">
        <f t="shared" si="197"/>
        <v>112397.13</v>
      </c>
      <c r="Y498" s="196">
        <f>Q7</f>
        <v>113145.73000000001</v>
      </c>
      <c r="Z498" s="196">
        <f t="shared" si="198"/>
        <v>748.60000000000582</v>
      </c>
      <c r="AA498" s="197">
        <f t="shared" si="199"/>
        <v>6.6603124118917072E-3</v>
      </c>
    </row>
    <row r="499" spans="23:39" x14ac:dyDescent="0.2">
      <c r="W499" s="206" t="s">
        <v>17</v>
      </c>
      <c r="X499" s="196">
        <f>SUM(X495:X498)</f>
        <v>1343549.02</v>
      </c>
      <c r="Y499" s="196">
        <f>SUM(Y495:Y498)</f>
        <v>1384618.8099999998</v>
      </c>
      <c r="Z499" s="196">
        <f t="shared" si="198"/>
        <v>41069.789999999804</v>
      </c>
      <c r="AA499" s="197">
        <f t="shared" si="199"/>
        <v>3.0568136620723971E-2</v>
      </c>
    </row>
    <row r="501" spans="23:39" x14ac:dyDescent="0.2">
      <c r="AB501" s="224" t="s">
        <v>276</v>
      </c>
      <c r="AC501" s="224"/>
      <c r="AD501" s="224"/>
      <c r="AE501" s="167"/>
      <c r="AF501" s="260"/>
    </row>
    <row r="502" spans="23:39" x14ac:dyDescent="0.2">
      <c r="AB502" s="255" t="s">
        <v>198</v>
      </c>
      <c r="AC502" s="349" t="s">
        <v>265</v>
      </c>
      <c r="AD502" s="349"/>
      <c r="AE502" s="222" t="s">
        <v>263</v>
      </c>
      <c r="AF502" s="350" t="s">
        <v>262</v>
      </c>
      <c r="AG502" s="350"/>
      <c r="AH502" s="351" t="s">
        <v>266</v>
      </c>
      <c r="AI502" s="351"/>
      <c r="AJ502" s="351" t="s">
        <v>267</v>
      </c>
      <c r="AK502" s="351"/>
      <c r="AL502" s="351" t="s">
        <v>268</v>
      </c>
      <c r="AM502" s="351"/>
    </row>
    <row r="503" spans="23:39" x14ac:dyDescent="0.2">
      <c r="AB503" s="343" t="str">
        <f>AB481</f>
        <v>Weather 
Normal Conversion 
Factor</v>
      </c>
      <c r="AC503" s="344"/>
      <c r="AD503" s="344"/>
      <c r="AE503" s="344"/>
      <c r="AF503" s="344"/>
      <c r="AG503" s="345"/>
      <c r="AH503" s="256">
        <f>AI481</f>
        <v>0.98490201724064241</v>
      </c>
      <c r="AI503" s="256">
        <f>F162</f>
        <v>1.0038544934281368</v>
      </c>
      <c r="AJ503" s="346"/>
      <c r="AK503" s="347"/>
      <c r="AL503" s="346"/>
      <c r="AM503" s="347"/>
    </row>
    <row r="504" spans="23:39" ht="25.5" x14ac:dyDescent="0.2">
      <c r="AB504" s="257"/>
      <c r="AC504" s="123" t="str">
        <f>X494</f>
        <v>2014 
Actual</v>
      </c>
      <c r="AD504" s="123" t="str">
        <f>Y494</f>
        <v>2015 
Actual</v>
      </c>
      <c r="AE504" s="258"/>
      <c r="AF504" s="123" t="str">
        <f>AC504</f>
        <v>2014 
Actual</v>
      </c>
      <c r="AG504" s="123" t="str">
        <f>AD504</f>
        <v>2015 
Actual</v>
      </c>
      <c r="AH504" s="123" t="str">
        <f>AF504</f>
        <v>2014 
Actual</v>
      </c>
      <c r="AI504" s="123" t="str">
        <f>AG504</f>
        <v>2015 
Actual</v>
      </c>
      <c r="AJ504" s="123" t="str">
        <f>AF504</f>
        <v>2014 
Actual</v>
      </c>
      <c r="AK504" s="123" t="str">
        <f>AG504</f>
        <v>2015 
Actual</v>
      </c>
      <c r="AL504" s="123" t="str">
        <f>AH504</f>
        <v>2014 
Actual</v>
      </c>
      <c r="AM504" s="123" t="str">
        <f>AI504</f>
        <v>2015 
Actual</v>
      </c>
    </row>
    <row r="505" spans="23:39" x14ac:dyDescent="0.2">
      <c r="AB505" s="259" t="str">
        <f>AB483</f>
        <v>Residential</v>
      </c>
      <c r="AC505" s="192">
        <f>AD483</f>
        <v>1411</v>
      </c>
      <c r="AD505" s="192">
        <f>S382</f>
        <v>1405</v>
      </c>
      <c r="AE505" s="194" t="s">
        <v>168</v>
      </c>
      <c r="AF505" s="192">
        <f>AG483</f>
        <v>9743005.5999999996</v>
      </c>
      <c r="AG505" s="192">
        <f>S383</f>
        <v>9225363.5999999996</v>
      </c>
      <c r="AH505" s="194">
        <f>AF505*AH503</f>
        <v>9595905.8694268744</v>
      </c>
      <c r="AI505" s="192">
        <f>AG505*AI503</f>
        <v>9260922.7033683714</v>
      </c>
      <c r="AJ505" s="194">
        <f>AF505/AC505</f>
        <v>6905.0358610914245</v>
      </c>
      <c r="AK505" s="194">
        <f>AG505/AD505</f>
        <v>6566.0950889679716</v>
      </c>
      <c r="AL505" s="194">
        <f>AH505/AC505</f>
        <v>6800.7837487079196</v>
      </c>
      <c r="AM505" s="194">
        <f>AI505/AD505</f>
        <v>6591.4040593369191</v>
      </c>
    </row>
    <row r="506" spans="23:39" x14ac:dyDescent="0.2">
      <c r="AB506" s="259" t="str">
        <f t="shared" ref="AB506:AB508" si="200">AB484</f>
        <v>GS&lt;50</v>
      </c>
      <c r="AC506" s="192">
        <f t="shared" ref="AC506:AC508" si="201">AD484</f>
        <v>234</v>
      </c>
      <c r="AD506" s="192">
        <f>S386</f>
        <v>234</v>
      </c>
      <c r="AE506" s="194" t="s">
        <v>168</v>
      </c>
      <c r="AF506" s="192">
        <f t="shared" ref="AF506:AF508" si="202">AG484</f>
        <v>5315998.9000000004</v>
      </c>
      <c r="AG506" s="192">
        <f>S387</f>
        <v>5110231.71</v>
      </c>
      <c r="AH506" s="194">
        <f>AF506*AH503</f>
        <v>5235738.0402590362</v>
      </c>
      <c r="AI506" s="192">
        <f>AG506*AI503</f>
        <v>5129929.0645424509</v>
      </c>
      <c r="AJ506" s="194">
        <f t="shared" ref="AJ506:AJ508" si="203">AF506/AC506</f>
        <v>22717.944017094018</v>
      </c>
      <c r="AK506" s="194">
        <f t="shared" ref="AK506:AK507" si="204">AG506/AD506</f>
        <v>21838.59705128205</v>
      </c>
      <c r="AL506" s="194">
        <f t="shared" ref="AL506:AL508" si="205">AH506/AC506</f>
        <v>22374.948889995881</v>
      </c>
      <c r="AM506" s="194">
        <f>AI506/AD506</f>
        <v>21922.773780095944</v>
      </c>
    </row>
    <row r="507" spans="23:39" x14ac:dyDescent="0.2">
      <c r="AB507" s="259" t="str">
        <f t="shared" si="200"/>
        <v>GS&gt;50</v>
      </c>
      <c r="AC507" s="192">
        <f t="shared" si="201"/>
        <v>19</v>
      </c>
      <c r="AD507" s="192">
        <f>S390</f>
        <v>19</v>
      </c>
      <c r="AE507" s="194" t="s">
        <v>264</v>
      </c>
      <c r="AF507" s="192">
        <f t="shared" si="202"/>
        <v>24636</v>
      </c>
      <c r="AG507" s="192">
        <f>S392</f>
        <v>50899</v>
      </c>
      <c r="AH507" s="194">
        <f>AF507*AH503</f>
        <v>24264.046096740465</v>
      </c>
      <c r="AI507" s="192">
        <f>AG507*AI503</f>
        <v>51095.189860998733</v>
      </c>
      <c r="AJ507" s="194">
        <f t="shared" si="203"/>
        <v>1296.6315789473683</v>
      </c>
      <c r="AK507" s="194">
        <f t="shared" si="204"/>
        <v>2678.8947368421054</v>
      </c>
      <c r="AL507" s="194">
        <f t="shared" si="205"/>
        <v>1277.0550577231825</v>
      </c>
      <c r="AM507" s="194">
        <f t="shared" ref="AM507:AM508" si="206">AI507/AD507</f>
        <v>2689.2205189999331</v>
      </c>
    </row>
    <row r="508" spans="23:39" x14ac:dyDescent="0.2">
      <c r="AB508" s="259" t="str">
        <f t="shared" si="200"/>
        <v>Street Lights</v>
      </c>
      <c r="AC508" s="192">
        <f t="shared" si="201"/>
        <v>632.5</v>
      </c>
      <c r="AD508" s="192">
        <f>S395</f>
        <v>627.5</v>
      </c>
      <c r="AE508" s="194" t="s">
        <v>264</v>
      </c>
      <c r="AF508" s="192">
        <f t="shared" si="202"/>
        <v>1455</v>
      </c>
      <c r="AG508" s="192">
        <f>S397</f>
        <v>1436.01</v>
      </c>
      <c r="AH508" s="194">
        <f>AF508*AH503</f>
        <v>1433.0324350851347</v>
      </c>
      <c r="AI508" s="192">
        <f>AG508*AI503</f>
        <v>1441.5450911077387</v>
      </c>
      <c r="AJ508" s="194">
        <f t="shared" si="203"/>
        <v>2.3003952569169961</v>
      </c>
      <c r="AK508" s="194">
        <f>AG508/AD508</f>
        <v>2.2884621513944223</v>
      </c>
      <c r="AL508" s="194">
        <f t="shared" si="205"/>
        <v>2.2656639289883551</v>
      </c>
      <c r="AM508" s="194">
        <f t="shared" si="206"/>
        <v>2.2972830137175118</v>
      </c>
    </row>
    <row r="509" spans="23:39" x14ac:dyDescent="0.2">
      <c r="AB509" s="259" t="s">
        <v>10</v>
      </c>
      <c r="AC509" s="192">
        <f>SUM(AC505:AC508)</f>
        <v>2296.5</v>
      </c>
      <c r="AD509" s="192">
        <f>SUM(AD505:AD508)</f>
        <v>2285.5</v>
      </c>
      <c r="AE509" s="194"/>
      <c r="AF509" s="198"/>
      <c r="AG509" s="198"/>
      <c r="AH509" s="198"/>
      <c r="AI509" s="198"/>
      <c r="AJ509" s="198"/>
      <c r="AK509" s="198"/>
      <c r="AL509" s="198"/>
      <c r="AM509" s="198"/>
    </row>
    <row r="510" spans="23:39" x14ac:dyDescent="0.2">
      <c r="AB510" s="122"/>
      <c r="AC510" s="348" t="s">
        <v>261</v>
      </c>
      <c r="AD510" s="348"/>
      <c r="AE510" s="122"/>
      <c r="AF510" s="348" t="s">
        <v>261</v>
      </c>
      <c r="AG510" s="348"/>
      <c r="AH510" s="348" t="s">
        <v>261</v>
      </c>
      <c r="AI510" s="348"/>
      <c r="AJ510" s="348" t="s">
        <v>261</v>
      </c>
      <c r="AK510" s="348"/>
      <c r="AL510" s="348" t="s">
        <v>261</v>
      </c>
      <c r="AM510" s="348"/>
    </row>
    <row r="511" spans="23:39" x14ac:dyDescent="0.2">
      <c r="AB511" s="199" t="str">
        <f>AB505</f>
        <v>Residential</v>
      </c>
      <c r="AC511" s="341">
        <f>AD505-AC505</f>
        <v>-6</v>
      </c>
      <c r="AD511" s="342"/>
      <c r="AE511" s="194" t="s">
        <v>168</v>
      </c>
      <c r="AF511" s="341">
        <f>AG505-AF505</f>
        <v>-517642</v>
      </c>
      <c r="AG511" s="342"/>
      <c r="AH511" s="341">
        <f>AI505-AH505</f>
        <v>-334983.16605850309</v>
      </c>
      <c r="AI511" s="342"/>
      <c r="AJ511" s="341">
        <f>AK505-AJ505</f>
        <v>-338.94077212345292</v>
      </c>
      <c r="AK511" s="342"/>
      <c r="AL511" s="341">
        <f>AM505-AL505</f>
        <v>-209.3796893710005</v>
      </c>
      <c r="AM511" s="342"/>
    </row>
    <row r="512" spans="23:39" x14ac:dyDescent="0.2">
      <c r="AB512" s="199" t="str">
        <f t="shared" ref="AB512:AB514" si="207">AB506</f>
        <v>GS&lt;50</v>
      </c>
      <c r="AC512" s="341">
        <f t="shared" ref="AC512:AC514" si="208">AD506-AC506</f>
        <v>0</v>
      </c>
      <c r="AD512" s="342"/>
      <c r="AE512" s="194" t="s">
        <v>168</v>
      </c>
      <c r="AF512" s="341">
        <f t="shared" ref="AF512" si="209">AG506-AF506</f>
        <v>-205767.19000000041</v>
      </c>
      <c r="AG512" s="342"/>
      <c r="AH512" s="341">
        <f t="shared" ref="AH512" si="210">AI506-AH506</f>
        <v>-105808.97571658529</v>
      </c>
      <c r="AI512" s="342"/>
      <c r="AJ512" s="341">
        <f t="shared" ref="AJ512" si="211">AK506-AJ506</f>
        <v>-879.3469658119684</v>
      </c>
      <c r="AK512" s="342"/>
      <c r="AL512" s="341">
        <f t="shared" ref="AL512" si="212">AM506-AL506</f>
        <v>-452.17510989993752</v>
      </c>
      <c r="AM512" s="342"/>
    </row>
    <row r="513" spans="23:39" x14ac:dyDescent="0.2">
      <c r="AB513" s="199" t="str">
        <f t="shared" si="207"/>
        <v>GS&gt;50</v>
      </c>
      <c r="AC513" s="341">
        <f t="shared" si="208"/>
        <v>0</v>
      </c>
      <c r="AD513" s="342"/>
      <c r="AE513" s="194" t="s">
        <v>264</v>
      </c>
      <c r="AF513" s="341">
        <f t="shared" ref="AF513" si="213">AG507-AF507</f>
        <v>26263</v>
      </c>
      <c r="AG513" s="342"/>
      <c r="AH513" s="341">
        <f t="shared" ref="AH513" si="214">AI507-AH507</f>
        <v>26831.143764258268</v>
      </c>
      <c r="AI513" s="342"/>
      <c r="AJ513" s="341">
        <f t="shared" ref="AJ513" si="215">AK507-AJ507</f>
        <v>1382.2631578947371</v>
      </c>
      <c r="AK513" s="342"/>
      <c r="AL513" s="341">
        <f t="shared" ref="AL513" si="216">AM507-AL507</f>
        <v>1412.1654612767506</v>
      </c>
      <c r="AM513" s="342"/>
    </row>
    <row r="514" spans="23:39" x14ac:dyDescent="0.2">
      <c r="AB514" s="199" t="str">
        <f t="shared" si="207"/>
        <v>Street Lights</v>
      </c>
      <c r="AC514" s="341">
        <f t="shared" si="208"/>
        <v>-5</v>
      </c>
      <c r="AD514" s="342"/>
      <c r="AE514" s="194" t="s">
        <v>264</v>
      </c>
      <c r="AF514" s="341">
        <f t="shared" ref="AF514" si="217">AG508-AF508</f>
        <v>-18.990000000000009</v>
      </c>
      <c r="AG514" s="342"/>
      <c r="AH514" s="341">
        <f t="shared" ref="AH514" si="218">AI508-AH508</f>
        <v>8.5126560226040056</v>
      </c>
      <c r="AI514" s="342"/>
      <c r="AJ514" s="341">
        <f t="shared" ref="AJ514" si="219">AK508-AJ508</f>
        <v>-1.1933105522573761E-2</v>
      </c>
      <c r="AK514" s="342"/>
      <c r="AL514" s="341">
        <f t="shared" ref="AL514" si="220">AM508-AL508</f>
        <v>3.1619084729156643E-2</v>
      </c>
      <c r="AM514" s="342"/>
    </row>
    <row r="515" spans="23:39" x14ac:dyDescent="0.2">
      <c r="W515" s="224" t="s">
        <v>277</v>
      </c>
      <c r="X515" s="224"/>
      <c r="Y515" s="224"/>
      <c r="Z515" s="167"/>
      <c r="AA515" s="167"/>
    </row>
    <row r="516" spans="23:39" ht="25.5" x14ac:dyDescent="0.2">
      <c r="W516" s="261" t="s">
        <v>195</v>
      </c>
      <c r="X516" s="194" t="str">
        <f>Y494</f>
        <v>2015 
Actual</v>
      </c>
      <c r="Y516" s="194" t="s">
        <v>204</v>
      </c>
      <c r="Z516" s="194" t="s">
        <v>196</v>
      </c>
      <c r="AA516" s="194" t="s">
        <v>197</v>
      </c>
    </row>
    <row r="517" spans="23:39" x14ac:dyDescent="0.2">
      <c r="W517" s="259" t="str">
        <f>W495</f>
        <v>Residential</v>
      </c>
      <c r="X517" s="196">
        <f>Y495</f>
        <v>769098.55999999994</v>
      </c>
      <c r="Y517" s="196">
        <f>R4</f>
        <v>728870.82279999997</v>
      </c>
      <c r="Z517" s="196">
        <f>Y517-X517</f>
        <v>-40227.737199999974</v>
      </c>
      <c r="AA517" s="197">
        <f>Z517/X517</f>
        <v>-5.2305048133232723E-2</v>
      </c>
    </row>
    <row r="518" spans="23:39" x14ac:dyDescent="0.2">
      <c r="W518" s="259" t="str">
        <f t="shared" ref="W518:W520" si="221">W496</f>
        <v>GS&lt;50</v>
      </c>
      <c r="X518" s="196">
        <f t="shared" ref="X518:X520" si="222">Y496</f>
        <v>271053.35000000003</v>
      </c>
      <c r="Y518" s="196">
        <f>R5</f>
        <v>265789</v>
      </c>
      <c r="Z518" s="196">
        <f t="shared" ref="Z518:Z521" si="223">Y518-X518</f>
        <v>-5264.3500000000349</v>
      </c>
      <c r="AA518" s="197">
        <f t="shared" ref="AA518:AA521" si="224">Z518/X518</f>
        <v>-1.9421822309150703E-2</v>
      </c>
    </row>
    <row r="519" spans="23:39" x14ac:dyDescent="0.2">
      <c r="W519" s="259" t="str">
        <f t="shared" si="221"/>
        <v>GS&gt;50</v>
      </c>
      <c r="X519" s="196">
        <f t="shared" si="222"/>
        <v>231321.17</v>
      </c>
      <c r="Y519" s="196">
        <f>R6</f>
        <v>225123.39</v>
      </c>
      <c r="Z519" s="196">
        <f t="shared" si="223"/>
        <v>-6197.7799999999988</v>
      </c>
      <c r="AA519" s="197">
        <f t="shared" si="224"/>
        <v>-2.679296494998706E-2</v>
      </c>
    </row>
    <row r="520" spans="23:39" x14ac:dyDescent="0.2">
      <c r="W520" s="259" t="str">
        <f t="shared" si="221"/>
        <v>Street Lights</v>
      </c>
      <c r="X520" s="196">
        <f t="shared" si="222"/>
        <v>113145.73000000001</v>
      </c>
      <c r="Y520" s="196">
        <f>R7</f>
        <v>113226</v>
      </c>
      <c r="Z520" s="196">
        <f t="shared" si="223"/>
        <v>80.269999999989523</v>
      </c>
      <c r="AA520" s="197">
        <f t="shared" si="224"/>
        <v>7.0943905704607248E-4</v>
      </c>
    </row>
    <row r="521" spans="23:39" x14ac:dyDescent="0.2">
      <c r="W521" s="206" t="s">
        <v>17</v>
      </c>
      <c r="X521" s="196">
        <f>SUM(X517:X520)</f>
        <v>1384618.8099999998</v>
      </c>
      <c r="Y521" s="196">
        <f>SUM(Y517:Y520)</f>
        <v>1333009.2127999999</v>
      </c>
      <c r="Z521" s="196">
        <f t="shared" si="223"/>
        <v>-51609.59719999996</v>
      </c>
      <c r="AA521" s="197">
        <f t="shared" si="224"/>
        <v>-3.7273505767265985E-2</v>
      </c>
    </row>
    <row r="523" spans="23:39" x14ac:dyDescent="0.2">
      <c r="AB523" s="224" t="s">
        <v>278</v>
      </c>
      <c r="AC523" s="224"/>
      <c r="AD523" s="224"/>
      <c r="AE523" s="167"/>
      <c r="AF523" s="260"/>
    </row>
    <row r="524" spans="23:39" x14ac:dyDescent="0.2">
      <c r="AB524" s="255" t="s">
        <v>198</v>
      </c>
      <c r="AC524" s="349" t="s">
        <v>265</v>
      </c>
      <c r="AD524" s="349"/>
      <c r="AE524" s="222" t="s">
        <v>263</v>
      </c>
      <c r="AF524" s="350" t="s">
        <v>262</v>
      </c>
      <c r="AG524" s="350"/>
      <c r="AH524" s="351" t="s">
        <v>266</v>
      </c>
      <c r="AI524" s="351"/>
      <c r="AJ524" s="351" t="s">
        <v>267</v>
      </c>
      <c r="AK524" s="351"/>
      <c r="AL524" s="351" t="s">
        <v>268</v>
      </c>
      <c r="AM524" s="351"/>
    </row>
    <row r="525" spans="23:39" x14ac:dyDescent="0.2">
      <c r="AB525" s="343" t="str">
        <f>AB503</f>
        <v>Weather 
Normal Conversion 
Factor</v>
      </c>
      <c r="AC525" s="344"/>
      <c r="AD525" s="344"/>
      <c r="AE525" s="344"/>
      <c r="AF525" s="344"/>
      <c r="AG525" s="345"/>
      <c r="AH525" s="256">
        <f>AI503</f>
        <v>1.0038544934281368</v>
      </c>
      <c r="AI525" s="256">
        <v>1</v>
      </c>
      <c r="AJ525" s="346"/>
      <c r="AK525" s="347"/>
      <c r="AL525" s="346"/>
      <c r="AM525" s="347"/>
    </row>
    <row r="526" spans="23:39" ht="25.5" x14ac:dyDescent="0.2">
      <c r="AB526" s="257"/>
      <c r="AC526" s="123" t="str">
        <f>X516</f>
        <v>2015 
Actual</v>
      </c>
      <c r="AD526" s="123" t="str">
        <f>Y516</f>
        <v>2016
Bridge</v>
      </c>
      <c r="AE526" s="258"/>
      <c r="AF526" s="123" t="str">
        <f>AC526</f>
        <v>2015 
Actual</v>
      </c>
      <c r="AG526" s="123" t="str">
        <f>AD526</f>
        <v>2016
Bridge</v>
      </c>
      <c r="AH526" s="123" t="str">
        <f>AF526</f>
        <v>2015 
Actual</v>
      </c>
      <c r="AI526" s="123" t="str">
        <f>AG526</f>
        <v>2016
Bridge</v>
      </c>
      <c r="AJ526" s="123" t="str">
        <f>AF526</f>
        <v>2015 
Actual</v>
      </c>
      <c r="AK526" s="123" t="str">
        <f>AG526</f>
        <v>2016
Bridge</v>
      </c>
      <c r="AL526" s="123" t="str">
        <f>AH526</f>
        <v>2015 
Actual</v>
      </c>
      <c r="AM526" s="123" t="str">
        <f>AI526</f>
        <v>2016
Bridge</v>
      </c>
    </row>
    <row r="527" spans="23:39" x14ac:dyDescent="0.2">
      <c r="AB527" s="259" t="str">
        <f>AB505</f>
        <v>Residential</v>
      </c>
      <c r="AC527" s="192">
        <f>AD505</f>
        <v>1405</v>
      </c>
      <c r="AD527" s="192">
        <f>T382</f>
        <v>1397.2051900797071</v>
      </c>
      <c r="AE527" s="194" t="s">
        <v>168</v>
      </c>
      <c r="AF527" s="192">
        <f>AG505</f>
        <v>9225363.5999999996</v>
      </c>
      <c r="AG527" s="192">
        <f>T383</f>
        <v>9620554.3751475941</v>
      </c>
      <c r="AH527" s="194">
        <f>AF527*AH525</f>
        <v>9260922.7033683714</v>
      </c>
      <c r="AI527" s="192">
        <f>AG527*AI525</f>
        <v>9620554.3751475941</v>
      </c>
      <c r="AJ527" s="194">
        <f>AF527/AC527</f>
        <v>6566.0950889679716</v>
      </c>
      <c r="AK527" s="194">
        <f>AG527/AD527</f>
        <v>6885.5701678282239</v>
      </c>
      <c r="AL527" s="194">
        <f>AH527/AC527</f>
        <v>6591.4040593369191</v>
      </c>
      <c r="AM527" s="194">
        <f>AI527/AD527</f>
        <v>6885.5701678282239</v>
      </c>
    </row>
    <row r="528" spans="23:39" x14ac:dyDescent="0.2">
      <c r="AB528" s="259" t="str">
        <f t="shared" ref="AB528:AB530" si="225">AB506</f>
        <v>GS&lt;50</v>
      </c>
      <c r="AC528" s="192">
        <f t="shared" ref="AC528:AC530" si="226">AD506</f>
        <v>234</v>
      </c>
      <c r="AD528" s="192">
        <f>T386</f>
        <v>231.22610586256388</v>
      </c>
      <c r="AE528" s="194" t="s">
        <v>168</v>
      </c>
      <c r="AF528" s="192">
        <f t="shared" ref="AF528:AF530" si="227">AG506</f>
        <v>5110231.71</v>
      </c>
      <c r="AG528" s="192">
        <f>T387</f>
        <v>5250091.0085293613</v>
      </c>
      <c r="AH528" s="194">
        <f>AF528*AH525</f>
        <v>5129929.0645424509</v>
      </c>
      <c r="AI528" s="192">
        <f>AG528*AI525</f>
        <v>5250091.0085293613</v>
      </c>
      <c r="AJ528" s="194">
        <f t="shared" ref="AJ528:AJ530" si="228">AF528/AC528</f>
        <v>21838.59705128205</v>
      </c>
      <c r="AK528" s="194">
        <f t="shared" ref="AK528:AK529" si="229">AG528/AD528</f>
        <v>22705.442315626373</v>
      </c>
      <c r="AL528" s="194">
        <f t="shared" ref="AL528:AL530" si="230">AH528/AC528</f>
        <v>21922.773780095944</v>
      </c>
      <c r="AM528" s="194">
        <f>AI528/AD528</f>
        <v>22705.442315626373</v>
      </c>
    </row>
    <row r="529" spans="23:39" x14ac:dyDescent="0.2">
      <c r="AB529" s="259" t="str">
        <f t="shared" si="225"/>
        <v>GS&gt;50</v>
      </c>
      <c r="AC529" s="192">
        <f t="shared" si="226"/>
        <v>19</v>
      </c>
      <c r="AD529" s="192">
        <f>T390</f>
        <v>17</v>
      </c>
      <c r="AE529" s="194" t="s">
        <v>264</v>
      </c>
      <c r="AF529" s="192">
        <f t="shared" si="227"/>
        <v>50899</v>
      </c>
      <c r="AG529" s="192">
        <f>T392</f>
        <v>33612.901500235763</v>
      </c>
      <c r="AH529" s="194">
        <f>AF529*AH525</f>
        <v>51095.189860998733</v>
      </c>
      <c r="AI529" s="192">
        <f>AG529*AI525</f>
        <v>33612.901500235763</v>
      </c>
      <c r="AJ529" s="194">
        <f t="shared" si="228"/>
        <v>2678.8947368421054</v>
      </c>
      <c r="AK529" s="194">
        <f t="shared" si="229"/>
        <v>1977.2295000138683</v>
      </c>
      <c r="AL529" s="194">
        <f t="shared" si="230"/>
        <v>2689.2205189999331</v>
      </c>
      <c r="AM529" s="194">
        <f t="shared" ref="AM529:AM530" si="231">AI529/AD529</f>
        <v>1977.2295000138683</v>
      </c>
    </row>
    <row r="530" spans="23:39" x14ac:dyDescent="0.2">
      <c r="AB530" s="259" t="str">
        <f t="shared" si="225"/>
        <v>Street Lights</v>
      </c>
      <c r="AC530" s="192">
        <f t="shared" si="226"/>
        <v>627.5</v>
      </c>
      <c r="AD530" s="192">
        <f>T395</f>
        <v>625</v>
      </c>
      <c r="AE530" s="194" t="s">
        <v>264</v>
      </c>
      <c r="AF530" s="192">
        <f t="shared" si="227"/>
        <v>1436.01</v>
      </c>
      <c r="AG530" s="192">
        <f>T397</f>
        <v>1430.2888446215138</v>
      </c>
      <c r="AH530" s="194">
        <f>AF530*AH525</f>
        <v>1441.5450911077387</v>
      </c>
      <c r="AI530" s="192">
        <f>AG530*AI525</f>
        <v>1430.2888446215138</v>
      </c>
      <c r="AJ530" s="194">
        <f t="shared" si="228"/>
        <v>2.2884621513944223</v>
      </c>
      <c r="AK530" s="194">
        <f>AG530/AD530</f>
        <v>2.2884621513944223</v>
      </c>
      <c r="AL530" s="194">
        <f t="shared" si="230"/>
        <v>2.2972830137175118</v>
      </c>
      <c r="AM530" s="194">
        <f t="shared" si="231"/>
        <v>2.2884621513944223</v>
      </c>
    </row>
    <row r="531" spans="23:39" x14ac:dyDescent="0.2">
      <c r="AB531" s="259" t="s">
        <v>10</v>
      </c>
      <c r="AC531" s="192">
        <f>SUM(AC527:AC530)</f>
        <v>2285.5</v>
      </c>
      <c r="AD531" s="192">
        <f>SUM(AD527:AD530)</f>
        <v>2270.4312959422709</v>
      </c>
      <c r="AE531" s="194"/>
      <c r="AF531" s="198"/>
      <c r="AG531" s="198"/>
      <c r="AH531" s="198"/>
      <c r="AI531" s="198"/>
      <c r="AJ531" s="198"/>
      <c r="AK531" s="198"/>
      <c r="AL531" s="198"/>
      <c r="AM531" s="198"/>
    </row>
    <row r="532" spans="23:39" x14ac:dyDescent="0.2">
      <c r="AB532" s="122"/>
      <c r="AC532" s="348" t="s">
        <v>261</v>
      </c>
      <c r="AD532" s="348"/>
      <c r="AE532" s="122"/>
      <c r="AF532" s="348" t="s">
        <v>261</v>
      </c>
      <c r="AG532" s="348"/>
      <c r="AH532" s="348" t="s">
        <v>261</v>
      </c>
      <c r="AI532" s="348"/>
      <c r="AJ532" s="348" t="s">
        <v>261</v>
      </c>
      <c r="AK532" s="348"/>
      <c r="AL532" s="348" t="s">
        <v>261</v>
      </c>
      <c r="AM532" s="348"/>
    </row>
    <row r="533" spans="23:39" x14ac:dyDescent="0.2">
      <c r="AB533" s="199" t="str">
        <f>AB527</f>
        <v>Residential</v>
      </c>
      <c r="AC533" s="341">
        <f>AD527-AC527</f>
        <v>-7.7948099202928915</v>
      </c>
      <c r="AD533" s="342"/>
      <c r="AE533" s="194" t="s">
        <v>168</v>
      </c>
      <c r="AF533" s="341">
        <f>AG527-AF527</f>
        <v>395190.77514759451</v>
      </c>
      <c r="AG533" s="342"/>
      <c r="AH533" s="341">
        <f>AI527-AH527</f>
        <v>359631.67177922279</v>
      </c>
      <c r="AI533" s="342"/>
      <c r="AJ533" s="341">
        <f>AK527-AJ527</f>
        <v>319.47507886025232</v>
      </c>
      <c r="AK533" s="342"/>
      <c r="AL533" s="341">
        <f>AM527-AL527</f>
        <v>294.16610849130484</v>
      </c>
      <c r="AM533" s="342"/>
    </row>
    <row r="534" spans="23:39" x14ac:dyDescent="0.2">
      <c r="AB534" s="199" t="str">
        <f t="shared" ref="AB534:AB536" si="232">AB528</f>
        <v>GS&lt;50</v>
      </c>
      <c r="AC534" s="341">
        <f t="shared" ref="AC534:AC536" si="233">AD528-AC528</f>
        <v>-2.7738941374361161</v>
      </c>
      <c r="AD534" s="342"/>
      <c r="AE534" s="194" t="s">
        <v>168</v>
      </c>
      <c r="AF534" s="341">
        <f t="shared" ref="AF534" si="234">AG528-AF528</f>
        <v>139859.29852936137</v>
      </c>
      <c r="AG534" s="342"/>
      <c r="AH534" s="341">
        <f t="shared" ref="AH534" si="235">AI528-AH528</f>
        <v>120161.9439869104</v>
      </c>
      <c r="AI534" s="342"/>
      <c r="AJ534" s="341">
        <f t="shared" ref="AJ534" si="236">AK528-AJ528</f>
        <v>866.84526434432337</v>
      </c>
      <c r="AK534" s="342"/>
      <c r="AL534" s="341">
        <f t="shared" ref="AL534" si="237">AM528-AL528</f>
        <v>782.66853553042893</v>
      </c>
      <c r="AM534" s="342"/>
    </row>
    <row r="535" spans="23:39" x14ac:dyDescent="0.2">
      <c r="AB535" s="199" t="str">
        <f t="shared" si="232"/>
        <v>GS&gt;50</v>
      </c>
      <c r="AC535" s="341">
        <f t="shared" si="233"/>
        <v>-2</v>
      </c>
      <c r="AD535" s="342"/>
      <c r="AE535" s="194" t="s">
        <v>264</v>
      </c>
      <c r="AF535" s="341">
        <f t="shared" ref="AF535" si="238">AG529-AF529</f>
        <v>-17286.098499764237</v>
      </c>
      <c r="AG535" s="342"/>
      <c r="AH535" s="341">
        <f t="shared" ref="AH535" si="239">AI529-AH529</f>
        <v>-17482.28836076297</v>
      </c>
      <c r="AI535" s="342"/>
      <c r="AJ535" s="341">
        <f t="shared" ref="AJ535" si="240">AK529-AJ529</f>
        <v>-701.66523682823708</v>
      </c>
      <c r="AK535" s="342"/>
      <c r="AL535" s="341">
        <f t="shared" ref="AL535" si="241">AM529-AL529</f>
        <v>-711.99101898606477</v>
      </c>
      <c r="AM535" s="342"/>
    </row>
    <row r="536" spans="23:39" x14ac:dyDescent="0.2">
      <c r="AB536" s="199" t="str">
        <f t="shared" si="232"/>
        <v>Street Lights</v>
      </c>
      <c r="AC536" s="341">
        <f t="shared" si="233"/>
        <v>-2.5</v>
      </c>
      <c r="AD536" s="342"/>
      <c r="AE536" s="194" t="s">
        <v>264</v>
      </c>
      <c r="AF536" s="341">
        <f t="shared" ref="AF536" si="242">AG530-AF530</f>
        <v>-5.7211553784861735</v>
      </c>
      <c r="AG536" s="342"/>
      <c r="AH536" s="341">
        <f t="shared" ref="AH536" si="243">AI530-AH530</f>
        <v>-11.256246486224882</v>
      </c>
      <c r="AI536" s="342"/>
      <c r="AJ536" s="341">
        <f t="shared" ref="AJ536" si="244">AK530-AJ530</f>
        <v>0</v>
      </c>
      <c r="AK536" s="342"/>
      <c r="AL536" s="341">
        <f t="shared" ref="AL536" si="245">AM530-AL530</f>
        <v>-8.820862323089429E-3</v>
      </c>
      <c r="AM536" s="342"/>
    </row>
    <row r="537" spans="23:39" x14ac:dyDescent="0.2">
      <c r="W537" s="224" t="s">
        <v>279</v>
      </c>
      <c r="X537" s="224"/>
      <c r="Y537" s="224"/>
      <c r="Z537" s="167"/>
      <c r="AA537" s="167"/>
    </row>
    <row r="538" spans="23:39" ht="25.5" x14ac:dyDescent="0.2">
      <c r="W538" s="261" t="s">
        <v>195</v>
      </c>
      <c r="X538" s="194" t="str">
        <f>Y516</f>
        <v>2016
Bridge</v>
      </c>
      <c r="Y538" s="194" t="s">
        <v>250</v>
      </c>
      <c r="Z538" s="194" t="s">
        <v>196</v>
      </c>
      <c r="AA538" s="194" t="s">
        <v>197</v>
      </c>
    </row>
    <row r="539" spans="23:39" x14ac:dyDescent="0.2">
      <c r="W539" s="259" t="str">
        <f>W517</f>
        <v>Residential</v>
      </c>
      <c r="X539" s="196">
        <f>Y517</f>
        <v>728870.82279999997</v>
      </c>
      <c r="Y539" s="196">
        <f>T4</f>
        <v>835938.64</v>
      </c>
      <c r="Z539" s="196">
        <f>Y539-X539</f>
        <v>107067.81720000005</v>
      </c>
      <c r="AA539" s="197">
        <f>Z539/X539</f>
        <v>0.14689546329854825</v>
      </c>
    </row>
    <row r="540" spans="23:39" x14ac:dyDescent="0.2">
      <c r="W540" s="259" t="str">
        <f t="shared" ref="W540:W542" si="246">W518</f>
        <v>GS&lt;50</v>
      </c>
      <c r="X540" s="196">
        <f t="shared" ref="X540:X542" si="247">Y518</f>
        <v>265789</v>
      </c>
      <c r="Y540" s="196">
        <f>T5</f>
        <v>286975.13</v>
      </c>
      <c r="Z540" s="196">
        <f t="shared" ref="Z540:Z543" si="248">Y540-X540</f>
        <v>21186.130000000005</v>
      </c>
      <c r="AA540" s="197">
        <f t="shared" ref="AA540:AA543" si="249">Z540/X540</f>
        <v>7.9710334137229166E-2</v>
      </c>
    </row>
    <row r="541" spans="23:39" x14ac:dyDescent="0.2">
      <c r="W541" s="259" t="str">
        <f t="shared" si="246"/>
        <v>GS&gt;50</v>
      </c>
      <c r="X541" s="196">
        <f t="shared" si="247"/>
        <v>225123.39</v>
      </c>
      <c r="Y541" s="196">
        <f>T6</f>
        <v>196020.46</v>
      </c>
      <c r="Z541" s="196">
        <f t="shared" si="248"/>
        <v>-29102.930000000022</v>
      </c>
      <c r="AA541" s="197">
        <f t="shared" si="249"/>
        <v>-0.12927546089280204</v>
      </c>
    </row>
    <row r="542" spans="23:39" x14ac:dyDescent="0.2">
      <c r="W542" s="259" t="str">
        <f t="shared" si="246"/>
        <v>Street Lights</v>
      </c>
      <c r="X542" s="196">
        <f t="shared" si="247"/>
        <v>113226</v>
      </c>
      <c r="Y542" s="196">
        <f>T7</f>
        <v>96515.92</v>
      </c>
      <c r="Z542" s="196">
        <f t="shared" si="248"/>
        <v>-16710.080000000002</v>
      </c>
      <c r="AA542" s="197">
        <f t="shared" si="249"/>
        <v>-0.14758165085757691</v>
      </c>
    </row>
    <row r="543" spans="23:39" x14ac:dyDescent="0.2">
      <c r="W543" s="206" t="s">
        <v>17</v>
      </c>
      <c r="X543" s="196">
        <f>SUM(X539:X542)</f>
        <v>1333009.2127999999</v>
      </c>
      <c r="Y543" s="196">
        <f>SUM(Y539:Y542)</f>
        <v>1415450.15</v>
      </c>
      <c r="Z543" s="196">
        <f t="shared" si="248"/>
        <v>82440.937200000044</v>
      </c>
      <c r="AA543" s="197">
        <f t="shared" si="249"/>
        <v>6.1845737004946867E-2</v>
      </c>
    </row>
    <row r="545" spans="28:39" x14ac:dyDescent="0.2">
      <c r="AB545" s="224" t="s">
        <v>280</v>
      </c>
      <c r="AC545" s="224"/>
      <c r="AD545" s="224"/>
      <c r="AE545" s="167"/>
      <c r="AF545" s="260"/>
    </row>
    <row r="546" spans="28:39" x14ac:dyDescent="0.2">
      <c r="AB546" s="255" t="s">
        <v>198</v>
      </c>
      <c r="AC546" s="349" t="s">
        <v>265</v>
      </c>
      <c r="AD546" s="349"/>
      <c r="AE546" s="222" t="s">
        <v>263</v>
      </c>
      <c r="AF546" s="350" t="s">
        <v>262</v>
      </c>
      <c r="AG546" s="350"/>
      <c r="AH546" s="351" t="s">
        <v>266</v>
      </c>
      <c r="AI546" s="351"/>
      <c r="AJ546" s="351" t="s">
        <v>267</v>
      </c>
      <c r="AK546" s="351"/>
      <c r="AL546" s="351" t="s">
        <v>268</v>
      </c>
      <c r="AM546" s="351"/>
    </row>
    <row r="547" spans="28:39" x14ac:dyDescent="0.2">
      <c r="AB547" s="343" t="str">
        <f>AB525</f>
        <v>Weather 
Normal Conversion 
Factor</v>
      </c>
      <c r="AC547" s="344"/>
      <c r="AD547" s="344"/>
      <c r="AE547" s="344"/>
      <c r="AF547" s="344"/>
      <c r="AG547" s="345"/>
      <c r="AH547" s="256">
        <f>AI525</f>
        <v>1</v>
      </c>
      <c r="AI547" s="256">
        <v>1</v>
      </c>
      <c r="AJ547" s="346"/>
      <c r="AK547" s="347"/>
      <c r="AL547" s="346"/>
      <c r="AM547" s="347"/>
    </row>
    <row r="548" spans="28:39" ht="25.5" x14ac:dyDescent="0.2">
      <c r="AB548" s="257"/>
      <c r="AC548" s="123" t="str">
        <f>X538</f>
        <v>2016
Bridge</v>
      </c>
      <c r="AD548" s="123" t="str">
        <f>Y538</f>
        <v>2017
Test</v>
      </c>
      <c r="AE548" s="258"/>
      <c r="AF548" s="123" t="str">
        <f>AC548</f>
        <v>2016
Bridge</v>
      </c>
      <c r="AG548" s="123" t="str">
        <f>AD548</f>
        <v>2017
Test</v>
      </c>
      <c r="AH548" s="123" t="str">
        <f>AF548</f>
        <v>2016
Bridge</v>
      </c>
      <c r="AI548" s="123" t="str">
        <f>AG548</f>
        <v>2017
Test</v>
      </c>
      <c r="AJ548" s="123" t="str">
        <f>AF548</f>
        <v>2016
Bridge</v>
      </c>
      <c r="AK548" s="123" t="str">
        <f>AG548</f>
        <v>2017
Test</v>
      </c>
      <c r="AL548" s="123" t="str">
        <f>AH548</f>
        <v>2016
Bridge</v>
      </c>
      <c r="AM548" s="123" t="str">
        <f>AI548</f>
        <v>2017
Test</v>
      </c>
    </row>
    <row r="549" spans="28:39" x14ac:dyDescent="0.2">
      <c r="AB549" s="259" t="str">
        <f>AB527</f>
        <v>Residential</v>
      </c>
      <c r="AC549" s="192">
        <f>AD527</f>
        <v>1397.2051900797071</v>
      </c>
      <c r="AD549" s="192">
        <f>U382</f>
        <v>1389.453625043182</v>
      </c>
      <c r="AE549" s="194" t="s">
        <v>168</v>
      </c>
      <c r="AF549" s="192">
        <f>AG527</f>
        <v>9620554.3751475941</v>
      </c>
      <c r="AG549" s="192">
        <f>U383</f>
        <v>9682146.5299625322</v>
      </c>
      <c r="AH549" s="194">
        <f>AF549*AH547</f>
        <v>9620554.3751475941</v>
      </c>
      <c r="AI549" s="192">
        <f>AG549*AI547</f>
        <v>9682146.5299625322</v>
      </c>
      <c r="AJ549" s="194">
        <f>AF549/AC549</f>
        <v>6885.5701678282239</v>
      </c>
      <c r="AK549" s="194">
        <f>AG549/AD549</f>
        <v>6968.3121159668981</v>
      </c>
      <c r="AL549" s="194">
        <f>AH549/AC549</f>
        <v>6885.5701678282239</v>
      </c>
      <c r="AM549" s="194">
        <f>AI549/AD549</f>
        <v>6968.3121159668981</v>
      </c>
    </row>
    <row r="550" spans="28:39" x14ac:dyDescent="0.2">
      <c r="AB550" s="259" t="str">
        <f t="shared" ref="AB550:AB552" si="250">AB528</f>
        <v>GS&lt;50</v>
      </c>
      <c r="AC550" s="192">
        <f t="shared" ref="AC550:AC552" si="251">AD528</f>
        <v>231.22610586256388</v>
      </c>
      <c r="AD550" s="192">
        <f>U386</f>
        <v>228.48509415540855</v>
      </c>
      <c r="AE550" s="194" t="s">
        <v>168</v>
      </c>
      <c r="AF550" s="192">
        <f t="shared" ref="AF550:AF552" si="252">AG528</f>
        <v>5250091.0085293613</v>
      </c>
      <c r="AG550" s="192">
        <f>U387</f>
        <v>5119280.7263826206</v>
      </c>
      <c r="AH550" s="194">
        <f>AF550*AH547</f>
        <v>5250091.0085293613</v>
      </c>
      <c r="AI550" s="192">
        <f>AG550*AI547</f>
        <v>5119280.7263826206</v>
      </c>
      <c r="AJ550" s="194">
        <f t="shared" ref="AJ550:AJ552" si="253">AF550/AC550</f>
        <v>22705.442315626373</v>
      </c>
      <c r="AK550" s="194">
        <f t="shared" ref="AK550:AK551" si="254">AG550/AD550</f>
        <v>22405.315958600971</v>
      </c>
      <c r="AL550" s="194">
        <f t="shared" ref="AL550:AL552" si="255">AH550/AC550</f>
        <v>22705.442315626373</v>
      </c>
      <c r="AM550" s="194">
        <f>AI550/AD550</f>
        <v>22405.315958600971</v>
      </c>
    </row>
    <row r="551" spans="28:39" x14ac:dyDescent="0.2">
      <c r="AB551" s="259" t="str">
        <f t="shared" si="250"/>
        <v>GS&gt;50</v>
      </c>
      <c r="AC551" s="192">
        <f t="shared" si="251"/>
        <v>17</v>
      </c>
      <c r="AD551" s="192">
        <f>U390</f>
        <v>17</v>
      </c>
      <c r="AE551" s="194" t="s">
        <v>264</v>
      </c>
      <c r="AF551" s="192">
        <f t="shared" si="252"/>
        <v>33612.901500235763</v>
      </c>
      <c r="AG551" s="192">
        <f>U392</f>
        <v>42599.409463245327</v>
      </c>
      <c r="AH551" s="194">
        <f>AF551*AH547</f>
        <v>33612.901500235763</v>
      </c>
      <c r="AI551" s="192">
        <f>AG551*AI547</f>
        <v>42599.409463245327</v>
      </c>
      <c r="AJ551" s="194">
        <f t="shared" si="253"/>
        <v>1977.2295000138683</v>
      </c>
      <c r="AK551" s="194">
        <f t="shared" si="254"/>
        <v>2505.8476154850191</v>
      </c>
      <c r="AL551" s="194">
        <f t="shared" si="255"/>
        <v>1977.2295000138683</v>
      </c>
      <c r="AM551" s="194">
        <f t="shared" ref="AM551:AM552" si="256">AI551/AD551</f>
        <v>2505.8476154850191</v>
      </c>
    </row>
    <row r="552" spans="28:39" x14ac:dyDescent="0.2">
      <c r="AB552" s="259" t="str">
        <f t="shared" si="250"/>
        <v>Street Lights</v>
      </c>
      <c r="AC552" s="192">
        <f t="shared" si="251"/>
        <v>625</v>
      </c>
      <c r="AD552" s="192">
        <f>U395</f>
        <v>625</v>
      </c>
      <c r="AE552" s="194" t="s">
        <v>264</v>
      </c>
      <c r="AF552" s="192">
        <f t="shared" si="252"/>
        <v>1430.2888446215138</v>
      </c>
      <c r="AG552" s="192">
        <f>U397</f>
        <v>1430.2888446215138</v>
      </c>
      <c r="AH552" s="194">
        <f>AF552*AH547</f>
        <v>1430.2888446215138</v>
      </c>
      <c r="AI552" s="192">
        <f>AG552*AI547</f>
        <v>1430.2888446215138</v>
      </c>
      <c r="AJ552" s="194">
        <f t="shared" si="253"/>
        <v>2.2884621513944223</v>
      </c>
      <c r="AK552" s="194">
        <f>AG552/AD552</f>
        <v>2.2884621513944223</v>
      </c>
      <c r="AL552" s="194">
        <f t="shared" si="255"/>
        <v>2.2884621513944223</v>
      </c>
      <c r="AM552" s="194">
        <f t="shared" si="256"/>
        <v>2.2884621513944223</v>
      </c>
    </row>
    <row r="553" spans="28:39" x14ac:dyDescent="0.2">
      <c r="AB553" s="259" t="s">
        <v>10</v>
      </c>
      <c r="AC553" s="192">
        <f>SUM(AC549:AC552)</f>
        <v>2270.4312959422709</v>
      </c>
      <c r="AD553" s="192">
        <f>SUM(AD549:AD552)</f>
        <v>2259.9387191985907</v>
      </c>
      <c r="AE553" s="194"/>
      <c r="AF553" s="198"/>
      <c r="AG553" s="198"/>
      <c r="AH553" s="198"/>
      <c r="AI553" s="198"/>
      <c r="AJ553" s="198"/>
      <c r="AK553" s="198"/>
      <c r="AL553" s="198"/>
      <c r="AM553" s="198"/>
    </row>
    <row r="554" spans="28:39" x14ac:dyDescent="0.2">
      <c r="AB554" s="122"/>
      <c r="AC554" s="348" t="s">
        <v>261</v>
      </c>
      <c r="AD554" s="348"/>
      <c r="AE554" s="122"/>
      <c r="AF554" s="348" t="s">
        <v>261</v>
      </c>
      <c r="AG554" s="348"/>
      <c r="AH554" s="348" t="s">
        <v>261</v>
      </c>
      <c r="AI554" s="348"/>
      <c r="AJ554" s="348" t="s">
        <v>261</v>
      </c>
      <c r="AK554" s="348"/>
      <c r="AL554" s="348" t="s">
        <v>261</v>
      </c>
      <c r="AM554" s="348"/>
    </row>
    <row r="555" spans="28:39" x14ac:dyDescent="0.2">
      <c r="AB555" s="199" t="str">
        <f>AB549</f>
        <v>Residential</v>
      </c>
      <c r="AC555" s="341">
        <f>AD549-AC549</f>
        <v>-7.7515650365251076</v>
      </c>
      <c r="AD555" s="342"/>
      <c r="AE555" s="194" t="s">
        <v>168</v>
      </c>
      <c r="AF555" s="341">
        <f>AG549-AF549</f>
        <v>61592.154814938083</v>
      </c>
      <c r="AG555" s="342"/>
      <c r="AH555" s="341">
        <f>AI549-AH549</f>
        <v>61592.154814938083</v>
      </c>
      <c r="AI555" s="342"/>
      <c r="AJ555" s="341">
        <f>AK549-AJ549</f>
        <v>82.741948138674161</v>
      </c>
      <c r="AK555" s="342"/>
      <c r="AL555" s="341">
        <f>AM549-AL549</f>
        <v>82.741948138674161</v>
      </c>
      <c r="AM555" s="342"/>
    </row>
    <row r="556" spans="28:39" x14ac:dyDescent="0.2">
      <c r="AB556" s="199" t="str">
        <f t="shared" ref="AB556:AB558" si="257">AB550</f>
        <v>GS&lt;50</v>
      </c>
      <c r="AC556" s="341">
        <f t="shared" ref="AC556:AC558" si="258">AD550-AC550</f>
        <v>-2.7410117071553373</v>
      </c>
      <c r="AD556" s="342"/>
      <c r="AE556" s="194" t="s">
        <v>168</v>
      </c>
      <c r="AF556" s="341">
        <f t="shared" ref="AF556" si="259">AG550-AF550</f>
        <v>-130810.2821467407</v>
      </c>
      <c r="AG556" s="342"/>
      <c r="AH556" s="341">
        <f t="shared" ref="AH556" si="260">AI550-AH550</f>
        <v>-130810.2821467407</v>
      </c>
      <c r="AI556" s="342"/>
      <c r="AJ556" s="341">
        <f t="shared" ref="AJ556" si="261">AK550-AJ550</f>
        <v>-300.12635702540138</v>
      </c>
      <c r="AK556" s="342"/>
      <c r="AL556" s="341">
        <f t="shared" ref="AL556" si="262">AM550-AL550</f>
        <v>-300.12635702540138</v>
      </c>
      <c r="AM556" s="342"/>
    </row>
    <row r="557" spans="28:39" x14ac:dyDescent="0.2">
      <c r="AB557" s="199" t="str">
        <f t="shared" si="257"/>
        <v>GS&gt;50</v>
      </c>
      <c r="AC557" s="341">
        <f t="shared" si="258"/>
        <v>0</v>
      </c>
      <c r="AD557" s="342"/>
      <c r="AE557" s="194" t="s">
        <v>264</v>
      </c>
      <c r="AF557" s="341">
        <f t="shared" ref="AF557" si="263">AG551-AF551</f>
        <v>8986.5079630095643</v>
      </c>
      <c r="AG557" s="342"/>
      <c r="AH557" s="341">
        <f t="shared" ref="AH557" si="264">AI551-AH551</f>
        <v>8986.5079630095643</v>
      </c>
      <c r="AI557" s="342"/>
      <c r="AJ557" s="341">
        <f t="shared" ref="AJ557" si="265">AK551-AJ551</f>
        <v>528.61811547115076</v>
      </c>
      <c r="AK557" s="342"/>
      <c r="AL557" s="341">
        <f t="shared" ref="AL557" si="266">AM551-AL551</f>
        <v>528.61811547115076</v>
      </c>
      <c r="AM557" s="342"/>
    </row>
    <row r="558" spans="28:39" x14ac:dyDescent="0.2">
      <c r="AB558" s="199" t="str">
        <f t="shared" si="257"/>
        <v>Street Lights</v>
      </c>
      <c r="AC558" s="341">
        <f t="shared" si="258"/>
        <v>0</v>
      </c>
      <c r="AD558" s="342"/>
      <c r="AE558" s="194" t="s">
        <v>264</v>
      </c>
      <c r="AF558" s="341">
        <f t="shared" ref="AF558" si="267">AG552-AF552</f>
        <v>0</v>
      </c>
      <c r="AG558" s="342"/>
      <c r="AH558" s="341">
        <f t="shared" ref="AH558" si="268">AI552-AH552</f>
        <v>0</v>
      </c>
      <c r="AI558" s="342"/>
      <c r="AJ558" s="341">
        <f t="shared" ref="AJ558" si="269">AK552-AJ552</f>
        <v>0</v>
      </c>
      <c r="AK558" s="342"/>
      <c r="AL558" s="341">
        <f t="shared" ref="AL558" si="270">AM552-AL552</f>
        <v>0</v>
      </c>
      <c r="AM558" s="342"/>
    </row>
  </sheetData>
  <mergeCells count="272">
    <mergeCell ref="A97:F97"/>
    <mergeCell ref="A79:G79"/>
    <mergeCell ref="A22:G22"/>
    <mergeCell ref="A24:G24"/>
    <mergeCell ref="A149:G149"/>
    <mergeCell ref="A147:G147"/>
    <mergeCell ref="A78:G78"/>
    <mergeCell ref="H130:I130"/>
    <mergeCell ref="A169:G169"/>
    <mergeCell ref="A230:E230"/>
    <mergeCell ref="A211:E211"/>
    <mergeCell ref="A213:E213"/>
    <mergeCell ref="A248:E248"/>
    <mergeCell ref="A232:E232"/>
    <mergeCell ref="A171:G171"/>
    <mergeCell ref="A189:E189"/>
    <mergeCell ref="A205:F205"/>
    <mergeCell ref="A207:F207"/>
    <mergeCell ref="A187:F187"/>
    <mergeCell ref="AC423:AD423"/>
    <mergeCell ref="AC424:AD424"/>
    <mergeCell ref="AC425:AD425"/>
    <mergeCell ref="AC426:AD426"/>
    <mergeCell ref="AJ414:AK414"/>
    <mergeCell ref="AL414:AM414"/>
    <mergeCell ref="AF423:AG423"/>
    <mergeCell ref="AF424:AG424"/>
    <mergeCell ref="AF425:AG425"/>
    <mergeCell ref="AF426:AG426"/>
    <mergeCell ref="AJ415:AK415"/>
    <mergeCell ref="AL415:AM415"/>
    <mergeCell ref="AL422:AM422"/>
    <mergeCell ref="AL423:AM423"/>
    <mergeCell ref="AL424:AM424"/>
    <mergeCell ref="AL425:AM425"/>
    <mergeCell ref="AL426:AM426"/>
    <mergeCell ref="AJ422:AK422"/>
    <mergeCell ref="AJ423:AK423"/>
    <mergeCell ref="AJ424:AK424"/>
    <mergeCell ref="AJ425:AK425"/>
    <mergeCell ref="AJ426:AK426"/>
    <mergeCell ref="AH423:AI423"/>
    <mergeCell ref="AC422:AD422"/>
    <mergeCell ref="A250:E250"/>
    <mergeCell ref="A254:F254"/>
    <mergeCell ref="A320:F320"/>
    <mergeCell ref="A324:D324"/>
    <mergeCell ref="A314:F314"/>
    <mergeCell ref="A317:F317"/>
    <mergeCell ref="A256:F256"/>
    <mergeCell ref="B260:E260"/>
    <mergeCell ref="AF414:AG414"/>
    <mergeCell ref="B262:E262"/>
    <mergeCell ref="A309:F309"/>
    <mergeCell ref="A311:F311"/>
    <mergeCell ref="M369:U369"/>
    <mergeCell ref="M380:U380"/>
    <mergeCell ref="AC414:AD414"/>
    <mergeCell ref="AH414:AI414"/>
    <mergeCell ref="AF422:AG422"/>
    <mergeCell ref="A265:E265"/>
    <mergeCell ref="A273:E273"/>
    <mergeCell ref="A281:E281"/>
    <mergeCell ref="A289:E289"/>
    <mergeCell ref="A297:E297"/>
    <mergeCell ref="AB415:AG415"/>
    <mergeCell ref="AH422:AI422"/>
    <mergeCell ref="A342:C342"/>
    <mergeCell ref="A326:G326"/>
    <mergeCell ref="B327:D327"/>
    <mergeCell ref="E327:G327"/>
    <mergeCell ref="AH424:AI424"/>
    <mergeCell ref="AH425:AI425"/>
    <mergeCell ref="AH426:AI426"/>
    <mergeCell ref="AB437:AG437"/>
    <mergeCell ref="AJ437:AK437"/>
    <mergeCell ref="AL437:AM437"/>
    <mergeCell ref="AC444:AD444"/>
    <mergeCell ref="AF444:AG444"/>
    <mergeCell ref="AH444:AI444"/>
    <mergeCell ref="AJ444:AK444"/>
    <mergeCell ref="AL444:AM444"/>
    <mergeCell ref="AC436:AD436"/>
    <mergeCell ref="AF436:AG436"/>
    <mergeCell ref="AH436:AI436"/>
    <mergeCell ref="AJ436:AK436"/>
    <mergeCell ref="AL436:AM436"/>
    <mergeCell ref="AC446:AD446"/>
    <mergeCell ref="AF446:AG446"/>
    <mergeCell ref="AH446:AI446"/>
    <mergeCell ref="AJ446:AK446"/>
    <mergeCell ref="AL446:AM446"/>
    <mergeCell ref="AC445:AD445"/>
    <mergeCell ref="AF445:AG445"/>
    <mergeCell ref="AH445:AI445"/>
    <mergeCell ref="AJ445:AK445"/>
    <mergeCell ref="AL445:AM445"/>
    <mergeCell ref="AC448:AD448"/>
    <mergeCell ref="AF448:AG448"/>
    <mergeCell ref="AH448:AI448"/>
    <mergeCell ref="AJ448:AK448"/>
    <mergeCell ref="AL448:AM448"/>
    <mergeCell ref="AC447:AD447"/>
    <mergeCell ref="AF447:AG447"/>
    <mergeCell ref="AH447:AI447"/>
    <mergeCell ref="AJ447:AK447"/>
    <mergeCell ref="AL447:AM447"/>
    <mergeCell ref="AB459:AG459"/>
    <mergeCell ref="AJ459:AK459"/>
    <mergeCell ref="AL459:AM459"/>
    <mergeCell ref="AC466:AD466"/>
    <mergeCell ref="AF466:AG466"/>
    <mergeCell ref="AH466:AI466"/>
    <mergeCell ref="AJ466:AK466"/>
    <mergeCell ref="AL466:AM466"/>
    <mergeCell ref="AC458:AD458"/>
    <mergeCell ref="AF458:AG458"/>
    <mergeCell ref="AH458:AI458"/>
    <mergeCell ref="AJ458:AK458"/>
    <mergeCell ref="AL458:AM458"/>
    <mergeCell ref="AC468:AD468"/>
    <mergeCell ref="AF468:AG468"/>
    <mergeCell ref="AH468:AI468"/>
    <mergeCell ref="AJ468:AK468"/>
    <mergeCell ref="AL468:AM468"/>
    <mergeCell ref="AC467:AD467"/>
    <mergeCell ref="AF467:AG467"/>
    <mergeCell ref="AH467:AI467"/>
    <mergeCell ref="AJ467:AK467"/>
    <mergeCell ref="AL467:AM467"/>
    <mergeCell ref="AC470:AD470"/>
    <mergeCell ref="AF470:AG470"/>
    <mergeCell ref="AH470:AI470"/>
    <mergeCell ref="AJ470:AK470"/>
    <mergeCell ref="AL470:AM470"/>
    <mergeCell ref="AC469:AD469"/>
    <mergeCell ref="AF469:AG469"/>
    <mergeCell ref="AH469:AI469"/>
    <mergeCell ref="AJ469:AK469"/>
    <mergeCell ref="AL469:AM469"/>
    <mergeCell ref="AB481:AG481"/>
    <mergeCell ref="AJ481:AK481"/>
    <mergeCell ref="AL481:AM481"/>
    <mergeCell ref="AC488:AD488"/>
    <mergeCell ref="AF488:AG488"/>
    <mergeCell ref="AH488:AI488"/>
    <mergeCell ref="AJ488:AK488"/>
    <mergeCell ref="AL488:AM488"/>
    <mergeCell ref="AC480:AD480"/>
    <mergeCell ref="AF480:AG480"/>
    <mergeCell ref="AH480:AI480"/>
    <mergeCell ref="AJ480:AK480"/>
    <mergeCell ref="AL480:AM480"/>
    <mergeCell ref="AC490:AD490"/>
    <mergeCell ref="AF490:AG490"/>
    <mergeCell ref="AH490:AI490"/>
    <mergeCell ref="AJ490:AK490"/>
    <mergeCell ref="AL490:AM490"/>
    <mergeCell ref="AC489:AD489"/>
    <mergeCell ref="AF489:AG489"/>
    <mergeCell ref="AH489:AI489"/>
    <mergeCell ref="AJ489:AK489"/>
    <mergeCell ref="AL489:AM489"/>
    <mergeCell ref="AC492:AD492"/>
    <mergeCell ref="AF492:AG492"/>
    <mergeCell ref="AH492:AI492"/>
    <mergeCell ref="AJ492:AK492"/>
    <mergeCell ref="AL492:AM492"/>
    <mergeCell ref="AC491:AD491"/>
    <mergeCell ref="AF491:AG491"/>
    <mergeCell ref="AH491:AI491"/>
    <mergeCell ref="AJ491:AK491"/>
    <mergeCell ref="AL491:AM491"/>
    <mergeCell ref="AB503:AG503"/>
    <mergeCell ref="AJ503:AK503"/>
    <mergeCell ref="AL503:AM503"/>
    <mergeCell ref="AC510:AD510"/>
    <mergeCell ref="AF510:AG510"/>
    <mergeCell ref="AH510:AI510"/>
    <mergeCell ref="AJ510:AK510"/>
    <mergeCell ref="AL510:AM510"/>
    <mergeCell ref="AC502:AD502"/>
    <mergeCell ref="AF502:AG502"/>
    <mergeCell ref="AH502:AI502"/>
    <mergeCell ref="AJ502:AK502"/>
    <mergeCell ref="AL502:AM502"/>
    <mergeCell ref="AC512:AD512"/>
    <mergeCell ref="AF512:AG512"/>
    <mergeCell ref="AH512:AI512"/>
    <mergeCell ref="AJ512:AK512"/>
    <mergeCell ref="AL512:AM512"/>
    <mergeCell ref="AC511:AD511"/>
    <mergeCell ref="AF511:AG511"/>
    <mergeCell ref="AH511:AI511"/>
    <mergeCell ref="AJ511:AK511"/>
    <mergeCell ref="AL511:AM511"/>
    <mergeCell ref="AC514:AD514"/>
    <mergeCell ref="AF514:AG514"/>
    <mergeCell ref="AH514:AI514"/>
    <mergeCell ref="AJ514:AK514"/>
    <mergeCell ref="AL514:AM514"/>
    <mergeCell ref="AC513:AD513"/>
    <mergeCell ref="AF513:AG513"/>
    <mergeCell ref="AH513:AI513"/>
    <mergeCell ref="AJ513:AK513"/>
    <mergeCell ref="AL513:AM513"/>
    <mergeCell ref="AB525:AG525"/>
    <mergeCell ref="AJ525:AK525"/>
    <mergeCell ref="AL525:AM525"/>
    <mergeCell ref="AC532:AD532"/>
    <mergeCell ref="AF532:AG532"/>
    <mergeCell ref="AH532:AI532"/>
    <mergeCell ref="AJ532:AK532"/>
    <mergeCell ref="AL532:AM532"/>
    <mergeCell ref="AC524:AD524"/>
    <mergeCell ref="AF524:AG524"/>
    <mergeCell ref="AH524:AI524"/>
    <mergeCell ref="AJ524:AK524"/>
    <mergeCell ref="AL524:AM524"/>
    <mergeCell ref="AC534:AD534"/>
    <mergeCell ref="AF534:AG534"/>
    <mergeCell ref="AH534:AI534"/>
    <mergeCell ref="AJ534:AK534"/>
    <mergeCell ref="AL534:AM534"/>
    <mergeCell ref="AC533:AD533"/>
    <mergeCell ref="AF533:AG533"/>
    <mergeCell ref="AH533:AI533"/>
    <mergeCell ref="AJ533:AK533"/>
    <mergeCell ref="AL533:AM533"/>
    <mergeCell ref="AC536:AD536"/>
    <mergeCell ref="AF536:AG536"/>
    <mergeCell ref="AH536:AI536"/>
    <mergeCell ref="AJ536:AK536"/>
    <mergeCell ref="AL536:AM536"/>
    <mergeCell ref="AC535:AD535"/>
    <mergeCell ref="AF535:AG535"/>
    <mergeCell ref="AH535:AI535"/>
    <mergeCell ref="AJ535:AK535"/>
    <mergeCell ref="AL535:AM535"/>
    <mergeCell ref="AB547:AG547"/>
    <mergeCell ref="AJ547:AK547"/>
    <mergeCell ref="AL547:AM547"/>
    <mergeCell ref="AC554:AD554"/>
    <mergeCell ref="AF554:AG554"/>
    <mergeCell ref="AH554:AI554"/>
    <mergeCell ref="AJ554:AK554"/>
    <mergeCell ref="AL554:AM554"/>
    <mergeCell ref="AC546:AD546"/>
    <mergeCell ref="AF546:AG546"/>
    <mergeCell ref="AH546:AI546"/>
    <mergeCell ref="AJ546:AK546"/>
    <mergeCell ref="AL546:AM546"/>
    <mergeCell ref="AC556:AD556"/>
    <mergeCell ref="AF556:AG556"/>
    <mergeCell ref="AH556:AI556"/>
    <mergeCell ref="AJ556:AK556"/>
    <mergeCell ref="AL556:AM556"/>
    <mergeCell ref="AC555:AD555"/>
    <mergeCell ref="AF555:AG555"/>
    <mergeCell ref="AH555:AI555"/>
    <mergeCell ref="AJ555:AK555"/>
    <mergeCell ref="AL555:AM555"/>
    <mergeCell ref="AC558:AD558"/>
    <mergeCell ref="AF558:AG558"/>
    <mergeCell ref="AH558:AI558"/>
    <mergeCell ref="AJ558:AK558"/>
    <mergeCell ref="AL558:AM558"/>
    <mergeCell ref="AC557:AD557"/>
    <mergeCell ref="AF557:AG557"/>
    <mergeCell ref="AH557:AI557"/>
    <mergeCell ref="AJ557:AK557"/>
    <mergeCell ref="AL557:AM557"/>
  </mergeCells>
  <pageMargins left="0.7" right="0.7" top="0.75" bottom="0.75" header="0.3" footer="0.3"/>
  <pageSetup orientation="landscape" horizontalDpi="200" verticalDpi="200" r:id="rId1"/>
  <headerFooter alignWithMargins="0"/>
  <ignoredErrors>
    <ignoredError sqref="D29:D40 F29:F42 X407:X411" formula="1"/>
    <ignoredError sqref="AA407:AA411 AA429:AA433 AA451:AA455 AA473:AA477 AA495:AA499 AA517:AA521 AA539:AA543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zoomScaleNormal="100" workbookViewId="0">
      <pane xSplit="1" ySplit="3" topLeftCell="I7" activePane="bottomRight" state="frozen"/>
      <selection pane="topRight" activeCell="B1" sqref="B1"/>
      <selection pane="bottomLeft" activeCell="A4" sqref="A4"/>
      <selection pane="bottomRight" activeCell="P44" sqref="P44"/>
    </sheetView>
  </sheetViews>
  <sheetFormatPr defaultRowHeight="12.75" x14ac:dyDescent="0.2"/>
  <cols>
    <col min="1" max="1" width="32.7109375" customWidth="1"/>
    <col min="2" max="2" width="12.5703125" style="1" customWidth="1"/>
    <col min="3" max="3" width="12.7109375" style="1" bestFit="1" customWidth="1"/>
    <col min="4" max="4" width="13.5703125" style="1" customWidth="1"/>
    <col min="5" max="5" width="12.7109375" style="1" customWidth="1"/>
    <col min="6" max="6" width="13" style="1" customWidth="1"/>
    <col min="7" max="7" width="12.7109375" style="1" customWidth="1"/>
    <col min="8" max="9" width="12.85546875" style="1" customWidth="1"/>
    <col min="10" max="10" width="12.7109375" style="25" customWidth="1"/>
    <col min="11" max="11" width="12.7109375" style="1" customWidth="1"/>
    <col min="12" max="15" width="12.7109375" customWidth="1"/>
    <col min="16" max="16" width="12.7109375" style="275" customWidth="1"/>
    <col min="18" max="18" width="11.28515625" customWidth="1"/>
  </cols>
  <sheetData>
    <row r="1" spans="1:18" ht="15.75" x14ac:dyDescent="0.25">
      <c r="A1" s="46" t="s">
        <v>151</v>
      </c>
    </row>
    <row r="3" spans="1:18" ht="38.25" x14ac:dyDescent="0.2">
      <c r="B3" s="48" t="s">
        <v>51</v>
      </c>
      <c r="C3" s="48" t="s">
        <v>52</v>
      </c>
      <c r="D3" s="48" t="s">
        <v>53</v>
      </c>
      <c r="E3" s="48" t="s">
        <v>54</v>
      </c>
      <c r="F3" s="48" t="s">
        <v>55</v>
      </c>
      <c r="G3" s="48" t="s">
        <v>65</v>
      </c>
      <c r="H3" s="48" t="s">
        <v>68</v>
      </c>
      <c r="I3" s="48" t="s">
        <v>73</v>
      </c>
      <c r="J3" s="48" t="s">
        <v>142</v>
      </c>
      <c r="K3" s="48" t="s">
        <v>143</v>
      </c>
      <c r="L3" s="48" t="s">
        <v>144</v>
      </c>
      <c r="M3" s="48" t="s">
        <v>145</v>
      </c>
      <c r="N3" s="48" t="s">
        <v>146</v>
      </c>
      <c r="O3" s="63" t="s">
        <v>147</v>
      </c>
      <c r="P3" s="276" t="s">
        <v>148</v>
      </c>
    </row>
    <row r="4" spans="1:18" x14ac:dyDescent="0.2">
      <c r="A4" s="21" t="s">
        <v>58</v>
      </c>
      <c r="B4" s="31">
        <f>'Purchased Power Model '!B195</f>
        <v>41860673</v>
      </c>
      <c r="C4" s="31">
        <f>'Purchased Power Model '!B196</f>
        <v>40321018.040000007</v>
      </c>
      <c r="D4" s="31">
        <f>'Purchased Power Model '!B197</f>
        <v>45911126</v>
      </c>
      <c r="E4" s="31">
        <f>'Purchased Power Model '!B198</f>
        <v>46231560.080000013</v>
      </c>
      <c r="F4" s="31">
        <f>'Purchased Power Model '!B199</f>
        <v>40722040.040000014</v>
      </c>
      <c r="G4" s="31">
        <f>'Purchased Power Model '!B200</f>
        <v>27014076.149999999</v>
      </c>
      <c r="H4" s="31">
        <f>'Purchased Power Model '!B201</f>
        <v>25781621.564615387</v>
      </c>
      <c r="I4" s="31">
        <f>'Purchased Power Model '!B202</f>
        <v>24708723.119999997</v>
      </c>
      <c r="J4" s="31">
        <f>'Purchased Power Model '!B203</f>
        <v>24741815.289999999</v>
      </c>
      <c r="K4" s="31">
        <f>'Purchased Power Model '!B204</f>
        <v>24288144.07</v>
      </c>
      <c r="L4" s="31">
        <f>'Purchased Power Model '!B205</f>
        <v>24871616.660000004</v>
      </c>
      <c r="M4" s="31">
        <f>'Purchased Power Model '!B206</f>
        <v>25633173.069999997</v>
      </c>
      <c r="N4" s="31">
        <f>'Purchased Power Model '!B207</f>
        <v>34806669.239999995</v>
      </c>
    </row>
    <row r="5" spans="1:18" x14ac:dyDescent="0.2">
      <c r="A5" s="21" t="s">
        <v>59</v>
      </c>
      <c r="B5" s="31">
        <f>'Purchased Power Model '!K195</f>
        <v>42054319.565060474</v>
      </c>
      <c r="C5" s="31">
        <f>'Purchased Power Model '!K196</f>
        <v>39418748.505477853</v>
      </c>
      <c r="D5" s="31">
        <f>'Purchased Power Model '!K197</f>
        <v>46157876.812191114</v>
      </c>
      <c r="E5" s="31">
        <f>'Purchased Power Model '!K198</f>
        <v>45957967.689415693</v>
      </c>
      <c r="F5" s="31">
        <f>'Purchased Power Model '!K199</f>
        <v>40060455.926618196</v>
      </c>
      <c r="G5" s="31">
        <f>'Purchased Power Model '!K200</f>
        <v>26845248.051850185</v>
      </c>
      <c r="H5" s="31">
        <f>'Purchased Power Model '!K201</f>
        <v>25037464.386366356</v>
      </c>
      <c r="I5" s="31">
        <f>'Purchased Power Model '!K202</f>
        <v>23445416.720921185</v>
      </c>
      <c r="J5" s="31">
        <f>'Purchased Power Model '!K203</f>
        <v>24918760.34155941</v>
      </c>
      <c r="K5" s="31">
        <f>'Purchased Power Model '!K204</f>
        <v>26143106.94158224</v>
      </c>
      <c r="L5" s="31">
        <f>'Purchased Power Model '!K205</f>
        <v>28220258.103847928</v>
      </c>
      <c r="M5" s="31">
        <f>'Purchased Power Model '!K206</f>
        <v>29188104.248473953</v>
      </c>
      <c r="N5" s="31">
        <f>'Purchased Power Model '!K207</f>
        <v>29259600.077626355</v>
      </c>
      <c r="O5" s="31">
        <f>'Purchased Power Model '!K208</f>
        <v>29607313.733103618</v>
      </c>
      <c r="P5" s="277">
        <f>'Purchased Power Model '!K209</f>
        <v>30012110.274900936</v>
      </c>
    </row>
    <row r="6" spans="1:18" x14ac:dyDescent="0.2">
      <c r="A6" s="21" t="s">
        <v>9</v>
      </c>
      <c r="B6" s="47">
        <f t="shared" ref="B6:I6" si="0">(B5-B4)/B4</f>
        <v>4.6259783033224039E-3</v>
      </c>
      <c r="C6" s="47">
        <f t="shared" si="0"/>
        <v>-2.2377151629134642E-2</v>
      </c>
      <c r="D6" s="47">
        <f t="shared" si="0"/>
        <v>5.3745319204567934E-3</v>
      </c>
      <c r="E6" s="47">
        <f t="shared" si="0"/>
        <v>-5.9178706085386279E-3</v>
      </c>
      <c r="F6" s="47">
        <f t="shared" si="0"/>
        <v>-1.6246340132566151E-2</v>
      </c>
      <c r="G6" s="47">
        <f t="shared" si="0"/>
        <v>-6.2496343466409351E-3</v>
      </c>
      <c r="H6" s="47">
        <f t="shared" si="0"/>
        <v>-2.8863862437200922E-2</v>
      </c>
      <c r="I6" s="47">
        <f t="shared" si="0"/>
        <v>-5.1127951571736767E-2</v>
      </c>
      <c r="J6" s="47">
        <f t="shared" ref="J6:N6" si="1">(J5-J4)/J4</f>
        <v>7.1516600332445128E-3</v>
      </c>
      <c r="K6" s="47">
        <f t="shared" si="1"/>
        <v>7.6373182991508817E-2</v>
      </c>
      <c r="L6" s="47">
        <f t="shared" si="1"/>
        <v>0.13463706399244271</v>
      </c>
      <c r="M6" s="47">
        <f t="shared" si="1"/>
        <v>0.13868478821431987</v>
      </c>
      <c r="N6" s="47">
        <f t="shared" si="1"/>
        <v>-0.15936799709634153</v>
      </c>
      <c r="O6" s="31"/>
    </row>
    <row r="7" spans="1:18" x14ac:dyDescent="0.2">
      <c r="A7" s="21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8" x14ac:dyDescent="0.2">
      <c r="A8" s="21" t="s">
        <v>149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113">
        <f>-'Rate Class Energy Model'!M80*'Rate Class Energy Model'!F24</f>
        <v>-145735.62970805386</v>
      </c>
      <c r="P8" s="278">
        <f>-'Rate Class Energy Model'!M81*'Rate Class Energy Model'!F24</f>
        <v>-437368.25864455139</v>
      </c>
    </row>
    <row r="9" spans="1:18" x14ac:dyDescent="0.2">
      <c r="A9" s="21" t="s">
        <v>150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31">
        <f>O5+O8</f>
        <v>29461578.103395563</v>
      </c>
      <c r="P9" s="277">
        <f>P5+P8</f>
        <v>29574742.016256385</v>
      </c>
    </row>
    <row r="10" spans="1:18" x14ac:dyDescent="0.2">
      <c r="A10" s="21"/>
      <c r="B10" s="44"/>
      <c r="C10" s="44"/>
      <c r="D10" s="44"/>
      <c r="E10" s="44"/>
      <c r="F10" s="44"/>
      <c r="G10" s="44"/>
      <c r="H10" s="44"/>
      <c r="J10" s="64"/>
    </row>
    <row r="11" spans="1:18" x14ac:dyDescent="0.2">
      <c r="A11" s="21" t="s">
        <v>61</v>
      </c>
      <c r="B11" s="31">
        <f>'Rate Class Energy Model'!G8</f>
        <v>41470814.343341038</v>
      </c>
      <c r="C11" s="31">
        <f>'Rate Class Energy Model'!G9</f>
        <v>36191444</v>
      </c>
      <c r="D11" s="31">
        <f>'Rate Class Energy Model'!G10</f>
        <v>43304828</v>
      </c>
      <c r="E11" s="31">
        <f>'Rate Class Energy Model'!G11</f>
        <v>43320424</v>
      </c>
      <c r="F11" s="31">
        <f>'Rate Class Energy Model'!G12</f>
        <v>38478814</v>
      </c>
      <c r="G11" s="31">
        <f>'Rate Class Energy Model'!G13</f>
        <v>24562881</v>
      </c>
      <c r="H11" s="31">
        <f>'Rate Class Energy Model'!G14</f>
        <v>23302412.890000001</v>
      </c>
      <c r="I11" s="31">
        <f>'Rate Class Energy Model'!G15</f>
        <v>22917248.280000001</v>
      </c>
      <c r="J11" s="31">
        <f>'Rate Class Energy Model'!G16</f>
        <v>22383849.879999999</v>
      </c>
      <c r="K11" s="31">
        <f>'Rate Class Energy Model'!G17</f>
        <v>21958203.150000002</v>
      </c>
      <c r="L11" s="31">
        <f>'Rate Class Energy Model'!G18</f>
        <v>22559900.230000004</v>
      </c>
      <c r="M11" s="31">
        <f>'Rate Class Energy Model'!G19</f>
        <v>23377488.100000001</v>
      </c>
      <c r="N11" s="31">
        <f>'Rate Class Energy Model'!G20</f>
        <v>32370291.439999998</v>
      </c>
      <c r="O11" s="31">
        <f>'Rate Class Energy Model'!M68</f>
        <v>27203248.338352505</v>
      </c>
      <c r="P11" s="277">
        <f>'Rate Class Energy Model'!M69</f>
        <v>30307737.853940871</v>
      </c>
    </row>
    <row r="12" spans="1:18" x14ac:dyDescent="0.2">
      <c r="A12" s="21"/>
      <c r="B12" s="44"/>
      <c r="C12" s="44"/>
      <c r="D12" s="44"/>
      <c r="E12" s="44"/>
      <c r="F12" s="44"/>
      <c r="H12" s="25"/>
      <c r="N12" s="31"/>
    </row>
    <row r="13" spans="1:18" ht="15.75" x14ac:dyDescent="0.25">
      <c r="A13" s="46" t="s">
        <v>60</v>
      </c>
      <c r="J13" s="59"/>
      <c r="N13" s="31"/>
    </row>
    <row r="14" spans="1:18" x14ac:dyDescent="0.2">
      <c r="A14" s="45" t="str">
        <f>'Rate Class Energy Model'!H2</f>
        <v>Residential</v>
      </c>
      <c r="J14" s="59"/>
      <c r="Q14" s="112"/>
      <c r="R14" s="112"/>
    </row>
    <row r="15" spans="1:18" x14ac:dyDescent="0.2">
      <c r="A15" t="s">
        <v>48</v>
      </c>
      <c r="B15" s="6">
        <f>'Rate Class Customer Model'!B3</f>
        <v>1502</v>
      </c>
      <c r="C15" s="6">
        <f>'Rate Class Customer Model'!B4</f>
        <v>1481.5</v>
      </c>
      <c r="D15" s="6">
        <f>'Rate Class Customer Model'!B5</f>
        <v>1467.5</v>
      </c>
      <c r="E15" s="6">
        <f>'Rate Class Customer Model'!B6</f>
        <v>1456</v>
      </c>
      <c r="F15" s="6">
        <f>'Rate Class Customer Model'!B7</f>
        <v>1444</v>
      </c>
      <c r="G15" s="6">
        <f>'Rate Class Customer Model'!B8</f>
        <v>1433</v>
      </c>
      <c r="H15" s="6">
        <f>'Rate Class Customer Model'!B9</f>
        <v>1434.5</v>
      </c>
      <c r="I15" s="6">
        <f>'Rate Class Customer Model'!B10</f>
        <v>1423.5</v>
      </c>
      <c r="J15" s="65">
        <f>'Rate Class Customer Model'!B11</f>
        <v>1408.5</v>
      </c>
      <c r="K15" s="6">
        <f>'Rate Class Customer Model'!B12</f>
        <v>1410</v>
      </c>
      <c r="L15" s="6">
        <f>'Rate Class Customer Model'!B13</f>
        <v>1412.5</v>
      </c>
      <c r="M15" s="6">
        <f>'Rate Class Customer Model'!B14</f>
        <v>1411</v>
      </c>
      <c r="N15" s="6">
        <f>'Rate Class Customer Model'!B15</f>
        <v>1405</v>
      </c>
      <c r="O15" s="6">
        <f>'Rate Class Customer Model'!B16</f>
        <v>1397.2051900797071</v>
      </c>
      <c r="P15" s="279">
        <f>'Rate Class Customer Model'!B17</f>
        <v>1389.453625043182</v>
      </c>
      <c r="R15" s="87"/>
    </row>
    <row r="16" spans="1:18" x14ac:dyDescent="0.2">
      <c r="A16" t="s">
        <v>49</v>
      </c>
      <c r="B16" s="6">
        <f>'Rate Class Energy Model'!H8</f>
        <v>11188981.307929177</v>
      </c>
      <c r="C16" s="6">
        <f>'Rate Class Energy Model'!H9</f>
        <v>10849290</v>
      </c>
      <c r="D16" s="6">
        <f>'Rate Class Energy Model'!H10</f>
        <v>11133051</v>
      </c>
      <c r="E16" s="6">
        <f>'Rate Class Energy Model'!H11</f>
        <v>10762942</v>
      </c>
      <c r="F16" s="6">
        <f>'Rate Class Energy Model'!H12</f>
        <v>10963265</v>
      </c>
      <c r="G16" s="6">
        <f>'Rate Class Energy Model'!H13</f>
        <v>10340422</v>
      </c>
      <c r="H16" s="6">
        <f>'Rate Class Energy Model'!H14</f>
        <v>9751774</v>
      </c>
      <c r="I16" s="6">
        <f>'Rate Class Energy Model'!H15</f>
        <v>9926567.9900000002</v>
      </c>
      <c r="J16" s="6">
        <f>'Rate Class Energy Model'!H16</f>
        <v>9619203.9199999999</v>
      </c>
      <c r="K16" s="6">
        <f>'Rate Class Energy Model'!H17</f>
        <v>9445561.1400000006</v>
      </c>
      <c r="L16" s="6">
        <f>'Rate Class Energy Model'!H18</f>
        <v>9833794.3900000006</v>
      </c>
      <c r="M16" s="6">
        <f>'Rate Class Energy Model'!H19</f>
        <v>9743005.5999999996</v>
      </c>
      <c r="N16" s="6">
        <f>'Rate Class Energy Model'!H20</f>
        <v>9225363.5999999996</v>
      </c>
      <c r="O16" s="6">
        <f>'Rate Class Energy Model'!H68</f>
        <v>9620554.3751475941</v>
      </c>
      <c r="P16" s="279">
        <f>'Rate Class Energy Model'!H69</f>
        <v>9682146.5299625322</v>
      </c>
      <c r="R16" s="87"/>
    </row>
    <row r="17" spans="1:18" x14ac:dyDescent="0.2">
      <c r="G17" s="53"/>
      <c r="H17" s="25"/>
    </row>
    <row r="18" spans="1:18" x14ac:dyDescent="0.2">
      <c r="A18" s="45" t="str">
        <f>'Rate Class Energy Model'!I2</f>
        <v>GS&lt;50 kW</v>
      </c>
      <c r="J18" s="59"/>
      <c r="M18" s="6"/>
    </row>
    <row r="19" spans="1:18" x14ac:dyDescent="0.2">
      <c r="A19" t="s">
        <v>48</v>
      </c>
      <c r="B19" s="6">
        <f>'Rate Class Customer Model'!C3</f>
        <v>270</v>
      </c>
      <c r="C19" s="6">
        <f>'Rate Class Customer Model'!C4</f>
        <v>254.5</v>
      </c>
      <c r="D19" s="6">
        <f>'Rate Class Customer Model'!C5</f>
        <v>246.5</v>
      </c>
      <c r="E19" s="6">
        <f>'Rate Class Customer Model'!C6</f>
        <v>246</v>
      </c>
      <c r="F19" s="6">
        <f>'Rate Class Customer Model'!C7</f>
        <v>243.5</v>
      </c>
      <c r="G19" s="6">
        <f>'Rate Class Customer Model'!C8</f>
        <v>237.5</v>
      </c>
      <c r="H19" s="6">
        <f>'Rate Class Customer Model'!C9</f>
        <v>239</v>
      </c>
      <c r="I19" s="6">
        <f>'Rate Class Customer Model'!C10</f>
        <v>237.5</v>
      </c>
      <c r="J19" s="65">
        <f>'Rate Class Customer Model'!C11</f>
        <v>231.5</v>
      </c>
      <c r="K19" s="6">
        <f>'Rate Class Customer Model'!C12</f>
        <v>233.5</v>
      </c>
      <c r="L19" s="6">
        <f>'Rate Class Customer Model'!C13</f>
        <v>234.5</v>
      </c>
      <c r="M19" s="6">
        <f>'Rate Class Customer Model'!C14</f>
        <v>234</v>
      </c>
      <c r="N19" s="6">
        <f>'Rate Class Customer Model'!C15</f>
        <v>234</v>
      </c>
      <c r="O19" s="6">
        <f>'Rate Class Customer Model'!C16</f>
        <v>231.22610586256388</v>
      </c>
      <c r="P19" s="279">
        <f>'Rate Class Customer Model'!C17</f>
        <v>228.48509415540855</v>
      </c>
      <c r="R19" s="87"/>
    </row>
    <row r="20" spans="1:18" x14ac:dyDescent="0.2">
      <c r="A20" t="s">
        <v>49</v>
      </c>
      <c r="B20" s="6">
        <f>'Rate Class Energy Model'!I8</f>
        <v>6166388.4626635881</v>
      </c>
      <c r="C20" s="6">
        <f>'Rate Class Energy Model'!I9</f>
        <v>5632822</v>
      </c>
      <c r="D20" s="6">
        <f>'Rate Class Energy Model'!I10</f>
        <v>5675887</v>
      </c>
      <c r="E20" s="6">
        <f>'Rate Class Energy Model'!I11</f>
        <v>5496538</v>
      </c>
      <c r="F20" s="6">
        <f>'Rate Class Energy Model'!I12</f>
        <v>5663356</v>
      </c>
      <c r="G20" s="6">
        <f>'Rate Class Energy Model'!I13</f>
        <v>5386486</v>
      </c>
      <c r="H20" s="6">
        <f>'Rate Class Energy Model'!I14</f>
        <v>4958913</v>
      </c>
      <c r="I20" s="6">
        <f>'Rate Class Energy Model'!I15</f>
        <v>5016254</v>
      </c>
      <c r="J20" s="6">
        <f>'Rate Class Energy Model'!I16</f>
        <v>5619045.1600000001</v>
      </c>
      <c r="K20" s="6">
        <f>'Rate Class Energy Model'!I17</f>
        <v>5320355.49</v>
      </c>
      <c r="L20" s="6">
        <f>'Rate Class Energy Model'!I18</f>
        <v>5238114.24</v>
      </c>
      <c r="M20" s="6">
        <f>'Rate Class Energy Model'!I19</f>
        <v>5315998.9000000004</v>
      </c>
      <c r="N20" s="6">
        <f>'Rate Class Energy Model'!I20</f>
        <v>5110231.71</v>
      </c>
      <c r="O20" s="6">
        <f>'Rate Class Energy Model'!I68</f>
        <v>5250091.0085293613</v>
      </c>
      <c r="P20" s="279">
        <f>'Rate Class Energy Model'!I69</f>
        <v>5119280.7263826206</v>
      </c>
      <c r="R20" s="87"/>
    </row>
    <row r="21" spans="1:18" x14ac:dyDescent="0.2">
      <c r="G21" s="53"/>
      <c r="H21" s="25"/>
      <c r="N21" s="6"/>
    </row>
    <row r="22" spans="1:18" x14ac:dyDescent="0.2">
      <c r="A22" s="45" t="str">
        <f>'Rate Class Energy Model'!J2</f>
        <v>GS&gt;50 kW</v>
      </c>
      <c r="J22" s="59"/>
      <c r="K22" s="6"/>
    </row>
    <row r="23" spans="1:18" x14ac:dyDescent="0.2">
      <c r="A23" t="s">
        <v>48</v>
      </c>
      <c r="B23" s="6">
        <f>'Rate Class Customer Model'!D3</f>
        <v>21.5</v>
      </c>
      <c r="C23" s="6">
        <f>'Rate Class Customer Model'!D4</f>
        <v>21</v>
      </c>
      <c r="D23" s="6">
        <f>'Rate Class Customer Model'!D5</f>
        <v>20.5</v>
      </c>
      <c r="E23" s="6">
        <f>'Rate Class Customer Model'!D6</f>
        <v>20</v>
      </c>
      <c r="F23" s="6">
        <f>'Rate Class Customer Model'!D7</f>
        <v>20</v>
      </c>
      <c r="G23" s="6">
        <f>'Rate Class Customer Model'!D8</f>
        <v>20.5</v>
      </c>
      <c r="H23" s="6">
        <f>'Rate Class Customer Model'!D9</f>
        <v>20.5</v>
      </c>
      <c r="I23" s="6">
        <f>'Rate Class Customer Model'!D10</f>
        <v>21</v>
      </c>
      <c r="J23" s="65">
        <f>'Rate Class Customer Model'!D11</f>
        <v>22</v>
      </c>
      <c r="K23" s="6">
        <f>'Rate Class Customer Model'!D12</f>
        <v>20</v>
      </c>
      <c r="L23" s="6">
        <f>'Rate Class Customer Model'!D13</f>
        <v>18</v>
      </c>
      <c r="M23" s="65">
        <f>'Rate Class Customer Model'!D14</f>
        <v>19</v>
      </c>
      <c r="N23" s="65">
        <f>'Rate Class Customer Model'!D15</f>
        <v>19</v>
      </c>
      <c r="O23" s="6">
        <f>'Rate Class Customer Model'!D16</f>
        <v>17</v>
      </c>
      <c r="P23" s="279">
        <f>'Rate Class Customer Model'!D17</f>
        <v>17</v>
      </c>
      <c r="R23" s="87"/>
    </row>
    <row r="24" spans="1:18" x14ac:dyDescent="0.2">
      <c r="A24" t="s">
        <v>49</v>
      </c>
      <c r="B24" s="6">
        <f>'Rate Class Energy Model'!J8</f>
        <v>7497335.4503464215</v>
      </c>
      <c r="C24" s="6">
        <f>'Rate Class Energy Model'!J9</f>
        <v>7156033</v>
      </c>
      <c r="D24" s="6">
        <f>'Rate Class Energy Model'!J10</f>
        <v>7221633</v>
      </c>
      <c r="E24" s="6">
        <f>'Rate Class Energy Model'!J11</f>
        <v>6934753</v>
      </c>
      <c r="F24" s="6">
        <f>'Rate Class Energy Model'!J12</f>
        <v>7221513</v>
      </c>
      <c r="G24" s="6">
        <f>'Rate Class Energy Model'!J13</f>
        <v>7206213</v>
      </c>
      <c r="H24" s="6">
        <f>'Rate Class Energy Model'!J14</f>
        <v>8094881</v>
      </c>
      <c r="I24" s="6">
        <f>'Rate Class Energy Model'!J15</f>
        <v>7488858</v>
      </c>
      <c r="J24" s="6">
        <f>'Rate Class Energy Model'!J16</f>
        <v>6675900</v>
      </c>
      <c r="K24" s="6">
        <f>'Rate Class Energy Model'!J17</f>
        <v>6722750</v>
      </c>
      <c r="L24" s="6">
        <f>'Rate Class Energy Model'!J18</f>
        <v>7020268</v>
      </c>
      <c r="M24" s="6">
        <f>'Rate Class Energy Model'!J19</f>
        <v>7851921</v>
      </c>
      <c r="N24" s="6">
        <f>'Rate Class Energy Model'!J20</f>
        <v>17571100</v>
      </c>
      <c r="O24" s="6">
        <f>'Rate Class Energy Model'!J68</f>
        <v>11870853.821209416</v>
      </c>
      <c r="P24" s="279">
        <f>'Rate Class Energy Model'!J69</f>
        <v>15044561.464129582</v>
      </c>
      <c r="R24" s="87"/>
    </row>
    <row r="25" spans="1:18" x14ac:dyDescent="0.2">
      <c r="A25" t="s">
        <v>50</v>
      </c>
      <c r="B25" s="6">
        <f>'Rate Class Load Model'!B2</f>
        <v>20708.099999999999</v>
      </c>
      <c r="C25" s="6">
        <f>'Rate Class Load Model'!B3</f>
        <v>16243.6</v>
      </c>
      <c r="D25" s="6">
        <f>'Rate Class Load Model'!B4</f>
        <v>20152.599999999999</v>
      </c>
      <c r="E25" s="6">
        <f>'Rate Class Load Model'!B5</f>
        <v>18816.900000000001</v>
      </c>
      <c r="F25" s="6">
        <f>'Rate Class Load Model'!B6</f>
        <v>18838.400000000001</v>
      </c>
      <c r="G25" s="6">
        <f>'Rate Class Load Model'!B7</f>
        <v>18111</v>
      </c>
      <c r="H25" s="65">
        <f>'Rate Class Load Model'!B8</f>
        <v>21388.390000000003</v>
      </c>
      <c r="I25" s="65">
        <f>'Rate Class Load Model'!B9</f>
        <v>22208.129999999997</v>
      </c>
      <c r="J25" s="6">
        <f>'Rate Class Load Model'!B10</f>
        <v>20693.859999999997</v>
      </c>
      <c r="K25" s="6">
        <f>'Rate Class Load Model'!B11</f>
        <v>22334.590000000004</v>
      </c>
      <c r="L25" s="6">
        <f>'Rate Class Load Model'!B12</f>
        <v>21680</v>
      </c>
      <c r="M25" s="6">
        <f>'Rate Class Load Model'!B13</f>
        <v>24636</v>
      </c>
      <c r="N25" s="6">
        <f>'Rate Class Load Model'!B14</f>
        <v>50899</v>
      </c>
      <c r="O25" s="6">
        <f>'Rate Class Load Model'!B15</f>
        <v>33612.901500235763</v>
      </c>
      <c r="P25" s="279">
        <f>'Rate Class Load Model'!B16</f>
        <v>42599.409463245327</v>
      </c>
      <c r="R25" s="87"/>
    </row>
    <row r="26" spans="1:18" x14ac:dyDescent="0.2">
      <c r="G26" s="53"/>
      <c r="I26" s="65"/>
      <c r="J26" s="6"/>
    </row>
    <row r="27" spans="1:18" hidden="1" x14ac:dyDescent="0.2">
      <c r="A27" s="45" t="str">
        <f>'Rate Class Energy Model'!K2</f>
        <v>Intermediate</v>
      </c>
      <c r="J27" s="59"/>
      <c r="K27" s="6"/>
    </row>
    <row r="28" spans="1:18" hidden="1" x14ac:dyDescent="0.2">
      <c r="A28" t="s">
        <v>48</v>
      </c>
      <c r="B28" s="6">
        <f>'Rate Class Customer Model'!E3</f>
        <v>1</v>
      </c>
      <c r="C28" s="6">
        <f>'Rate Class Customer Model'!E4</f>
        <v>1</v>
      </c>
      <c r="D28" s="6">
        <f>'Rate Class Customer Model'!E5</f>
        <v>1</v>
      </c>
      <c r="E28" s="6">
        <f>'Rate Class Customer Model'!E6</f>
        <v>1</v>
      </c>
      <c r="F28" s="6">
        <f>'Rate Class Customer Model'!E7</f>
        <v>1</v>
      </c>
      <c r="G28" s="6">
        <f>'Rate Class Customer Model'!E8</f>
        <v>1</v>
      </c>
      <c r="H28" s="6">
        <v>0</v>
      </c>
      <c r="I28" s="6">
        <f>'Rate Class Customer Model'!E10</f>
        <v>9.9999999999999995E-8</v>
      </c>
      <c r="J28" s="65">
        <f>'Rate Class Customer Model'!E11</f>
        <v>9.9999999999999995E-8</v>
      </c>
      <c r="K28" s="6">
        <f>'Rate Class Customer Model'!E12</f>
        <v>9.9999999999999995E-8</v>
      </c>
      <c r="L28" s="6">
        <f>'Rate Class Customer Model'!E13</f>
        <v>9.9999999999999995E-8</v>
      </c>
      <c r="M28" s="6">
        <f>'Rate Class Customer Model'!E14</f>
        <v>9.9999999999999995E-8</v>
      </c>
      <c r="N28" s="6">
        <f>'Rate Class Customer Model'!E15</f>
        <v>9.9999999999999995E-8</v>
      </c>
      <c r="O28" s="6">
        <f>'Rate Class Customer Model'!E16</f>
        <v>9.9999999999999995E-8</v>
      </c>
      <c r="P28" s="279">
        <f>'Rate Class Customer Model'!E17</f>
        <v>9.9999999999999995E-8</v>
      </c>
    </row>
    <row r="29" spans="1:18" hidden="1" x14ac:dyDescent="0.2">
      <c r="A29" t="s">
        <v>49</v>
      </c>
      <c r="B29" s="6">
        <f>'Rate Class Energy Model'!K8</f>
        <v>16081346.227867592</v>
      </c>
      <c r="C29" s="6">
        <f>'Rate Class Energy Model'!K9</f>
        <v>12033248</v>
      </c>
      <c r="D29" s="6">
        <f>'Rate Class Energy Model'!K10</f>
        <v>18768448</v>
      </c>
      <c r="E29" s="6">
        <f>'Rate Class Energy Model'!K11</f>
        <v>19638898</v>
      </c>
      <c r="F29" s="6">
        <f>'Rate Class Energy Model'!K12</f>
        <v>14122517</v>
      </c>
      <c r="G29" s="6">
        <f>'Rate Class Energy Model'!K13</f>
        <v>1140822</v>
      </c>
      <c r="H29" s="6">
        <f>'Rate Class Energy Model'!K14</f>
        <v>0</v>
      </c>
      <c r="I29" s="6">
        <f>'Rate Class Energy Model'!K15</f>
        <v>0</v>
      </c>
      <c r="J29" s="6">
        <f>'Rate Class Energy Model'!K68</f>
        <v>0</v>
      </c>
      <c r="K29" s="73">
        <f>'Rate Class Energy Model'!K65</f>
        <v>0</v>
      </c>
      <c r="L29" s="73">
        <f>'Rate Class Energy Model'!K66</f>
        <v>0</v>
      </c>
      <c r="M29" s="73">
        <f>'Rate Class Energy Model'!K67</f>
        <v>0</v>
      </c>
      <c r="N29" s="73">
        <f>'Rate Class Energy Model'!K68</f>
        <v>0</v>
      </c>
      <c r="O29" s="6">
        <f>'Rate Class Energy Model'!K68</f>
        <v>0</v>
      </c>
      <c r="P29" s="279">
        <f>'Rate Class Energy Model'!K69</f>
        <v>0</v>
      </c>
    </row>
    <row r="30" spans="1:18" hidden="1" x14ac:dyDescent="0.2">
      <c r="A30" t="s">
        <v>50</v>
      </c>
      <c r="B30" s="6">
        <f>'Rate Class Load Model'!C2</f>
        <v>36500.199999999997</v>
      </c>
      <c r="C30" s="6">
        <f>'Rate Class Load Model'!C3</f>
        <v>1549</v>
      </c>
      <c r="D30" s="6">
        <f>'Rate Class Load Model'!C4</f>
        <v>33896.300000000003</v>
      </c>
      <c r="E30" s="6">
        <f>'Rate Class Load Model'!C5</f>
        <v>33997.300000000003</v>
      </c>
      <c r="F30" s="6">
        <f>'Rate Class Load Model'!C6</f>
        <v>31272.7</v>
      </c>
      <c r="G30" s="6">
        <f>'Rate Class Load Model'!C7</f>
        <v>2568.3000000000002</v>
      </c>
      <c r="H30" s="6">
        <f>'Rate Class Load Model'!C8</f>
        <v>0</v>
      </c>
      <c r="I30" s="65">
        <f>'Rate Class Load Model'!C9</f>
        <v>0</v>
      </c>
      <c r="J30" s="6">
        <f>'Rate Class Load Model'!C10</f>
        <v>0</v>
      </c>
      <c r="K30" s="6">
        <f>'Rate Class Load Model'!C11</f>
        <v>0</v>
      </c>
      <c r="L30" s="6">
        <f>'Rate Class Load Model'!C12</f>
        <v>0</v>
      </c>
      <c r="M30" s="6">
        <f>'Rate Class Load Model'!C13</f>
        <v>0</v>
      </c>
      <c r="N30" s="6">
        <f>'Rate Class Load Model'!C14</f>
        <v>0</v>
      </c>
      <c r="O30" s="6">
        <f>'Rate Class Load Model'!C15</f>
        <v>0</v>
      </c>
      <c r="P30" s="279">
        <f>'Rate Class Load Model'!C16</f>
        <v>0</v>
      </c>
    </row>
    <row r="31" spans="1:18" hidden="1" x14ac:dyDescent="0.2">
      <c r="G31" s="53"/>
      <c r="H31" s="25"/>
      <c r="I31" s="25"/>
      <c r="J31" s="59"/>
    </row>
    <row r="32" spans="1:18" x14ac:dyDescent="0.2">
      <c r="A32" s="45" t="str">
        <f>'Rate Class Energy Model'!L2</f>
        <v>Street Lights</v>
      </c>
      <c r="J32" s="59"/>
      <c r="K32" s="6"/>
    </row>
    <row r="33" spans="1:19" x14ac:dyDescent="0.2">
      <c r="A33" t="s">
        <v>69</v>
      </c>
      <c r="B33" s="6">
        <f>'Rate Class Customer Model'!F3</f>
        <v>621.5</v>
      </c>
      <c r="C33" s="6">
        <f>'Rate Class Customer Model'!F4</f>
        <v>617.5</v>
      </c>
      <c r="D33" s="6">
        <f>'Rate Class Customer Model'!F5</f>
        <v>619.5</v>
      </c>
      <c r="E33" s="6">
        <f>'Rate Class Customer Model'!F6</f>
        <v>621</v>
      </c>
      <c r="F33" s="6">
        <f>'Rate Class Customer Model'!F7</f>
        <v>620.5</v>
      </c>
      <c r="G33" s="6">
        <f>'Rate Class Customer Model'!F8</f>
        <v>619.5</v>
      </c>
      <c r="H33" s="6">
        <f>'Rate Class Customer Model'!F9</f>
        <v>621</v>
      </c>
      <c r="I33" s="65">
        <f>'Rate Class Customer Model'!F10</f>
        <v>625.5</v>
      </c>
      <c r="J33" s="6">
        <f>'Rate Class Customer Model'!F11</f>
        <v>631.5</v>
      </c>
      <c r="K33" s="6">
        <f>'Rate Class Customer Model'!F12</f>
        <v>635</v>
      </c>
      <c r="L33" s="6">
        <f>'Rate Class Customer Model'!F13</f>
        <v>635</v>
      </c>
      <c r="M33" s="65">
        <f>'Rate Class Customer Model'!F14</f>
        <v>632.5</v>
      </c>
      <c r="N33" s="65">
        <f>'Rate Class Customer Model'!F15</f>
        <v>627.5</v>
      </c>
      <c r="O33" s="6">
        <f>'Rate Class Customer Model'!F16</f>
        <v>625</v>
      </c>
      <c r="P33" s="279">
        <f>'Rate Class Customer Model'!F17</f>
        <v>625</v>
      </c>
      <c r="R33" s="87"/>
    </row>
    <row r="34" spans="1:19" x14ac:dyDescent="0.2">
      <c r="A34" t="s">
        <v>49</v>
      </c>
      <c r="B34" s="6">
        <f>'Rate Class Energy Model'!L8</f>
        <v>536762.89453425712</v>
      </c>
      <c r="C34" s="6">
        <f>'Rate Class Energy Model'!L9</f>
        <v>520051</v>
      </c>
      <c r="D34" s="6">
        <f>'Rate Class Energy Model'!L10</f>
        <v>505809</v>
      </c>
      <c r="E34" s="6">
        <f>'Rate Class Energy Model'!L11</f>
        <v>487293</v>
      </c>
      <c r="F34" s="6">
        <f>'Rate Class Energy Model'!L12</f>
        <v>508163</v>
      </c>
      <c r="G34" s="6">
        <f>'Rate Class Energy Model'!L13</f>
        <v>488938</v>
      </c>
      <c r="H34" s="6">
        <f>'Rate Class Energy Model'!L14</f>
        <v>496844.89</v>
      </c>
      <c r="I34" s="6">
        <f>'Rate Class Energy Model'!L15</f>
        <v>485568.29</v>
      </c>
      <c r="J34" s="6">
        <f>'Rate Class Energy Model'!L16</f>
        <v>469700.8</v>
      </c>
      <c r="K34" s="6">
        <f>'Rate Class Energy Model'!L17</f>
        <v>469536.52</v>
      </c>
      <c r="L34" s="6">
        <f>'Rate Class Energy Model'!L18</f>
        <v>467723.6</v>
      </c>
      <c r="M34" s="6">
        <f>'Rate Class Energy Model'!L19</f>
        <v>466562.6</v>
      </c>
      <c r="N34" s="6">
        <f>'Rate Class Energy Model'!L20</f>
        <v>463596.13</v>
      </c>
      <c r="O34" s="6">
        <f>'Rate Class Energy Model'!L68</f>
        <v>461749.13346613542</v>
      </c>
      <c r="P34" s="279">
        <f>'Rate Class Energy Model'!L69</f>
        <v>461749.13346613542</v>
      </c>
      <c r="R34" s="87"/>
    </row>
    <row r="35" spans="1:19" x14ac:dyDescent="0.2">
      <c r="A35" t="s">
        <v>50</v>
      </c>
      <c r="B35" s="6">
        <f>'Rate Class Load Model'!D2</f>
        <v>1601.2</v>
      </c>
      <c r="C35" s="6">
        <f>'Rate Class Load Model'!D3</f>
        <v>956.2</v>
      </c>
      <c r="D35" s="6">
        <f>'Rate Class Load Model'!D4</f>
        <v>1511.5</v>
      </c>
      <c r="E35" s="6">
        <f>'Rate Class Load Model'!D5</f>
        <v>1462.4</v>
      </c>
      <c r="F35" s="6">
        <f>'Rate Class Load Model'!D6</f>
        <v>1453.9</v>
      </c>
      <c r="G35" s="6">
        <f>'Rate Class Load Model'!D7</f>
        <v>1458.6</v>
      </c>
      <c r="H35" s="6">
        <f>'Rate Class Load Model'!D8</f>
        <v>1040.5999999999999</v>
      </c>
      <c r="I35" s="65">
        <f>'Rate Class Load Model'!D9</f>
        <v>1449.25</v>
      </c>
      <c r="J35" s="6">
        <f>'Rate Class Load Model'!D10</f>
        <v>1450.33</v>
      </c>
      <c r="K35" s="6">
        <f>'Rate Class Load Model'!D11</f>
        <v>1450</v>
      </c>
      <c r="L35" s="6">
        <f>'Rate Class Load Model'!D12</f>
        <v>1450</v>
      </c>
      <c r="M35" s="6">
        <f>'Rate Class Load Model'!D13</f>
        <v>1455</v>
      </c>
      <c r="N35" s="6">
        <f>'Rate Class Load Model'!D14</f>
        <v>1436.01</v>
      </c>
      <c r="O35" s="6">
        <f>'Rate Class Load Model'!D15</f>
        <v>1430.2888446215138</v>
      </c>
      <c r="P35" s="279">
        <f>'Rate Class Load Model'!D16</f>
        <v>1430.2888446215138</v>
      </c>
      <c r="R35" s="87"/>
    </row>
    <row r="37" spans="1:19" x14ac:dyDescent="0.2">
      <c r="A37" s="45" t="s">
        <v>70</v>
      </c>
      <c r="B37" s="6"/>
      <c r="C37" s="6"/>
      <c r="D37" s="6"/>
      <c r="E37" s="6"/>
      <c r="G37" s="6"/>
      <c r="H37" s="6"/>
      <c r="I37" s="6"/>
      <c r="J37" s="65"/>
      <c r="R37" s="377"/>
      <c r="S37" s="377"/>
    </row>
    <row r="38" spans="1:19" x14ac:dyDescent="0.2">
      <c r="A38" t="s">
        <v>57</v>
      </c>
      <c r="B38" s="6">
        <f>B15+B19+B23+B28+B33</f>
        <v>2416</v>
      </c>
      <c r="C38" s="6">
        <f t="shared" ref="C38:P38" si="2">C15+C19+C23+C28+C33</f>
        <v>2375.5</v>
      </c>
      <c r="D38" s="6">
        <f t="shared" si="2"/>
        <v>2355</v>
      </c>
      <c r="E38" s="6">
        <f t="shared" si="2"/>
        <v>2344</v>
      </c>
      <c r="F38" s="6">
        <f t="shared" si="2"/>
        <v>2329</v>
      </c>
      <c r="G38" s="6">
        <f t="shared" si="2"/>
        <v>2311.5</v>
      </c>
      <c r="H38" s="6">
        <f t="shared" si="2"/>
        <v>2315</v>
      </c>
      <c r="I38" s="6">
        <f t="shared" si="2"/>
        <v>2307.5000000999999</v>
      </c>
      <c r="J38" s="6">
        <f t="shared" si="2"/>
        <v>2293.5000000999999</v>
      </c>
      <c r="K38" s="6">
        <f t="shared" si="2"/>
        <v>2298.5000000999999</v>
      </c>
      <c r="L38" s="6">
        <f t="shared" si="2"/>
        <v>2300.0000000999999</v>
      </c>
      <c r="M38" s="6">
        <f t="shared" si="2"/>
        <v>2296.5000000999999</v>
      </c>
      <c r="N38" s="6">
        <f t="shared" si="2"/>
        <v>2285.5000000999999</v>
      </c>
      <c r="O38" s="6">
        <f t="shared" si="2"/>
        <v>2270.4312960422712</v>
      </c>
      <c r="P38" s="279">
        <f t="shared" si="2"/>
        <v>2259.9387192985905</v>
      </c>
      <c r="R38" s="87"/>
    </row>
    <row r="39" spans="1:19" x14ac:dyDescent="0.2">
      <c r="A39" t="s">
        <v>49</v>
      </c>
      <c r="B39" s="6">
        <f t="shared" ref="B39:B40" si="3">B16+B20+B24+B29+B34</f>
        <v>41470814.343341038</v>
      </c>
      <c r="C39" s="6">
        <f t="shared" ref="C39:P39" si="4">C16+C20+C24+C29+C34</f>
        <v>36191444</v>
      </c>
      <c r="D39" s="6">
        <f t="shared" si="4"/>
        <v>43304828</v>
      </c>
      <c r="E39" s="6">
        <f t="shared" si="4"/>
        <v>43320424</v>
      </c>
      <c r="F39" s="6">
        <f t="shared" si="4"/>
        <v>38478814</v>
      </c>
      <c r="G39" s="6">
        <f t="shared" si="4"/>
        <v>24562881</v>
      </c>
      <c r="H39" s="6">
        <f t="shared" si="4"/>
        <v>23302412.890000001</v>
      </c>
      <c r="I39" s="6">
        <f t="shared" si="4"/>
        <v>22917248.280000001</v>
      </c>
      <c r="J39" s="6">
        <f t="shared" si="4"/>
        <v>22383849.879999999</v>
      </c>
      <c r="K39" s="6">
        <f t="shared" si="4"/>
        <v>21958203.150000002</v>
      </c>
      <c r="L39" s="6">
        <f t="shared" si="4"/>
        <v>22559900.230000004</v>
      </c>
      <c r="M39" s="6">
        <f t="shared" si="4"/>
        <v>23377488.100000001</v>
      </c>
      <c r="N39" s="6">
        <f>N16+N20+N24+N29+N34</f>
        <v>32370291.439999998</v>
      </c>
      <c r="O39" s="6">
        <f t="shared" si="4"/>
        <v>27203248.338352505</v>
      </c>
      <c r="P39" s="279">
        <f t="shared" si="4"/>
        <v>30307737.853940871</v>
      </c>
      <c r="R39" s="87"/>
    </row>
    <row r="40" spans="1:19" x14ac:dyDescent="0.2">
      <c r="A40" t="s">
        <v>56</v>
      </c>
      <c r="B40" s="6">
        <f t="shared" si="3"/>
        <v>58809.499999999993</v>
      </c>
      <c r="C40" s="6">
        <f t="shared" ref="C40:P40" si="5">C17+C21+C25+C30+C35</f>
        <v>18748.8</v>
      </c>
      <c r="D40" s="6">
        <f t="shared" si="5"/>
        <v>55560.4</v>
      </c>
      <c r="E40" s="6">
        <f t="shared" si="5"/>
        <v>54276.600000000006</v>
      </c>
      <c r="F40" s="6">
        <f t="shared" si="5"/>
        <v>51565.000000000007</v>
      </c>
      <c r="G40" s="6">
        <f t="shared" si="5"/>
        <v>22137.899999999998</v>
      </c>
      <c r="H40" s="6">
        <f t="shared" si="5"/>
        <v>22428.99</v>
      </c>
      <c r="I40" s="6">
        <f t="shared" si="5"/>
        <v>23657.379999999997</v>
      </c>
      <c r="J40" s="6">
        <f t="shared" si="5"/>
        <v>22144.189999999995</v>
      </c>
      <c r="K40" s="6">
        <f t="shared" si="5"/>
        <v>23784.590000000004</v>
      </c>
      <c r="L40" s="6">
        <f t="shared" si="5"/>
        <v>23130</v>
      </c>
      <c r="M40" s="6">
        <f t="shared" si="5"/>
        <v>26091</v>
      </c>
      <c r="N40" s="6">
        <f t="shared" si="5"/>
        <v>52335.01</v>
      </c>
      <c r="O40" s="6">
        <f t="shared" si="5"/>
        <v>35043.190344857278</v>
      </c>
      <c r="P40" s="279">
        <f t="shared" si="5"/>
        <v>44029.698307866842</v>
      </c>
      <c r="R40" s="87"/>
    </row>
    <row r="42" spans="1:19" x14ac:dyDescent="0.2">
      <c r="A42" s="45" t="s">
        <v>71</v>
      </c>
      <c r="K42" s="6"/>
    </row>
    <row r="43" spans="1:19" x14ac:dyDescent="0.2">
      <c r="A43" t="s">
        <v>57</v>
      </c>
      <c r="B43" s="6">
        <f>'Rate Class Customer Model'!G3</f>
        <v>2416</v>
      </c>
      <c r="C43" s="6">
        <f>'Rate Class Customer Model'!G4</f>
        <v>2375.5</v>
      </c>
      <c r="D43" s="6">
        <f>'Rate Class Customer Model'!G5</f>
        <v>2355</v>
      </c>
      <c r="E43" s="6">
        <f>'Rate Class Customer Model'!G6</f>
        <v>2344</v>
      </c>
      <c r="F43" s="6">
        <f>'Rate Class Customer Model'!G7</f>
        <v>2329</v>
      </c>
      <c r="G43" s="6">
        <f>'Rate Class Customer Model'!G8</f>
        <v>2311.5</v>
      </c>
      <c r="H43" s="6">
        <f>'Rate Class Customer Model'!G9</f>
        <v>2315</v>
      </c>
      <c r="I43" s="6">
        <f>'Rate Class Customer Model'!G10</f>
        <v>2307.5000000999999</v>
      </c>
      <c r="J43" s="6">
        <f>'Rate Class Customer Model'!G11</f>
        <v>2293.5000000999999</v>
      </c>
      <c r="K43" s="6">
        <f>'Rate Class Customer Model'!G12</f>
        <v>2298.5000000999999</v>
      </c>
      <c r="L43" s="6">
        <f>'Rate Class Customer Model'!G13</f>
        <v>2300.0000000999999</v>
      </c>
      <c r="M43" s="6">
        <f>'Rate Class Customer Model'!G14</f>
        <v>2296.5000000999999</v>
      </c>
      <c r="N43" s="6">
        <f>'Rate Class Customer Model'!G15</f>
        <v>2285.5000000999999</v>
      </c>
      <c r="O43" s="6">
        <f>'Rate Class Customer Model'!G16</f>
        <v>2270.4312960422712</v>
      </c>
      <c r="P43" s="279">
        <f>'Rate Class Customer Model'!G17</f>
        <v>2259.9387192985905</v>
      </c>
    </row>
    <row r="44" spans="1:19" x14ac:dyDescent="0.2">
      <c r="A44" t="s">
        <v>49</v>
      </c>
      <c r="B44" s="6">
        <f>'Rate Class Energy Model'!G8</f>
        <v>41470814.343341038</v>
      </c>
      <c r="C44" s="6">
        <f>'Rate Class Energy Model'!G9</f>
        <v>36191444</v>
      </c>
      <c r="D44" s="6">
        <f>'Rate Class Energy Model'!G10</f>
        <v>43304828</v>
      </c>
      <c r="E44" s="6">
        <f>'Rate Class Energy Model'!G11</f>
        <v>43320424</v>
      </c>
      <c r="F44" s="6">
        <f>'Rate Class Energy Model'!G12</f>
        <v>38478814</v>
      </c>
      <c r="G44" s="6">
        <f>'Rate Class Energy Model'!G13</f>
        <v>24562881</v>
      </c>
      <c r="H44" s="6">
        <f>'Rate Class Energy Model'!G14</f>
        <v>23302412.890000001</v>
      </c>
      <c r="I44" s="6">
        <f>'Rate Class Energy Model'!G15</f>
        <v>22917248.280000001</v>
      </c>
      <c r="J44" s="6">
        <f>'Rate Class Energy Model'!G16</f>
        <v>22383849.879999999</v>
      </c>
      <c r="K44" s="6">
        <f>'Rate Class Energy Model'!G17</f>
        <v>21958203.150000002</v>
      </c>
      <c r="L44" s="6">
        <f>'Rate Class Energy Model'!G18</f>
        <v>22559900.230000004</v>
      </c>
      <c r="M44" s="6">
        <f>'Rate Class Energy Model'!G19</f>
        <v>23377488.100000001</v>
      </c>
      <c r="N44" s="6">
        <f>'Rate Class Energy Model'!G20</f>
        <v>32370291.439999998</v>
      </c>
      <c r="O44" s="6">
        <f>'Rate Class Energy Model'!M68</f>
        <v>27203248.338352505</v>
      </c>
      <c r="P44" s="279">
        <f>'Rate Class Energy Model'!M69</f>
        <v>30307737.853940871</v>
      </c>
    </row>
    <row r="45" spans="1:19" x14ac:dyDescent="0.2">
      <c r="A45" t="s">
        <v>56</v>
      </c>
      <c r="B45" s="6">
        <f>'Rate Class Load Model'!E2</f>
        <v>58809.499999999993</v>
      </c>
      <c r="C45" s="6">
        <f>'Rate Class Load Model'!E3</f>
        <v>18748.8</v>
      </c>
      <c r="D45" s="6">
        <f>'Rate Class Load Model'!E4</f>
        <v>55560.4</v>
      </c>
      <c r="E45" s="6">
        <f>'Rate Class Load Model'!E5</f>
        <v>54276.600000000006</v>
      </c>
      <c r="F45" s="6">
        <f>'Rate Class Load Model'!E6</f>
        <v>51565.000000000007</v>
      </c>
      <c r="G45" s="6">
        <f>'Rate Class Load Model'!E7</f>
        <v>22137.899999999998</v>
      </c>
      <c r="H45" s="6">
        <f>'Rate Class Load Model'!E8</f>
        <v>22428.99</v>
      </c>
      <c r="I45" s="65">
        <f>'Rate Class Load Model'!E9</f>
        <v>23657.379999999997</v>
      </c>
      <c r="J45" s="6">
        <f>'Rate Class Load Model'!E10</f>
        <v>22144.189999999995</v>
      </c>
      <c r="K45" s="6">
        <f>'Rate Class Load Model'!E11</f>
        <v>23784.590000000004</v>
      </c>
      <c r="L45" s="6">
        <f>'Rate Class Load Model'!E12</f>
        <v>23130</v>
      </c>
      <c r="M45" s="6">
        <f>'Rate Class Load Model'!E13</f>
        <v>26091</v>
      </c>
      <c r="N45" s="6">
        <f>'Rate Class Load Model'!E14</f>
        <v>52335.01</v>
      </c>
      <c r="O45" s="6">
        <f>'Rate Class Load Model'!E15</f>
        <v>35043.190344857278</v>
      </c>
      <c r="P45" s="279">
        <f>'Rate Class Load Model'!E16</f>
        <v>44029.698307866842</v>
      </c>
    </row>
    <row r="47" spans="1:19" x14ac:dyDescent="0.2">
      <c r="A47" s="45" t="s">
        <v>72</v>
      </c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9" x14ac:dyDescent="0.2">
      <c r="A48" t="s">
        <v>57</v>
      </c>
      <c r="B48" s="6">
        <f>B38-B43</f>
        <v>0</v>
      </c>
      <c r="C48" s="6">
        <f t="shared" ref="C48:F48" si="6">C38-C43</f>
        <v>0</v>
      </c>
      <c r="D48" s="6">
        <f t="shared" si="6"/>
        <v>0</v>
      </c>
      <c r="E48" s="6">
        <f t="shared" si="6"/>
        <v>0</v>
      </c>
      <c r="F48" s="6">
        <f t="shared" si="6"/>
        <v>0</v>
      </c>
      <c r="G48" s="6">
        <f t="shared" ref="G48:P48" si="7">G38-G43</f>
        <v>0</v>
      </c>
      <c r="H48" s="6">
        <f t="shared" si="7"/>
        <v>0</v>
      </c>
      <c r="I48" s="6">
        <f t="shared" si="7"/>
        <v>0</v>
      </c>
      <c r="J48" s="6">
        <f t="shared" si="7"/>
        <v>0</v>
      </c>
      <c r="K48" s="6">
        <f t="shared" si="7"/>
        <v>0</v>
      </c>
      <c r="L48" s="6">
        <f t="shared" si="7"/>
        <v>0</v>
      </c>
      <c r="M48" s="6">
        <f t="shared" si="7"/>
        <v>0</v>
      </c>
      <c r="N48" s="6">
        <f t="shared" si="7"/>
        <v>0</v>
      </c>
      <c r="O48" s="6">
        <f t="shared" si="7"/>
        <v>0</v>
      </c>
      <c r="P48" s="279">
        <f t="shared" si="7"/>
        <v>0</v>
      </c>
      <c r="Q48" s="6"/>
    </row>
    <row r="49" spans="1:17" x14ac:dyDescent="0.2">
      <c r="A49" t="s">
        <v>49</v>
      </c>
      <c r="B49" s="6">
        <f t="shared" ref="B49:F50" si="8">B39-B44</f>
        <v>0</v>
      </c>
      <c r="C49" s="6">
        <f t="shared" si="8"/>
        <v>0</v>
      </c>
      <c r="D49" s="6">
        <f t="shared" si="8"/>
        <v>0</v>
      </c>
      <c r="E49" s="6">
        <f t="shared" si="8"/>
        <v>0</v>
      </c>
      <c r="F49" s="6">
        <f t="shared" si="8"/>
        <v>0</v>
      </c>
      <c r="G49" s="6">
        <f t="shared" ref="G49:P49" si="9">G39-G44</f>
        <v>0</v>
      </c>
      <c r="H49" s="6">
        <f t="shared" si="9"/>
        <v>0</v>
      </c>
      <c r="I49" s="6">
        <f t="shared" si="9"/>
        <v>0</v>
      </c>
      <c r="J49" s="6">
        <f t="shared" si="9"/>
        <v>0</v>
      </c>
      <c r="K49" s="6">
        <f t="shared" si="9"/>
        <v>0</v>
      </c>
      <c r="L49" s="6">
        <f t="shared" si="9"/>
        <v>0</v>
      </c>
      <c r="M49" s="6">
        <f t="shared" si="9"/>
        <v>0</v>
      </c>
      <c r="N49" s="6">
        <f t="shared" si="9"/>
        <v>0</v>
      </c>
      <c r="O49" s="6">
        <f t="shared" si="9"/>
        <v>0</v>
      </c>
      <c r="P49" s="279">
        <f t="shared" si="9"/>
        <v>0</v>
      </c>
      <c r="Q49" s="6"/>
    </row>
    <row r="50" spans="1:17" x14ac:dyDescent="0.2">
      <c r="A50" t="s">
        <v>56</v>
      </c>
      <c r="B50" s="6">
        <f t="shared" si="8"/>
        <v>0</v>
      </c>
      <c r="C50" s="6">
        <f t="shared" si="8"/>
        <v>0</v>
      </c>
      <c r="D50" s="6">
        <f t="shared" si="8"/>
        <v>0</v>
      </c>
      <c r="E50" s="6">
        <f t="shared" si="8"/>
        <v>0</v>
      </c>
      <c r="F50" s="6">
        <f t="shared" si="8"/>
        <v>0</v>
      </c>
      <c r="G50" s="6">
        <f t="shared" ref="G50:P50" si="10">G40-G45</f>
        <v>0</v>
      </c>
      <c r="H50" s="6">
        <f t="shared" si="10"/>
        <v>0</v>
      </c>
      <c r="I50" s="6">
        <f t="shared" si="10"/>
        <v>0</v>
      </c>
      <c r="J50" s="6">
        <f t="shared" si="10"/>
        <v>0</v>
      </c>
      <c r="K50" s="6">
        <f t="shared" si="10"/>
        <v>0</v>
      </c>
      <c r="L50" s="6">
        <f t="shared" si="10"/>
        <v>0</v>
      </c>
      <c r="M50" s="6">
        <f t="shared" si="10"/>
        <v>0</v>
      </c>
      <c r="N50" s="6">
        <f t="shared" si="10"/>
        <v>0</v>
      </c>
      <c r="O50" s="6">
        <f t="shared" si="10"/>
        <v>0</v>
      </c>
      <c r="P50" s="279">
        <f t="shared" si="10"/>
        <v>0</v>
      </c>
      <c r="Q50" s="6"/>
    </row>
    <row r="54" spans="1:17" x14ac:dyDescent="0.2">
      <c r="B54" s="6"/>
      <c r="C54" s="6"/>
      <c r="D54" s="6"/>
      <c r="E54" s="6"/>
      <c r="F54" s="6"/>
      <c r="G54" s="6"/>
      <c r="H54" s="6"/>
      <c r="I54" s="6"/>
    </row>
    <row r="55" spans="1:17" x14ac:dyDescent="0.2">
      <c r="B55" s="6"/>
      <c r="C55" s="6"/>
      <c r="D55" s="6"/>
      <c r="E55" s="6"/>
      <c r="F55" s="6"/>
      <c r="G55" s="6"/>
      <c r="H55" s="6"/>
      <c r="I55" s="6"/>
    </row>
  </sheetData>
  <mergeCells count="1">
    <mergeCell ref="R37:S37"/>
  </mergeCells>
  <phoneticPr fontId="0" type="noConversion"/>
  <printOptions gridLines="1"/>
  <pageMargins left="0.39370078740157483" right="0.74803149606299213" top="0.74803149606299213" bottom="0.74803149606299213" header="0.51181102362204722" footer="0.51181102362204722"/>
  <pageSetup scale="90" orientation="landscape" verticalDpi="300" r:id="rId1"/>
  <headerFooter alignWithMargins="0"/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290"/>
  <sheetViews>
    <sheetView topLeftCell="A180" workbookViewId="0">
      <selection activeCell="L169" sqref="L169"/>
    </sheetView>
  </sheetViews>
  <sheetFormatPr defaultRowHeight="12.75" x14ac:dyDescent="0.2"/>
  <cols>
    <col min="1" max="1" width="14.140625" bestFit="1" customWidth="1"/>
    <col min="2" max="2" width="18" style="29" customWidth="1"/>
    <col min="3" max="3" width="11.7109375" style="25" customWidth="1"/>
    <col min="4" max="4" width="15.140625" style="25" customWidth="1"/>
    <col min="5" max="5" width="10.140625" style="25" customWidth="1"/>
    <col min="6" max="6" width="12.42578125" style="29" customWidth="1"/>
    <col min="7" max="7" width="11.42578125" style="25" customWidth="1"/>
    <col min="8" max="8" width="14.42578125" style="37" customWidth="1"/>
    <col min="9" max="9" width="13" style="25" hidden="1" customWidth="1"/>
    <col min="10" max="10" width="12.42578125" style="25" hidden="1" customWidth="1"/>
    <col min="11" max="11" width="15.42578125" style="25" bestFit="1" customWidth="1"/>
    <col min="12" max="12" width="17" style="1" customWidth="1"/>
    <col min="13" max="13" width="12.42578125" style="1" customWidth="1"/>
    <col min="14" max="14" width="30.5703125" bestFit="1" customWidth="1"/>
    <col min="15" max="16" width="15.7109375" customWidth="1"/>
    <col min="17" max="17" width="16.28515625" customWidth="1"/>
    <col min="18" max="18" width="19.85546875" customWidth="1"/>
    <col min="19" max="19" width="14" customWidth="1"/>
    <col min="20" max="20" width="16.42578125" customWidth="1"/>
    <col min="21" max="21" width="21.7109375" bestFit="1" customWidth="1"/>
    <col min="22" max="22" width="31.42578125" bestFit="1" customWidth="1"/>
  </cols>
  <sheetData>
    <row r="2" spans="1:19" ht="42" customHeight="1" x14ac:dyDescent="0.2">
      <c r="A2" s="240"/>
      <c r="B2" s="241" t="s">
        <v>134</v>
      </c>
      <c r="C2" s="242" t="s">
        <v>2</v>
      </c>
      <c r="D2" s="242" t="s">
        <v>3</v>
      </c>
      <c r="E2" s="242" t="s">
        <v>4</v>
      </c>
      <c r="F2" s="241" t="s">
        <v>131</v>
      </c>
      <c r="G2" s="242" t="s">
        <v>135</v>
      </c>
      <c r="H2" s="243" t="s">
        <v>6</v>
      </c>
      <c r="I2" s="242" t="s">
        <v>5</v>
      </c>
      <c r="J2" s="242" t="s">
        <v>19</v>
      </c>
      <c r="K2" s="242" t="s">
        <v>11</v>
      </c>
      <c r="L2" s="12" t="s">
        <v>12</v>
      </c>
      <c r="M2" s="12" t="s">
        <v>13</v>
      </c>
      <c r="N2" t="s">
        <v>20</v>
      </c>
    </row>
    <row r="3" spans="1:19" ht="13.5" thickBot="1" x14ac:dyDescent="0.25">
      <c r="A3" s="244">
        <v>37407</v>
      </c>
      <c r="B3" s="245">
        <f>'[13]Data Input'!B81</f>
        <v>4573576.75</v>
      </c>
      <c r="C3" s="246">
        <f>'Weather Analysis'!M12</f>
        <v>338.7</v>
      </c>
      <c r="D3" s="246">
        <f>'Weather Analysis'!M32</f>
        <v>2.9</v>
      </c>
      <c r="E3" s="247">
        <v>31</v>
      </c>
      <c r="F3" s="248">
        <f>[14]Intermediate!P7</f>
        <v>1</v>
      </c>
      <c r="G3" s="247">
        <f t="shared" ref="G3:G14" si="0">G4-($G$28-$G$16)/12</f>
        <v>2459.875</v>
      </c>
      <c r="H3" s="249">
        <v>122.9477313822845</v>
      </c>
      <c r="I3" s="247">
        <v>351.91199999999998</v>
      </c>
      <c r="J3" s="247">
        <v>1</v>
      </c>
      <c r="K3" s="247">
        <f>$O$18+C3*$O$19+D3*$O$20+E3*$O$21+F3*$O$22+G3*$O$23+H3*$O$24</f>
        <v>4347701.7987346118</v>
      </c>
      <c r="L3" s="210">
        <f>K3-B3</f>
        <v>-225874.95126538817</v>
      </c>
      <c r="M3" s="212">
        <f>ABS(L3/B3)</f>
        <v>4.9386937972646497E-2</v>
      </c>
    </row>
    <row r="4" spans="1:19" x14ac:dyDescent="0.2">
      <c r="A4" s="244">
        <v>37408</v>
      </c>
      <c r="B4" s="245">
        <f>'[13]Data Input'!B82</f>
        <v>4260626.75</v>
      </c>
      <c r="C4" s="246">
        <f>'Weather Analysis'!M13</f>
        <v>79.7</v>
      </c>
      <c r="D4" s="246">
        <f>'Weather Analysis'!M33</f>
        <v>35.299999999999997</v>
      </c>
      <c r="E4" s="247">
        <v>30</v>
      </c>
      <c r="F4" s="248">
        <f>[14]Intermediate!P8</f>
        <v>1</v>
      </c>
      <c r="G4" s="247">
        <f t="shared" si="0"/>
        <v>2456.5</v>
      </c>
      <c r="H4" s="249">
        <v>123.31120824213403</v>
      </c>
      <c r="I4" s="247">
        <v>319.68</v>
      </c>
      <c r="J4" s="247">
        <v>0</v>
      </c>
      <c r="K4" s="247">
        <f t="shared" ref="K4:K67" si="1">$O$18+C4*$O$19+D4*$O$20+E4*$O$21+F4*$O$22+G4*$O$23+H4*$O$24</f>
        <v>4135972.7693279572</v>
      </c>
      <c r="L4" s="210">
        <f t="shared" ref="L4:L67" si="2">K4-B4</f>
        <v>-124653.98067204282</v>
      </c>
      <c r="M4" s="212">
        <f t="shared" ref="M4:M67" si="3">ABS(L4/B4)</f>
        <v>2.9257193362934881E-2</v>
      </c>
      <c r="N4" s="57" t="s">
        <v>21</v>
      </c>
      <c r="O4" s="57"/>
    </row>
    <row r="5" spans="1:19" x14ac:dyDescent="0.2">
      <c r="A5" s="244">
        <v>37440</v>
      </c>
      <c r="B5" s="245">
        <f>'[13]Data Input'!B83</f>
        <v>4562116.75</v>
      </c>
      <c r="C5" s="246">
        <f>'Weather Analysis'!M14</f>
        <v>12.1</v>
      </c>
      <c r="D5" s="246">
        <f>'Weather Analysis'!M34</f>
        <v>84.5</v>
      </c>
      <c r="E5" s="247">
        <v>31</v>
      </c>
      <c r="F5" s="248">
        <f>[14]Intermediate!P9</f>
        <v>1</v>
      </c>
      <c r="G5" s="247">
        <f t="shared" si="0"/>
        <v>2453.125</v>
      </c>
      <c r="H5" s="249">
        <v>123.67575966778612</v>
      </c>
      <c r="I5" s="247">
        <v>351.91199999999998</v>
      </c>
      <c r="J5" s="247">
        <v>0</v>
      </c>
      <c r="K5" s="247">
        <f t="shared" si="1"/>
        <v>4297732.8597433185</v>
      </c>
      <c r="L5" s="210">
        <f t="shared" si="2"/>
        <v>-264383.89025668148</v>
      </c>
      <c r="M5" s="212">
        <f t="shared" si="3"/>
        <v>5.7952021998709587E-2</v>
      </c>
      <c r="N5" s="38" t="s">
        <v>22</v>
      </c>
      <c r="O5" s="71">
        <v>0.95879188971131935</v>
      </c>
    </row>
    <row r="6" spans="1:19" x14ac:dyDescent="0.2">
      <c r="A6" s="244">
        <v>37473</v>
      </c>
      <c r="B6" s="245">
        <f>'[13]Data Input'!B84</f>
        <v>4203236.75</v>
      </c>
      <c r="C6" s="246">
        <f>'Weather Analysis'!M15</f>
        <v>33.700000000000003</v>
      </c>
      <c r="D6" s="246">
        <f>'Weather Analysis'!M35</f>
        <v>28.2</v>
      </c>
      <c r="E6" s="247">
        <v>31</v>
      </c>
      <c r="F6" s="248">
        <f>[14]Intermediate!P10</f>
        <v>1</v>
      </c>
      <c r="G6" s="247">
        <f t="shared" si="0"/>
        <v>2449.75</v>
      </c>
      <c r="H6" s="249">
        <v>124.04138883603632</v>
      </c>
      <c r="I6" s="247">
        <v>336.28800000000001</v>
      </c>
      <c r="J6" s="247">
        <v>0</v>
      </c>
      <c r="K6" s="247">
        <f t="shared" si="1"/>
        <v>4133703.4322985662</v>
      </c>
      <c r="L6" s="210">
        <f t="shared" si="2"/>
        <v>-69533.317701433785</v>
      </c>
      <c r="M6" s="212">
        <f t="shared" si="3"/>
        <v>1.6542803043733803E-2</v>
      </c>
      <c r="N6" s="38" t="s">
        <v>23</v>
      </c>
      <c r="O6" s="71">
        <v>0.91928188777620279</v>
      </c>
    </row>
    <row r="7" spans="1:19" x14ac:dyDescent="0.2">
      <c r="A7" s="244">
        <v>37506</v>
      </c>
      <c r="B7" s="245">
        <f>'[13]Data Input'!B85</f>
        <v>3873916.75</v>
      </c>
      <c r="C7" s="246">
        <f>'Weather Analysis'!M16</f>
        <v>143.80000000000001</v>
      </c>
      <c r="D7" s="246">
        <f>'Weather Analysis'!M36</f>
        <v>23.3</v>
      </c>
      <c r="E7" s="247">
        <v>30</v>
      </c>
      <c r="F7" s="248">
        <f>[14]Intermediate!P11</f>
        <v>1</v>
      </c>
      <c r="G7" s="247">
        <f t="shared" si="0"/>
        <v>2446.375</v>
      </c>
      <c r="H7" s="249">
        <v>124.40809893307186</v>
      </c>
      <c r="I7" s="247">
        <v>319.68</v>
      </c>
      <c r="J7" s="247">
        <v>1</v>
      </c>
      <c r="K7" s="247">
        <f t="shared" si="1"/>
        <v>4102293.1415033583</v>
      </c>
      <c r="L7" s="210">
        <f t="shared" si="2"/>
        <v>228376.39150335826</v>
      </c>
      <c r="M7" s="212">
        <f t="shared" si="3"/>
        <v>5.8952322995417562E-2</v>
      </c>
      <c r="N7" s="38" t="s">
        <v>24</v>
      </c>
      <c r="O7" s="71">
        <v>0.91619711915618507</v>
      </c>
    </row>
    <row r="8" spans="1:19" x14ac:dyDescent="0.2">
      <c r="A8" s="244">
        <v>37539</v>
      </c>
      <c r="B8" s="245">
        <f>'[13]Data Input'!B86</f>
        <v>4274056.75</v>
      </c>
      <c r="C8" s="246">
        <f>'Weather Analysis'!M17</f>
        <v>540.70000000000005</v>
      </c>
      <c r="D8" s="246">
        <f>'Weather Analysis'!M37</f>
        <v>0</v>
      </c>
      <c r="E8" s="247">
        <v>31</v>
      </c>
      <c r="F8" s="248">
        <f>[14]Intermediate!P12</f>
        <v>1</v>
      </c>
      <c r="G8" s="247">
        <f t="shared" si="0"/>
        <v>2443</v>
      </c>
      <c r="H8" s="249">
        <v>124.7758931544995</v>
      </c>
      <c r="I8" s="247">
        <v>351.91199999999998</v>
      </c>
      <c r="J8" s="247">
        <v>1</v>
      </c>
      <c r="K8" s="247">
        <f t="shared" si="1"/>
        <v>4416181.5989368074</v>
      </c>
      <c r="L8" s="210">
        <f t="shared" si="2"/>
        <v>142124.84893680736</v>
      </c>
      <c r="M8" s="212">
        <f t="shared" si="3"/>
        <v>3.3252915730893694E-2</v>
      </c>
      <c r="N8" s="38" t="s">
        <v>25</v>
      </c>
      <c r="O8" s="69">
        <v>259642.66553949946</v>
      </c>
    </row>
    <row r="9" spans="1:19" ht="13.5" thickBot="1" x14ac:dyDescent="0.25">
      <c r="A9" s="244">
        <v>37572</v>
      </c>
      <c r="B9" s="245">
        <f>'[13]Data Input'!B87</f>
        <v>4161566.75</v>
      </c>
      <c r="C9" s="246">
        <f>'Weather Analysis'!M18</f>
        <v>706.8</v>
      </c>
      <c r="D9" s="246">
        <f>'Weather Analysis'!M38</f>
        <v>0</v>
      </c>
      <c r="E9" s="247">
        <v>30</v>
      </c>
      <c r="F9" s="248">
        <f>[14]Intermediate!P13</f>
        <v>1</v>
      </c>
      <c r="G9" s="247">
        <f t="shared" si="0"/>
        <v>2439.625</v>
      </c>
      <c r="H9" s="249">
        <v>125.14477470537335</v>
      </c>
      <c r="I9" s="247">
        <v>336.24</v>
      </c>
      <c r="J9" s="247">
        <v>1</v>
      </c>
      <c r="K9" s="247">
        <f t="shared" si="1"/>
        <v>4443081.7988192244</v>
      </c>
      <c r="L9" s="210">
        <f t="shared" si="2"/>
        <v>281515.04881922435</v>
      </c>
      <c r="M9" s="212">
        <f t="shared" si="3"/>
        <v>6.7646409568998103E-2</v>
      </c>
      <c r="N9" s="55" t="s">
        <v>26</v>
      </c>
      <c r="O9" s="70">
        <v>164</v>
      </c>
    </row>
    <row r="10" spans="1:19" x14ac:dyDescent="0.2">
      <c r="A10" s="250">
        <v>37605</v>
      </c>
      <c r="B10" s="245">
        <f>'[13]Data Input'!B88</f>
        <v>4409706.75</v>
      </c>
      <c r="C10" s="246">
        <f>'Weather Analysis'!M19</f>
        <v>850.9</v>
      </c>
      <c r="D10" s="246">
        <f>'Weather Analysis'!M39</f>
        <v>0</v>
      </c>
      <c r="E10" s="247">
        <v>31</v>
      </c>
      <c r="F10" s="248">
        <f>[14]Intermediate!P14</f>
        <v>1</v>
      </c>
      <c r="G10" s="247">
        <f t="shared" si="0"/>
        <v>2436.25</v>
      </c>
      <c r="H10" s="249">
        <v>125.51474680022261</v>
      </c>
      <c r="I10" s="247">
        <v>319.92</v>
      </c>
      <c r="J10" s="247">
        <v>0</v>
      </c>
      <c r="K10" s="247">
        <f t="shared" si="1"/>
        <v>4627065.5542597864</v>
      </c>
      <c r="L10" s="210">
        <f t="shared" si="2"/>
        <v>217358.80425978638</v>
      </c>
      <c r="M10" s="212">
        <f t="shared" si="3"/>
        <v>4.9290988399576997E-2</v>
      </c>
    </row>
    <row r="11" spans="1:19" ht="13.5" thickBot="1" x14ac:dyDescent="0.25">
      <c r="A11" s="244">
        <v>37622</v>
      </c>
      <c r="B11" s="245">
        <f>'[13]Data Input'!B89</f>
        <v>5097790.25</v>
      </c>
      <c r="C11" s="246">
        <f>'Weather Analysis'!N8</f>
        <v>989.2</v>
      </c>
      <c r="D11" s="246">
        <f>'Weather Analysis'!N28</f>
        <v>0</v>
      </c>
      <c r="E11" s="247">
        <v>31</v>
      </c>
      <c r="F11" s="248">
        <f>[14]Intermediate!P15</f>
        <v>1</v>
      </c>
      <c r="G11" s="247">
        <f t="shared" si="0"/>
        <v>2432.875</v>
      </c>
      <c r="H11" s="249">
        <v>125.66024937363977</v>
      </c>
      <c r="I11" s="247">
        <v>351.91199999999998</v>
      </c>
      <c r="J11" s="247">
        <v>0</v>
      </c>
      <c r="K11" s="247">
        <f t="shared" si="1"/>
        <v>4710650.934864142</v>
      </c>
      <c r="L11" s="210">
        <f t="shared" si="2"/>
        <v>-387139.31513585802</v>
      </c>
      <c r="M11" s="212">
        <f t="shared" si="3"/>
        <v>7.5942574360696388E-2</v>
      </c>
      <c r="N11" t="s">
        <v>27</v>
      </c>
    </row>
    <row r="12" spans="1:19" x14ac:dyDescent="0.2">
      <c r="A12" s="244">
        <v>37653</v>
      </c>
      <c r="B12" s="245">
        <f>'[13]Data Input'!B90</f>
        <v>4717710.25</v>
      </c>
      <c r="C12" s="246">
        <f>'Weather Analysis'!N9</f>
        <v>994.6</v>
      </c>
      <c r="D12" s="246">
        <f>'Weather Analysis'!N29</f>
        <v>0</v>
      </c>
      <c r="E12" s="247">
        <v>28</v>
      </c>
      <c r="F12" s="248">
        <f>[14]Intermediate!P16</f>
        <v>1</v>
      </c>
      <c r="G12" s="247">
        <f t="shared" si="0"/>
        <v>2429.5</v>
      </c>
      <c r="H12" s="249">
        <v>125.80592062045517</v>
      </c>
      <c r="I12" s="247">
        <v>319.87200000000001</v>
      </c>
      <c r="J12" s="247">
        <v>0</v>
      </c>
      <c r="K12" s="247">
        <f t="shared" si="1"/>
        <v>4428648.0977205848</v>
      </c>
      <c r="L12" s="210">
        <f t="shared" si="2"/>
        <v>-289062.15227941517</v>
      </c>
      <c r="M12" s="212">
        <f t="shared" si="3"/>
        <v>6.1271705331927745E-2</v>
      </c>
      <c r="N12" s="56"/>
      <c r="O12" s="56" t="s">
        <v>31</v>
      </c>
      <c r="P12" s="56" t="s">
        <v>32</v>
      </c>
      <c r="Q12" s="56" t="s">
        <v>33</v>
      </c>
      <c r="R12" s="56" t="s">
        <v>34</v>
      </c>
      <c r="S12" s="56" t="s">
        <v>35</v>
      </c>
    </row>
    <row r="13" spans="1:19" x14ac:dyDescent="0.2">
      <c r="A13" s="244">
        <v>37681</v>
      </c>
      <c r="B13" s="245">
        <f>'[13]Data Input'!B91</f>
        <v>4446570.25</v>
      </c>
      <c r="C13" s="246">
        <f>'Weather Analysis'!N10</f>
        <v>769.1</v>
      </c>
      <c r="D13" s="246">
        <f>'Weather Analysis'!N30</f>
        <v>0</v>
      </c>
      <c r="E13" s="247">
        <v>31</v>
      </c>
      <c r="F13" s="248">
        <f>[14]Intermediate!P17</f>
        <v>1</v>
      </c>
      <c r="G13" s="247">
        <f t="shared" si="0"/>
        <v>2426.125</v>
      </c>
      <c r="H13" s="249">
        <v>125.9517607362029</v>
      </c>
      <c r="I13" s="247">
        <v>336.28800000000001</v>
      </c>
      <c r="J13" s="247">
        <v>1</v>
      </c>
      <c r="K13" s="247">
        <f t="shared" si="1"/>
        <v>4488526.4345524218</v>
      </c>
      <c r="L13" s="210">
        <f t="shared" si="2"/>
        <v>41956.184552421793</v>
      </c>
      <c r="M13" s="212">
        <f t="shared" si="3"/>
        <v>9.43562840425647E-3</v>
      </c>
      <c r="N13" s="38" t="s">
        <v>28</v>
      </c>
      <c r="O13" s="38">
        <v>6</v>
      </c>
      <c r="P13" s="38">
        <v>120539525503564.86</v>
      </c>
      <c r="Q13" s="38">
        <v>20089920917260.809</v>
      </c>
      <c r="R13" s="38">
        <v>298.00675545348383</v>
      </c>
      <c r="S13" s="38">
        <v>4.2678874295141745E-83</v>
      </c>
    </row>
    <row r="14" spans="1:19" x14ac:dyDescent="0.2">
      <c r="A14" s="244">
        <v>37712</v>
      </c>
      <c r="B14" s="245">
        <f>'[13]Data Input'!B92</f>
        <v>3975240.25</v>
      </c>
      <c r="C14" s="246">
        <f>'Weather Analysis'!N11</f>
        <v>433.3</v>
      </c>
      <c r="D14" s="246">
        <f>'Weather Analysis'!N31</f>
        <v>0</v>
      </c>
      <c r="E14" s="247">
        <v>30</v>
      </c>
      <c r="F14" s="248">
        <f>[14]Intermediate!P18</f>
        <v>1</v>
      </c>
      <c r="G14" s="247">
        <f t="shared" si="0"/>
        <v>2422.75</v>
      </c>
      <c r="H14" s="249">
        <v>126.09776991664374</v>
      </c>
      <c r="I14" s="247">
        <v>336.24</v>
      </c>
      <c r="J14" s="247">
        <v>1</v>
      </c>
      <c r="K14" s="247">
        <f t="shared" si="1"/>
        <v>4113388.0623991657</v>
      </c>
      <c r="L14" s="210">
        <f t="shared" si="2"/>
        <v>138147.8123991657</v>
      </c>
      <c r="M14" s="212">
        <f t="shared" si="3"/>
        <v>3.4752066217674696E-2</v>
      </c>
      <c r="N14" s="38" t="s">
        <v>29</v>
      </c>
      <c r="O14" s="38">
        <v>157</v>
      </c>
      <c r="P14" s="38">
        <v>10584047261647.65</v>
      </c>
      <c r="Q14" s="38">
        <v>67414313768.456375</v>
      </c>
      <c r="R14" s="38"/>
      <c r="S14" s="38"/>
    </row>
    <row r="15" spans="1:19" ht="13.5" thickBot="1" x14ac:dyDescent="0.25">
      <c r="A15" s="244">
        <v>37742</v>
      </c>
      <c r="B15" s="245">
        <f>'[13]Data Input'!B93</f>
        <v>3844650.25</v>
      </c>
      <c r="C15" s="246">
        <f>'Weather Analysis'!N12</f>
        <v>212.6</v>
      </c>
      <c r="D15" s="246">
        <f>'Weather Analysis'!N32</f>
        <v>0</v>
      </c>
      <c r="E15" s="247">
        <v>31</v>
      </c>
      <c r="F15" s="248">
        <f>[14]Intermediate!P19</f>
        <v>1</v>
      </c>
      <c r="G15" s="247">
        <f>G16-($G$28-$G$16)/12</f>
        <v>2419.375</v>
      </c>
      <c r="H15" s="249">
        <v>126.2439483577654</v>
      </c>
      <c r="I15" s="247">
        <v>336.28800000000001</v>
      </c>
      <c r="J15" s="247">
        <v>1</v>
      </c>
      <c r="K15" s="247">
        <f t="shared" si="1"/>
        <v>4002756.8766648583</v>
      </c>
      <c r="L15" s="210">
        <f t="shared" si="2"/>
        <v>158106.62666485831</v>
      </c>
      <c r="M15" s="212">
        <f t="shared" si="3"/>
        <v>4.1123799665485385E-2</v>
      </c>
      <c r="N15" s="55" t="s">
        <v>10</v>
      </c>
      <c r="O15" s="55">
        <v>163</v>
      </c>
      <c r="P15" s="55">
        <v>131123572765212.52</v>
      </c>
      <c r="Q15" s="55"/>
      <c r="R15" s="55"/>
      <c r="S15" s="55"/>
    </row>
    <row r="16" spans="1:19" ht="13.5" thickBot="1" x14ac:dyDescent="0.25">
      <c r="A16" s="244">
        <v>37773</v>
      </c>
      <c r="B16" s="245">
        <f>'[13]Data Input'!B94</f>
        <v>3428880.25</v>
      </c>
      <c r="C16" s="246">
        <f>'Weather Analysis'!N13</f>
        <v>86</v>
      </c>
      <c r="D16" s="246">
        <f>'Weather Analysis'!N33</f>
        <v>16</v>
      </c>
      <c r="E16" s="247">
        <v>30</v>
      </c>
      <c r="F16" s="248">
        <f>[14]Intermediate!P20</f>
        <v>1</v>
      </c>
      <c r="G16" s="247">
        <f>'Rate Class Customer Model'!G3</f>
        <v>2416</v>
      </c>
      <c r="H16" s="249">
        <v>126.3902962557828</v>
      </c>
      <c r="I16" s="247">
        <v>336.24</v>
      </c>
      <c r="J16" s="247">
        <v>0</v>
      </c>
      <c r="K16" s="247">
        <f t="shared" si="1"/>
        <v>3838405.73356752</v>
      </c>
      <c r="L16" s="210">
        <f t="shared" si="2"/>
        <v>409525.48356752004</v>
      </c>
      <c r="M16" s="212">
        <f t="shared" si="3"/>
        <v>0.11943417492270839</v>
      </c>
    </row>
    <row r="17" spans="1:20" x14ac:dyDescent="0.2">
      <c r="A17" s="244">
        <v>37803</v>
      </c>
      <c r="B17" s="245">
        <f>'[13]Data Input'!B95</f>
        <v>3846460.25</v>
      </c>
      <c r="C17" s="246">
        <f>'Weather Analysis'!N14</f>
        <v>28.4</v>
      </c>
      <c r="D17" s="246">
        <f>'Weather Analysis'!N34</f>
        <v>35.299999999999997</v>
      </c>
      <c r="E17" s="247">
        <v>31</v>
      </c>
      <c r="F17" s="248">
        <f>[14]Intermediate!P21</f>
        <v>1</v>
      </c>
      <c r="G17" s="247">
        <f>G16+($G$28-$G$16)/12</f>
        <v>2412.625</v>
      </c>
      <c r="H17" s="249">
        <v>126.5368138071383</v>
      </c>
      <c r="I17" s="247">
        <v>351.91199999999998</v>
      </c>
      <c r="J17" s="247">
        <v>0</v>
      </c>
      <c r="K17" s="247">
        <f t="shared" si="1"/>
        <v>3912081.4974851618</v>
      </c>
      <c r="L17" s="210">
        <f t="shared" si="2"/>
        <v>65621.247485161759</v>
      </c>
      <c r="M17" s="212">
        <f t="shared" si="3"/>
        <v>1.7060165248077568E-2</v>
      </c>
      <c r="N17" s="56"/>
      <c r="O17" s="56" t="s">
        <v>36</v>
      </c>
      <c r="P17" s="56" t="s">
        <v>25</v>
      </c>
      <c r="Q17" s="56" t="s">
        <v>37</v>
      </c>
      <c r="R17" s="56" t="s">
        <v>38</v>
      </c>
      <c r="S17" s="56" t="s">
        <v>39</v>
      </c>
      <c r="T17" s="56" t="s">
        <v>40</v>
      </c>
    </row>
    <row r="18" spans="1:20" x14ac:dyDescent="0.2">
      <c r="A18" s="244">
        <v>37834</v>
      </c>
      <c r="B18" s="245">
        <f>'[13]Data Input'!B96</f>
        <v>2891760.25</v>
      </c>
      <c r="C18" s="246">
        <f>'Weather Analysis'!N15</f>
        <v>29.7</v>
      </c>
      <c r="D18" s="246">
        <f>'Weather Analysis'!N35</f>
        <v>56.8</v>
      </c>
      <c r="E18" s="247">
        <v>31</v>
      </c>
      <c r="F18" s="248">
        <v>0</v>
      </c>
      <c r="G18" s="247">
        <f>G17+(G28-G16)/12</f>
        <v>2409.25</v>
      </c>
      <c r="H18" s="249">
        <v>126.68350120850199</v>
      </c>
      <c r="I18" s="247">
        <v>319.92</v>
      </c>
      <c r="J18" s="247">
        <v>0</v>
      </c>
      <c r="K18" s="247">
        <f t="shared" si="1"/>
        <v>2414685.8021994866</v>
      </c>
      <c r="L18" s="210">
        <f t="shared" si="2"/>
        <v>-477074.44780051336</v>
      </c>
      <c r="M18" s="212">
        <f t="shared" si="3"/>
        <v>0.1649771787963796</v>
      </c>
      <c r="N18" s="38" t="s">
        <v>30</v>
      </c>
      <c r="O18" s="69">
        <v>-27135909.64504575</v>
      </c>
      <c r="P18" s="69">
        <v>3264911.0472920542</v>
      </c>
      <c r="Q18" s="67">
        <v>-8.3113779370964824</v>
      </c>
      <c r="R18" s="38">
        <v>4.2019169367170927E-14</v>
      </c>
      <c r="S18" s="69">
        <v>-33584726.564066075</v>
      </c>
      <c r="T18" s="69">
        <v>-20687092.726025425</v>
      </c>
    </row>
    <row r="19" spans="1:20" x14ac:dyDescent="0.2">
      <c r="A19" s="244">
        <v>37865</v>
      </c>
      <c r="B19" s="245">
        <f>'[13]Data Input'!B97</f>
        <v>1967640.25</v>
      </c>
      <c r="C19" s="246">
        <f>'Weather Analysis'!N16</f>
        <v>173.2</v>
      </c>
      <c r="D19" s="246">
        <f>'Weather Analysis'!N36</f>
        <v>9</v>
      </c>
      <c r="E19" s="247">
        <v>30</v>
      </c>
      <c r="F19" s="248">
        <f>[14]Intermediate!P23</f>
        <v>0</v>
      </c>
      <c r="G19" s="247">
        <f>G18+(G28-G16)/12</f>
        <v>2405.875</v>
      </c>
      <c r="H19" s="249">
        <v>126.83035865677196</v>
      </c>
      <c r="I19" s="247">
        <v>336.24</v>
      </c>
      <c r="J19" s="247">
        <v>1</v>
      </c>
      <c r="K19" s="247">
        <f t="shared" si="1"/>
        <v>2275434.554898506</v>
      </c>
      <c r="L19" s="210">
        <f t="shared" si="2"/>
        <v>307794.30489850603</v>
      </c>
      <c r="M19" s="212">
        <f t="shared" si="3"/>
        <v>0.15642814020424009</v>
      </c>
      <c r="N19" s="38" t="s">
        <v>2</v>
      </c>
      <c r="O19" s="69">
        <v>783.80290658748186</v>
      </c>
      <c r="P19" s="69">
        <v>70.272478779477936</v>
      </c>
      <c r="Q19" s="67">
        <v>11.153767736685847</v>
      </c>
      <c r="R19" s="38">
        <v>1.2093494908721994E-21</v>
      </c>
      <c r="S19" s="69">
        <v>645.001468039727</v>
      </c>
      <c r="T19" s="69">
        <v>922.60434513523671</v>
      </c>
    </row>
    <row r="20" spans="1:20" x14ac:dyDescent="0.2">
      <c r="A20" s="244">
        <v>37895</v>
      </c>
      <c r="B20" s="245">
        <f>'[13]Data Input'!B98</f>
        <v>2417070.25</v>
      </c>
      <c r="C20" s="246">
        <f>'Weather Analysis'!N17</f>
        <v>412.9</v>
      </c>
      <c r="D20" s="246">
        <f>'Weather Analysis'!N37</f>
        <v>1.4</v>
      </c>
      <c r="E20" s="247">
        <v>31</v>
      </c>
      <c r="F20" s="248">
        <f>[14]Intermediate!P24</f>
        <v>0</v>
      </c>
      <c r="G20" s="247">
        <f>G19+(G28-G16)/12</f>
        <v>2402.5</v>
      </c>
      <c r="H20" s="249">
        <v>126.97738634907456</v>
      </c>
      <c r="I20" s="247">
        <v>351.91199999999998</v>
      </c>
      <c r="J20" s="247">
        <v>1</v>
      </c>
      <c r="K20" s="247">
        <f t="shared" si="1"/>
        <v>2503467.9839118943</v>
      </c>
      <c r="L20" s="210">
        <f t="shared" si="2"/>
        <v>86397.733911894262</v>
      </c>
      <c r="M20" s="212">
        <f t="shared" si="3"/>
        <v>3.5744817061851744E-2</v>
      </c>
      <c r="N20" s="38" t="s">
        <v>3</v>
      </c>
      <c r="O20" s="69">
        <v>2925.1573799480211</v>
      </c>
      <c r="P20" s="69">
        <v>1495.1243804512651</v>
      </c>
      <c r="Q20" s="67">
        <v>1.9564642368183021</v>
      </c>
      <c r="R20" s="38">
        <v>5.2184778660174888E-2</v>
      </c>
      <c r="S20" s="69">
        <v>-27.996093770927018</v>
      </c>
      <c r="T20" s="69">
        <v>5878.3108536669697</v>
      </c>
    </row>
    <row r="21" spans="1:20" x14ac:dyDescent="0.2">
      <c r="A21" s="244">
        <v>37926</v>
      </c>
      <c r="B21" s="245">
        <f>'[13]Data Input'!B99</f>
        <v>2458490.25</v>
      </c>
      <c r="C21" s="246">
        <f>'Weather Analysis'!N18</f>
        <v>667.8</v>
      </c>
      <c r="D21" s="246">
        <f>'Weather Analysis'!N38</f>
        <v>0</v>
      </c>
      <c r="E21" s="247">
        <v>30</v>
      </c>
      <c r="F21" s="248">
        <f>[14]Intermediate!P25</f>
        <v>0</v>
      </c>
      <c r="G21" s="247">
        <f>G20+(G28-G16)/12</f>
        <v>2399.125</v>
      </c>
      <c r="H21" s="249">
        <v>127.12458448276465</v>
      </c>
      <c r="I21" s="247">
        <v>319.68</v>
      </c>
      <c r="J21" s="247">
        <v>1</v>
      </c>
      <c r="K21" s="247">
        <f t="shared" si="1"/>
        <v>2587272.9021092569</v>
      </c>
      <c r="L21" s="210">
        <f t="shared" si="2"/>
        <v>128782.65210925695</v>
      </c>
      <c r="M21" s="212">
        <f t="shared" si="3"/>
        <v>5.2382819947834627E-2</v>
      </c>
      <c r="N21" s="38" t="s">
        <v>4</v>
      </c>
      <c r="O21" s="69">
        <v>87142.45210908445</v>
      </c>
      <c r="P21" s="69">
        <v>25866.313308846038</v>
      </c>
      <c r="Q21" s="67">
        <v>3.3689552534447396</v>
      </c>
      <c r="R21" s="38">
        <v>9.4940527238532909E-4</v>
      </c>
      <c r="S21" s="69">
        <v>36051.590372707833</v>
      </c>
      <c r="T21" s="69">
        <v>138233.31384546106</v>
      </c>
    </row>
    <row r="22" spans="1:20" x14ac:dyDescent="0.2">
      <c r="A22" s="244">
        <v>37956</v>
      </c>
      <c r="B22" s="245">
        <f>'[13]Data Input'!B100</f>
        <v>2768410.25</v>
      </c>
      <c r="C22" s="246">
        <f>'Weather Analysis'!N19</f>
        <v>832.8</v>
      </c>
      <c r="D22" s="246">
        <f>'Weather Analysis'!N39</f>
        <v>0</v>
      </c>
      <c r="E22" s="247">
        <v>31</v>
      </c>
      <c r="F22" s="248">
        <f>[14]Intermediate!P26</f>
        <v>0</v>
      </c>
      <c r="G22" s="247">
        <f>G21+(G28-G16)/12</f>
        <v>2395.75</v>
      </c>
      <c r="H22" s="249">
        <v>127.27195325542573</v>
      </c>
      <c r="I22" s="247">
        <v>336.28800000000001</v>
      </c>
      <c r="J22" s="247">
        <v>0</v>
      </c>
      <c r="K22" s="247">
        <f t="shared" si="1"/>
        <v>2779000.6846874738</v>
      </c>
      <c r="L22" s="210">
        <f t="shared" si="2"/>
        <v>10590.434687473811</v>
      </c>
      <c r="M22" s="212">
        <f t="shared" si="3"/>
        <v>3.8254571147732933E-3</v>
      </c>
      <c r="N22" s="38" t="s">
        <v>131</v>
      </c>
      <c r="O22" s="69">
        <v>1536536.935047759</v>
      </c>
      <c r="P22" s="69">
        <v>58520.438836784568</v>
      </c>
      <c r="Q22" s="67">
        <v>26.256415119052868</v>
      </c>
      <c r="R22" s="38">
        <v>2.5744927177388442E-59</v>
      </c>
      <c r="S22" s="69">
        <v>1420947.9984388554</v>
      </c>
      <c r="T22" s="69">
        <v>1652125.8716566626</v>
      </c>
    </row>
    <row r="23" spans="1:20" x14ac:dyDescent="0.2">
      <c r="A23" s="244">
        <v>37987</v>
      </c>
      <c r="B23" s="245">
        <f>'[13]Data Input'!B101</f>
        <v>3085313.17</v>
      </c>
      <c r="C23" s="246">
        <f>'Weather Analysis'!O8</f>
        <v>1187.2</v>
      </c>
      <c r="D23" s="246">
        <f>'Weather Analysis'!N28</f>
        <v>0</v>
      </c>
      <c r="E23" s="247">
        <v>31</v>
      </c>
      <c r="F23" s="248">
        <f>[14]Intermediate!P27</f>
        <v>0</v>
      </c>
      <c r="G23" s="247">
        <f>G22+(G28-G16)/12</f>
        <v>2392.375</v>
      </c>
      <c r="H23" s="249">
        <v>127.53411264087498</v>
      </c>
      <c r="I23" s="247">
        <v>336.28800000000001</v>
      </c>
      <c r="J23" s="247">
        <v>0</v>
      </c>
      <c r="K23" s="247">
        <f t="shared" si="1"/>
        <v>3036492.3907651203</v>
      </c>
      <c r="L23" s="210">
        <f t="shared" si="2"/>
        <v>-48820.77923487965</v>
      </c>
      <c r="M23" s="212">
        <f t="shared" si="3"/>
        <v>1.5823605755677518E-2</v>
      </c>
      <c r="N23" s="213" t="s">
        <v>135</v>
      </c>
      <c r="O23" s="69">
        <v>9025.2894534004135</v>
      </c>
      <c r="P23" s="69">
        <v>1074.8886748540403</v>
      </c>
      <c r="Q23" s="67">
        <v>8.3964876219632352</v>
      </c>
      <c r="R23" s="38">
        <v>2.5511688371053111E-14</v>
      </c>
      <c r="S23" s="69">
        <v>6902.18099131495</v>
      </c>
      <c r="T23" s="69">
        <v>11148.397915485877</v>
      </c>
    </row>
    <row r="24" spans="1:20" ht="13.5" thickBot="1" x14ac:dyDescent="0.25">
      <c r="A24" s="244">
        <v>38018</v>
      </c>
      <c r="B24" s="245">
        <f>'[13]Data Input'!B102</f>
        <v>2532523.17</v>
      </c>
      <c r="C24" s="246">
        <f>'Weather Analysis'!O9</f>
        <v>811.7</v>
      </c>
      <c r="D24" s="246">
        <f>'Weather Analysis'!N29</f>
        <v>0</v>
      </c>
      <c r="E24" s="247">
        <v>29</v>
      </c>
      <c r="F24" s="248">
        <f>[14]Intermediate!P28</f>
        <v>0</v>
      </c>
      <c r="G24" s="247">
        <f>G23+(G28-G16)/12</f>
        <v>2389</v>
      </c>
      <c r="H24" s="249">
        <v>127.79681203173486</v>
      </c>
      <c r="I24" s="247">
        <v>320.16000000000003</v>
      </c>
      <c r="J24" s="247">
        <v>0</v>
      </c>
      <c r="K24" s="247">
        <f t="shared" si="1"/>
        <v>2547622.4043951305</v>
      </c>
      <c r="L24" s="210">
        <f t="shared" si="2"/>
        <v>15099.234395130537</v>
      </c>
      <c r="M24" s="212">
        <f t="shared" si="3"/>
        <v>5.9621308006159481E-3</v>
      </c>
      <c r="N24" s="211" t="s">
        <v>6</v>
      </c>
      <c r="O24" s="70">
        <v>38801.99776497874</v>
      </c>
      <c r="P24" s="70">
        <v>5698.844602003509</v>
      </c>
      <c r="Q24" s="68">
        <v>6.8087481717499987</v>
      </c>
      <c r="R24" s="55">
        <v>1.9723866415437153E-10</v>
      </c>
      <c r="S24" s="70">
        <v>27545.701665043853</v>
      </c>
      <c r="T24" s="70">
        <v>50058.293864913627</v>
      </c>
    </row>
    <row r="25" spans="1:20" x14ac:dyDescent="0.2">
      <c r="A25" s="244">
        <v>38047</v>
      </c>
      <c r="B25" s="245">
        <f>'[13]Data Input'!B103</f>
        <v>2474943.17</v>
      </c>
      <c r="C25" s="246">
        <f>'Weather Analysis'!O10</f>
        <v>708.5</v>
      </c>
      <c r="D25" s="246">
        <f>'Weather Analysis'!N30</f>
        <v>0</v>
      </c>
      <c r="E25" s="247">
        <v>31</v>
      </c>
      <c r="F25" s="248">
        <f>[14]Intermediate!P29</f>
        <v>0</v>
      </c>
      <c r="G25" s="247">
        <f>G24+(G28-G16)/12</f>
        <v>2385.625</v>
      </c>
      <c r="H25" s="249">
        <v>128.06005254032812</v>
      </c>
      <c r="I25" s="247">
        <v>368.28</v>
      </c>
      <c r="J25" s="247">
        <v>1</v>
      </c>
      <c r="K25" s="247">
        <f t="shared" si="1"/>
        <v>2620772.7543743346</v>
      </c>
      <c r="L25" s="210">
        <f t="shared" si="2"/>
        <v>145829.58437433466</v>
      </c>
      <c r="M25" s="212">
        <f t="shared" si="3"/>
        <v>5.8922397145116941E-2</v>
      </c>
    </row>
    <row r="26" spans="1:20" x14ac:dyDescent="0.2">
      <c r="A26" s="244">
        <v>38078</v>
      </c>
      <c r="B26" s="245">
        <f>'[13]Data Input'!B104</f>
        <v>2400573.17</v>
      </c>
      <c r="C26" s="246">
        <f>'Weather Analysis'!O11</f>
        <v>457</v>
      </c>
      <c r="D26" s="246">
        <f>'Weather Analysis'!N31</f>
        <v>0</v>
      </c>
      <c r="E26" s="247">
        <v>30</v>
      </c>
      <c r="F26" s="248">
        <f>[14]Intermediate!P30</f>
        <v>0</v>
      </c>
      <c r="G26" s="247">
        <f>G25+(G28-G16)/12</f>
        <v>2382.25</v>
      </c>
      <c r="H26" s="249">
        <v>128.32383528126866</v>
      </c>
      <c r="I26" s="247">
        <v>336.24</v>
      </c>
      <c r="J26" s="247">
        <v>1</v>
      </c>
      <c r="K26" s="247">
        <f t="shared" si="1"/>
        <v>2316278.816677683</v>
      </c>
      <c r="L26" s="210">
        <f t="shared" si="2"/>
        <v>-84294.353322316892</v>
      </c>
      <c r="M26" s="212">
        <f t="shared" si="3"/>
        <v>3.5114261200510248E-2</v>
      </c>
    </row>
    <row r="27" spans="1:20" x14ac:dyDescent="0.2">
      <c r="A27" s="244">
        <v>38108</v>
      </c>
      <c r="B27" s="245">
        <f>'[13]Data Input'!B105</f>
        <v>2303903.17</v>
      </c>
      <c r="C27" s="246">
        <f>'Weather Analysis'!O12</f>
        <v>347.3</v>
      </c>
      <c r="D27" s="246">
        <f>'Weather Analysis'!N32</f>
        <v>0</v>
      </c>
      <c r="E27" s="247">
        <v>31</v>
      </c>
      <c r="F27" s="248">
        <f>[14]Intermediate!P31</f>
        <v>0</v>
      </c>
      <c r="G27" s="247">
        <f>G26+(G28-G16)/12</f>
        <v>2378.875</v>
      </c>
      <c r="H27" s="249">
        <v>128.58816137146633</v>
      </c>
      <c r="I27" s="247">
        <v>319.92</v>
      </c>
      <c r="J27" s="247">
        <v>1</v>
      </c>
      <c r="K27" s="247">
        <f t="shared" si="1"/>
        <v>2297234.1183899716</v>
      </c>
      <c r="L27" s="210">
        <f t="shared" si="2"/>
        <v>-6669.0516100283712</v>
      </c>
      <c r="M27" s="212">
        <f t="shared" si="3"/>
        <v>2.8946753044436203E-3</v>
      </c>
    </row>
    <row r="28" spans="1:20" x14ac:dyDescent="0.2">
      <c r="A28" s="244">
        <v>38139</v>
      </c>
      <c r="B28" s="245">
        <f>'[13]Data Input'!B106</f>
        <v>3164823.17</v>
      </c>
      <c r="C28" s="246">
        <f>'Weather Analysis'!O13</f>
        <v>137.19999999999999</v>
      </c>
      <c r="D28" s="246">
        <f>'Weather Analysis'!N33</f>
        <v>16</v>
      </c>
      <c r="E28" s="247">
        <v>30</v>
      </c>
      <c r="F28" s="248">
        <f>[14]Intermediate!P32</f>
        <v>1</v>
      </c>
      <c r="G28" s="247">
        <f>'Rate Class Customer Model'!G4</f>
        <v>2375.5</v>
      </c>
      <c r="H28" s="249">
        <v>128.85303193013166</v>
      </c>
      <c r="I28" s="247">
        <v>352.08</v>
      </c>
      <c r="J28" s="247">
        <v>0</v>
      </c>
      <c r="K28" s="247">
        <f t="shared" si="1"/>
        <v>3608571.2836538982</v>
      </c>
      <c r="L28" s="210">
        <f t="shared" si="2"/>
        <v>443748.11365389824</v>
      </c>
      <c r="M28" s="212">
        <f t="shared" si="3"/>
        <v>0.14021260898879803</v>
      </c>
    </row>
    <row r="29" spans="1:20" x14ac:dyDescent="0.2">
      <c r="A29" s="244">
        <v>38169</v>
      </c>
      <c r="B29" s="245">
        <f>'[13]Data Input'!B107</f>
        <v>4224053.17</v>
      </c>
      <c r="C29" s="246">
        <f>'Weather Analysis'!O14</f>
        <v>31.4</v>
      </c>
      <c r="D29" s="246">
        <f>'Weather Analysis'!N34</f>
        <v>35.299999999999997</v>
      </c>
      <c r="E29" s="247">
        <v>31</v>
      </c>
      <c r="F29" s="248">
        <f>[14]Intermediate!P33</f>
        <v>1</v>
      </c>
      <c r="G29" s="247">
        <f>G28+(G40-G28)/12</f>
        <v>2373.7916666666665</v>
      </c>
      <c r="H29" s="249">
        <v>129.11844807878055</v>
      </c>
      <c r="I29" s="247">
        <v>336.28800000000001</v>
      </c>
      <c r="J29" s="247">
        <v>0</v>
      </c>
      <c r="K29" s="247">
        <f t="shared" si="1"/>
        <v>3664123.3996694637</v>
      </c>
      <c r="L29" s="210">
        <f t="shared" si="2"/>
        <v>-559929.77033053618</v>
      </c>
      <c r="M29" s="212">
        <f t="shared" si="3"/>
        <v>0.13255746265394103</v>
      </c>
    </row>
    <row r="30" spans="1:20" x14ac:dyDescent="0.2">
      <c r="A30" s="244">
        <v>38200</v>
      </c>
      <c r="B30" s="245">
        <f>'[13]Data Input'!B108</f>
        <v>3844613.17</v>
      </c>
      <c r="C30" s="246">
        <f>'Weather Analysis'!O15</f>
        <v>140.5</v>
      </c>
      <c r="D30" s="246">
        <f>'Weather Analysis'!N35</f>
        <v>56.8</v>
      </c>
      <c r="E30" s="247">
        <v>31</v>
      </c>
      <c r="F30" s="248">
        <f>[14]Intermediate!P34</f>
        <v>1</v>
      </c>
      <c r="G30" s="247">
        <f>G29+(G40-G28)/12</f>
        <v>2372.083333333333</v>
      </c>
      <c r="H30" s="249">
        <v>129.38441094123903</v>
      </c>
      <c r="I30" s="247">
        <v>336.28800000000001</v>
      </c>
      <c r="J30" s="247">
        <v>0</v>
      </c>
      <c r="K30" s="247">
        <f t="shared" si="1"/>
        <v>3807428.8680254975</v>
      </c>
      <c r="L30" s="210">
        <f t="shared" si="2"/>
        <v>-37184.301974502392</v>
      </c>
      <c r="M30" s="212">
        <f t="shared" si="3"/>
        <v>9.6717927995087199E-3</v>
      </c>
    </row>
    <row r="31" spans="1:20" x14ac:dyDescent="0.2">
      <c r="A31" s="244">
        <v>38231</v>
      </c>
      <c r="B31" s="245">
        <f>'[13]Data Input'!B109</f>
        <v>3855953.17</v>
      </c>
      <c r="C31" s="246">
        <f>'Weather Analysis'!O16</f>
        <v>123.6</v>
      </c>
      <c r="D31" s="246">
        <f>'Weather Analysis'!N36</f>
        <v>9</v>
      </c>
      <c r="E31" s="247">
        <v>30</v>
      </c>
      <c r="F31" s="248">
        <f>[14]Intermediate!P35</f>
        <v>1</v>
      </c>
      <c r="G31" s="247">
        <f>G30+(G40-G28)/12</f>
        <v>2370.3749999999995</v>
      </c>
      <c r="H31" s="249">
        <v>129.65092164364802</v>
      </c>
      <c r="I31" s="247">
        <v>336.24</v>
      </c>
      <c r="J31" s="247">
        <v>1</v>
      </c>
      <c r="K31" s="247">
        <f t="shared" si="1"/>
        <v>3562140.5688965507</v>
      </c>
      <c r="L31" s="210">
        <f t="shared" si="2"/>
        <v>-293812.60110344924</v>
      </c>
      <c r="M31" s="212">
        <f t="shared" si="3"/>
        <v>7.6197139371235997E-2</v>
      </c>
    </row>
    <row r="32" spans="1:20" x14ac:dyDescent="0.2">
      <c r="A32" s="244">
        <v>38261</v>
      </c>
      <c r="B32" s="245">
        <f>'[13]Data Input'!B110</f>
        <v>4054133.17</v>
      </c>
      <c r="C32" s="246">
        <f>'Weather Analysis'!O17</f>
        <v>369.7</v>
      </c>
      <c r="D32" s="246">
        <f>'Weather Analysis'!N37</f>
        <v>1.4</v>
      </c>
      <c r="E32" s="247">
        <v>31</v>
      </c>
      <c r="F32" s="248">
        <f>[14]Intermediate!P36</f>
        <v>1</v>
      </c>
      <c r="G32" s="247">
        <f>G31+(G40-G28)/12</f>
        <v>2368.6666666666661</v>
      </c>
      <c r="H32" s="249">
        <v>129.91798131446814</v>
      </c>
      <c r="I32" s="247">
        <v>319.92</v>
      </c>
      <c r="J32" s="247">
        <v>1</v>
      </c>
      <c r="K32" s="247">
        <f t="shared" si="1"/>
        <v>3814889.9661632646</v>
      </c>
      <c r="L32" s="210">
        <f t="shared" si="2"/>
        <v>-239243.20383673534</v>
      </c>
      <c r="M32" s="212">
        <f t="shared" si="3"/>
        <v>5.9012171974788717E-2</v>
      </c>
    </row>
    <row r="33" spans="1:13" x14ac:dyDescent="0.2">
      <c r="A33" s="244">
        <v>38292</v>
      </c>
      <c r="B33" s="245">
        <f>'[13]Data Input'!B111</f>
        <v>3939313.17</v>
      </c>
      <c r="C33" s="246">
        <f>'Weather Analysis'!O18</f>
        <v>562.4</v>
      </c>
      <c r="D33" s="246">
        <f>'Weather Analysis'!N38</f>
        <v>0</v>
      </c>
      <c r="E33" s="247">
        <v>30</v>
      </c>
      <c r="F33" s="248">
        <f>[14]Intermediate!P37</f>
        <v>1</v>
      </c>
      <c r="G33" s="247">
        <f>G32+(G40-G28)/12</f>
        <v>2366.9583333333326</v>
      </c>
      <c r="H33" s="249">
        <v>130.18559108448443</v>
      </c>
      <c r="I33" s="247">
        <v>352.08</v>
      </c>
      <c r="J33" s="247">
        <v>1</v>
      </c>
      <c r="K33" s="247">
        <f t="shared" si="1"/>
        <v>3869656.7047034902</v>
      </c>
      <c r="L33" s="210">
        <f t="shared" si="2"/>
        <v>-69656.465296509676</v>
      </c>
      <c r="M33" s="212">
        <f t="shared" si="3"/>
        <v>1.7682388348045371E-2</v>
      </c>
    </row>
    <row r="34" spans="1:13" x14ac:dyDescent="0.2">
      <c r="A34" s="244">
        <v>38322</v>
      </c>
      <c r="B34" s="245">
        <f>'[13]Data Input'!B112</f>
        <v>4440873.17</v>
      </c>
      <c r="C34" s="246">
        <f>'Weather Analysis'!O19</f>
        <v>972.9</v>
      </c>
      <c r="D34" s="246">
        <f>'Weather Analysis'!N39</f>
        <v>0</v>
      </c>
      <c r="E34" s="247">
        <v>31</v>
      </c>
      <c r="F34" s="248">
        <f>[14]Intermediate!P38</f>
        <v>1</v>
      </c>
      <c r="G34" s="247">
        <f>G33+(G40-G28)/12</f>
        <v>2365.2499999999991</v>
      </c>
      <c r="H34" s="249">
        <v>130.45375208681136</v>
      </c>
      <c r="I34" s="247">
        <v>336.28800000000001</v>
      </c>
      <c r="J34" s="247">
        <v>0</v>
      </c>
      <c r="K34" s="247">
        <f t="shared" si="1"/>
        <v>4273537.2297634548</v>
      </c>
      <c r="L34" s="210">
        <f t="shared" si="2"/>
        <v>-167335.94023654517</v>
      </c>
      <c r="M34" s="212">
        <f t="shared" si="3"/>
        <v>3.7680864512630335E-2</v>
      </c>
    </row>
    <row r="35" spans="1:13" x14ac:dyDescent="0.2">
      <c r="A35" s="244">
        <v>38353</v>
      </c>
      <c r="B35" s="245">
        <f>'[13]Data Input'!B113</f>
        <v>4722183</v>
      </c>
      <c r="C35" s="246">
        <f>'Weather Analysis'!P8</f>
        <v>1124.7</v>
      </c>
      <c r="D35" s="246">
        <f>'Weather Analysis'!P28</f>
        <v>0</v>
      </c>
      <c r="E35" s="247">
        <v>31</v>
      </c>
      <c r="F35" s="248">
        <f>[14]Intermediate!P39</f>
        <v>1</v>
      </c>
      <c r="G35" s="247">
        <f>G34+(G40-G28)/12</f>
        <v>2363.5416666666656</v>
      </c>
      <c r="H35" s="249">
        <v>130.74370215685079</v>
      </c>
      <c r="I35" s="247">
        <v>319.92</v>
      </c>
      <c r="J35" s="247">
        <v>0</v>
      </c>
      <c r="K35" s="247">
        <f t="shared" si="1"/>
        <v>4388350.9501368357</v>
      </c>
      <c r="L35" s="210">
        <f t="shared" si="2"/>
        <v>-333832.04986316431</v>
      </c>
      <c r="M35" s="212">
        <f t="shared" si="3"/>
        <v>7.0694433033019755E-2</v>
      </c>
    </row>
    <row r="36" spans="1:13" x14ac:dyDescent="0.2">
      <c r="A36" s="244">
        <v>38384</v>
      </c>
      <c r="B36" s="245">
        <f>'[13]Data Input'!B114</f>
        <v>3915913</v>
      </c>
      <c r="C36" s="246">
        <f>'Weather Analysis'!P9</f>
        <v>812.6</v>
      </c>
      <c r="D36" s="246">
        <f>'Weather Analysis'!P29</f>
        <v>0</v>
      </c>
      <c r="E36" s="247">
        <v>28</v>
      </c>
      <c r="F36" s="248">
        <f>[14]Intermediate!P40</f>
        <v>1</v>
      </c>
      <c r="G36" s="247">
        <f>G35+(G40-G28)/12</f>
        <v>2361.8333333333321</v>
      </c>
      <c r="H36" s="249">
        <v>131.0342966778299</v>
      </c>
      <c r="I36" s="247">
        <v>319.87200000000001</v>
      </c>
      <c r="J36" s="247">
        <v>0</v>
      </c>
      <c r="K36" s="247">
        <f t="shared" si="1"/>
        <v>3878156.1518009435</v>
      </c>
      <c r="L36" s="210">
        <f t="shared" si="2"/>
        <v>-37756.848199056461</v>
      </c>
      <c r="M36" s="212">
        <f t="shared" si="3"/>
        <v>9.6419016967579357E-3</v>
      </c>
    </row>
    <row r="37" spans="1:13" x14ac:dyDescent="0.2">
      <c r="A37" s="244">
        <v>38412</v>
      </c>
      <c r="B37" s="245">
        <f>'[13]Data Input'!B115</f>
        <v>4024213</v>
      </c>
      <c r="C37" s="246">
        <f>'Weather Analysis'!P10</f>
        <v>824.2</v>
      </c>
      <c r="D37" s="246">
        <f>'Weather Analysis'!P30</f>
        <v>0</v>
      </c>
      <c r="E37" s="247">
        <v>31</v>
      </c>
      <c r="F37" s="248">
        <f>[14]Intermediate!P41</f>
        <v>1</v>
      </c>
      <c r="G37" s="247">
        <f>G36+(G40-G28)/12</f>
        <v>2360.1249999999986</v>
      </c>
      <c r="H37" s="249">
        <v>131.32553708212293</v>
      </c>
      <c r="I37" s="247">
        <v>351.91199999999998</v>
      </c>
      <c r="J37" s="247">
        <v>1</v>
      </c>
      <c r="K37" s="247">
        <f t="shared" si="1"/>
        <v>4144558.1285448382</v>
      </c>
      <c r="L37" s="210">
        <f t="shared" si="2"/>
        <v>120345.12854483817</v>
      </c>
      <c r="M37" s="212">
        <f t="shared" si="3"/>
        <v>2.9905258132419475E-2</v>
      </c>
    </row>
    <row r="38" spans="1:13" x14ac:dyDescent="0.2">
      <c r="A38" s="244">
        <v>38443</v>
      </c>
      <c r="B38" s="245">
        <f>'[13]Data Input'!B116</f>
        <v>3705613</v>
      </c>
      <c r="C38" s="246">
        <f>'Weather Analysis'!P11</f>
        <v>368</v>
      </c>
      <c r="D38" s="246">
        <f>'Weather Analysis'!P31</f>
        <v>0</v>
      </c>
      <c r="E38" s="247">
        <v>30</v>
      </c>
      <c r="F38" s="248">
        <f>[14]Intermediate!P42</f>
        <v>1</v>
      </c>
      <c r="G38" s="247">
        <f>G37+(G40-G28)/12</f>
        <v>2358.4166666666652</v>
      </c>
      <c r="H38" s="249">
        <v>131.61742480528775</v>
      </c>
      <c r="I38" s="247">
        <v>336.24</v>
      </c>
      <c r="J38" s="247">
        <v>1</v>
      </c>
      <c r="K38" s="247">
        <f t="shared" si="1"/>
        <v>3695752.4144161772</v>
      </c>
      <c r="L38" s="210">
        <f t="shared" si="2"/>
        <v>-9860.5855838228017</v>
      </c>
      <c r="M38" s="212">
        <f t="shared" si="3"/>
        <v>2.6609863425627019E-3</v>
      </c>
    </row>
    <row r="39" spans="1:13" x14ac:dyDescent="0.2">
      <c r="A39" s="244">
        <v>38473</v>
      </c>
      <c r="B39" s="245">
        <f>'[13]Data Input'!B117</f>
        <v>3726493</v>
      </c>
      <c r="C39" s="246">
        <f>'Weather Analysis'!P12</f>
        <v>264.60000000000002</v>
      </c>
      <c r="D39" s="246">
        <f>'Weather Analysis'!P32</f>
        <v>0</v>
      </c>
      <c r="E39" s="247">
        <v>31</v>
      </c>
      <c r="F39" s="248">
        <f>[14]Intermediate!P43</f>
        <v>1</v>
      </c>
      <c r="G39" s="247">
        <f>G38+(G40-G28)/12</f>
        <v>2356.7083333333317</v>
      </c>
      <c r="H39" s="249">
        <v>131.90996128607298</v>
      </c>
      <c r="I39" s="247">
        <v>336.28800000000001</v>
      </c>
      <c r="J39" s="247">
        <v>1</v>
      </c>
      <c r="K39" s="247">
        <f t="shared" si="1"/>
        <v>3697782.4430414969</v>
      </c>
      <c r="L39" s="210">
        <f t="shared" si="2"/>
        <v>-28710.55695850309</v>
      </c>
      <c r="M39" s="212">
        <f t="shared" si="3"/>
        <v>7.704444086840654E-3</v>
      </c>
    </row>
    <row r="40" spans="1:13" x14ac:dyDescent="0.2">
      <c r="A40" s="244">
        <v>38504</v>
      </c>
      <c r="B40" s="245">
        <f>'[13]Data Input'!B118</f>
        <v>3486993</v>
      </c>
      <c r="C40" s="246">
        <f>'Weather Analysis'!P13</f>
        <v>56.4</v>
      </c>
      <c r="D40" s="246">
        <f>'Weather Analysis'!P33</f>
        <v>26.6</v>
      </c>
      <c r="E40" s="247">
        <v>30</v>
      </c>
      <c r="F40" s="248">
        <f>[14]Intermediate!P44</f>
        <v>1</v>
      </c>
      <c r="G40" s="247">
        <f>'Rate Class Customer Model'!G5</f>
        <v>2355</v>
      </c>
      <c r="H40" s="249">
        <v>132.20314796642501</v>
      </c>
      <c r="I40" s="247">
        <v>352.08</v>
      </c>
      <c r="J40" s="247">
        <v>0</v>
      </c>
      <c r="K40" s="247">
        <f t="shared" si="1"/>
        <v>3521219.438187046</v>
      </c>
      <c r="L40" s="210">
        <f t="shared" si="2"/>
        <v>34226.438187045977</v>
      </c>
      <c r="M40" s="212">
        <f t="shared" si="3"/>
        <v>9.815459390668687E-3</v>
      </c>
    </row>
    <row r="41" spans="1:13" x14ac:dyDescent="0.2">
      <c r="A41" s="244">
        <v>38534</v>
      </c>
      <c r="B41" s="245">
        <f>'[13]Data Input'!B119</f>
        <v>3654493</v>
      </c>
      <c r="C41" s="246">
        <f>'Weather Analysis'!P14</f>
        <v>34.200000000000003</v>
      </c>
      <c r="D41" s="246">
        <f>'Weather Analysis'!P34</f>
        <v>71</v>
      </c>
      <c r="E41" s="247">
        <v>31</v>
      </c>
      <c r="F41" s="248">
        <f>[14]Intermediate!P45</f>
        <v>1</v>
      </c>
      <c r="G41" s="247">
        <f>G40+(G52-G40)/12</f>
        <v>2354.0833333333335</v>
      </c>
      <c r="H41" s="249">
        <v>132.49698629149512</v>
      </c>
      <c r="I41" s="247">
        <v>319.92</v>
      </c>
      <c r="J41" s="247">
        <v>0</v>
      </c>
      <c r="K41" s="247">
        <f t="shared" si="1"/>
        <v>3723966.7854732703</v>
      </c>
      <c r="L41" s="210">
        <f t="shared" si="2"/>
        <v>69473.785473270342</v>
      </c>
      <c r="M41" s="212">
        <f t="shared" si="3"/>
        <v>1.9010512668452325E-2</v>
      </c>
    </row>
    <row r="42" spans="1:13" x14ac:dyDescent="0.2">
      <c r="A42" s="244">
        <v>38565</v>
      </c>
      <c r="B42" s="245">
        <f>'[13]Data Input'!B120</f>
        <v>3331013</v>
      </c>
      <c r="C42" s="246">
        <f>'Weather Analysis'!P15</f>
        <v>69.5</v>
      </c>
      <c r="D42" s="246">
        <f>'Weather Analysis'!P35</f>
        <v>28</v>
      </c>
      <c r="E42" s="247">
        <v>31</v>
      </c>
      <c r="F42" s="248">
        <f>[14]Intermediate!P46</f>
        <v>1</v>
      </c>
      <c r="G42" s="247">
        <f>G41+(G52-G40)/12</f>
        <v>2353.166666666667</v>
      </c>
      <c r="H42" s="249">
        <v>132.79147770964664</v>
      </c>
      <c r="I42" s="247">
        <v>351.91199999999998</v>
      </c>
      <c r="J42" s="247">
        <v>0</v>
      </c>
      <c r="K42" s="247">
        <f t="shared" si="1"/>
        <v>3629006.9340880141</v>
      </c>
      <c r="L42" s="210">
        <f t="shared" si="2"/>
        <v>297993.93408801407</v>
      </c>
      <c r="M42" s="212">
        <f t="shared" si="3"/>
        <v>8.946045364818872E-2</v>
      </c>
    </row>
    <row r="43" spans="1:13" x14ac:dyDescent="0.2">
      <c r="A43" s="244">
        <v>38596</v>
      </c>
      <c r="B43" s="245">
        <f>'[13]Data Input'!B121</f>
        <v>3350603</v>
      </c>
      <c r="C43" s="246">
        <f>'Weather Analysis'!P16</f>
        <v>149.9</v>
      </c>
      <c r="D43" s="246">
        <f>'Weather Analysis'!P36</f>
        <v>18.2</v>
      </c>
      <c r="E43" s="247">
        <v>30</v>
      </c>
      <c r="F43" s="248">
        <f>[14]Intermediate!P47</f>
        <v>1</v>
      </c>
      <c r="G43" s="247">
        <f>G42+(G52-G40)/12</f>
        <v>2352.2500000000005</v>
      </c>
      <c r="H43" s="249">
        <v>133.08662367246211</v>
      </c>
      <c r="I43" s="247">
        <v>336.24</v>
      </c>
      <c r="J43" s="247">
        <v>1</v>
      </c>
      <c r="K43" s="247">
        <f t="shared" si="1"/>
        <v>3579394.7643356286</v>
      </c>
      <c r="L43" s="210">
        <f t="shared" si="2"/>
        <v>228791.7643356286</v>
      </c>
      <c r="M43" s="212">
        <f t="shared" si="3"/>
        <v>6.8283757978975304E-2</v>
      </c>
    </row>
    <row r="44" spans="1:13" x14ac:dyDescent="0.2">
      <c r="A44" s="244">
        <v>38626</v>
      </c>
      <c r="B44" s="245">
        <f>'[13]Data Input'!B122</f>
        <v>3965603</v>
      </c>
      <c r="C44" s="246">
        <f>'Weather Analysis'!P17</f>
        <v>372.3</v>
      </c>
      <c r="D44" s="246">
        <f>'Weather Analysis'!P37</f>
        <v>1</v>
      </c>
      <c r="E44" s="247">
        <v>31</v>
      </c>
      <c r="F44" s="248">
        <f>[14]Intermediate!P48</f>
        <v>1</v>
      </c>
      <c r="G44" s="247">
        <f>G43+(G52-G40)/12</f>
        <v>2351.3333333333339</v>
      </c>
      <c r="H44" s="249">
        <v>133.38242563475035</v>
      </c>
      <c r="I44" s="247">
        <v>319.92</v>
      </c>
      <c r="J44" s="247">
        <v>1</v>
      </c>
      <c r="K44" s="247">
        <f t="shared" si="1"/>
        <v>3793746.8010152979</v>
      </c>
      <c r="L44" s="210">
        <f t="shared" si="2"/>
        <v>-171856.19898470212</v>
      </c>
      <c r="M44" s="212">
        <f t="shared" si="3"/>
        <v>4.3336712975227759E-2</v>
      </c>
    </row>
    <row r="45" spans="1:13" x14ac:dyDescent="0.2">
      <c r="A45" s="244">
        <v>38657</v>
      </c>
      <c r="B45" s="245">
        <f>'[13]Data Input'!B123</f>
        <v>3975733</v>
      </c>
      <c r="C45" s="246">
        <f>'Weather Analysis'!P18</f>
        <v>640.1</v>
      </c>
      <c r="D45" s="246">
        <f>'Weather Analysis'!P38</f>
        <v>0</v>
      </c>
      <c r="E45" s="247">
        <v>30</v>
      </c>
      <c r="F45" s="248">
        <f>[14]Intermediate!P49</f>
        <v>1</v>
      </c>
      <c r="G45" s="247">
        <f>G44+(G52-G40)/12</f>
        <v>2350.4166666666674</v>
      </c>
      <c r="H45" s="249">
        <v>133.67888505455369</v>
      </c>
      <c r="I45" s="247">
        <v>352.08</v>
      </c>
      <c r="J45" s="247">
        <v>1</v>
      </c>
      <c r="K45" s="247">
        <f t="shared" si="1"/>
        <v>3916811.6456560642</v>
      </c>
      <c r="L45" s="210">
        <f t="shared" si="2"/>
        <v>-58921.354343935847</v>
      </c>
      <c r="M45" s="212">
        <f t="shared" si="3"/>
        <v>1.4820249333628754E-2</v>
      </c>
    </row>
    <row r="46" spans="1:13" x14ac:dyDescent="0.2">
      <c r="A46" s="244">
        <v>38687</v>
      </c>
      <c r="B46" s="245">
        <f>'[13]Data Input'!B124</f>
        <v>4052273</v>
      </c>
      <c r="C46" s="246">
        <f>'Weather Analysis'!P19</f>
        <v>872.2</v>
      </c>
      <c r="D46" s="246">
        <f>'Weather Analysis'!P39</f>
        <v>0</v>
      </c>
      <c r="E46" s="247">
        <v>31</v>
      </c>
      <c r="F46" s="248">
        <f>[14]Intermediate!P50</f>
        <v>1</v>
      </c>
      <c r="G46" s="247">
        <f>G45+(G52-G40)/12</f>
        <v>2349.5000000000009</v>
      </c>
      <c r="H46" s="249">
        <v>133.97600339315525</v>
      </c>
      <c r="I46" s="247">
        <v>319.92</v>
      </c>
      <c r="J46" s="247">
        <v>0</v>
      </c>
      <c r="K46" s="247">
        <f t="shared" si="1"/>
        <v>4189130.3554955069</v>
      </c>
      <c r="L46" s="210">
        <f t="shared" si="2"/>
        <v>136857.3554955069</v>
      </c>
      <c r="M46" s="212">
        <f t="shared" si="3"/>
        <v>3.3772985061842301E-2</v>
      </c>
    </row>
    <row r="47" spans="1:13" x14ac:dyDescent="0.2">
      <c r="A47" s="244">
        <v>38718</v>
      </c>
      <c r="B47" s="245">
        <f>'[13]Data Input'!B125</f>
        <v>3921263.34</v>
      </c>
      <c r="C47" s="246">
        <f>'Weather Analysis'!Q8</f>
        <v>809.2</v>
      </c>
      <c r="D47" s="246">
        <f>'Weather Analysis'!Q28</f>
        <v>0</v>
      </c>
      <c r="E47" s="247">
        <v>31</v>
      </c>
      <c r="F47" s="248">
        <f>[14]Intermediate!P51</f>
        <v>1</v>
      </c>
      <c r="G47" s="247">
        <f>G46+(G52-G40)/12</f>
        <v>2348.5833333333344</v>
      </c>
      <c r="H47" s="249">
        <v>134.25197202423305</v>
      </c>
      <c r="I47" s="247">
        <v>336.28800000000001</v>
      </c>
      <c r="J47" s="247">
        <v>0</v>
      </c>
      <c r="K47" s="247">
        <f t="shared" si="1"/>
        <v>4142185.7245878307</v>
      </c>
      <c r="L47" s="210">
        <f t="shared" si="2"/>
        <v>220922.38458783086</v>
      </c>
      <c r="M47" s="212">
        <f t="shared" si="3"/>
        <v>5.6339594011513359E-2</v>
      </c>
    </row>
    <row r="48" spans="1:13" x14ac:dyDescent="0.2">
      <c r="A48" s="244">
        <v>38749</v>
      </c>
      <c r="B48" s="245">
        <f>'[13]Data Input'!B126</f>
        <v>3835713.34</v>
      </c>
      <c r="C48" s="246">
        <f>'Weather Analysis'!Q9</f>
        <v>934.6</v>
      </c>
      <c r="D48" s="246">
        <f>'Weather Analysis'!Q29</f>
        <v>0</v>
      </c>
      <c r="E48" s="247">
        <v>28</v>
      </c>
      <c r="F48" s="248">
        <f>[14]Intermediate!P52</f>
        <v>1</v>
      </c>
      <c r="G48" s="247">
        <f>G47+(G52-G40)/12</f>
        <v>2347.6666666666679</v>
      </c>
      <c r="H48" s="249">
        <v>134.52850910550649</v>
      </c>
      <c r="I48" s="247">
        <v>319.87200000000001</v>
      </c>
      <c r="J48" s="247">
        <v>0</v>
      </c>
      <c r="K48" s="247">
        <f t="shared" si="1"/>
        <v>3981504.261957204</v>
      </c>
      <c r="L48" s="210">
        <f t="shared" si="2"/>
        <v>145790.92195720412</v>
      </c>
      <c r="M48" s="212">
        <f t="shared" si="3"/>
        <v>3.8008815840550825E-2</v>
      </c>
    </row>
    <row r="49" spans="1:13" x14ac:dyDescent="0.2">
      <c r="A49" s="244">
        <v>38777</v>
      </c>
      <c r="B49" s="245">
        <f>'[13]Data Input'!B127</f>
        <v>4038473.34</v>
      </c>
      <c r="C49" s="246">
        <f>'Weather Analysis'!Q10</f>
        <v>678.9</v>
      </c>
      <c r="D49" s="246">
        <f>'Weather Analysis'!Q30</f>
        <v>0</v>
      </c>
      <c r="E49" s="247">
        <v>31</v>
      </c>
      <c r="F49" s="248">
        <f>[14]Intermediate!P53</f>
        <v>1</v>
      </c>
      <c r="G49" s="247">
        <f>G48+(G52-G40)/12</f>
        <v>2346.7500000000014</v>
      </c>
      <c r="H49" s="249">
        <v>134.80561580788986</v>
      </c>
      <c r="I49" s="247">
        <v>368.28</v>
      </c>
      <c r="J49" s="247">
        <v>1</v>
      </c>
      <c r="K49" s="247">
        <f t="shared" si="1"/>
        <v>4044992.3267176282</v>
      </c>
      <c r="L49" s="210">
        <f t="shared" si="2"/>
        <v>6518.9867176283151</v>
      </c>
      <c r="M49" s="212">
        <f t="shared" si="3"/>
        <v>1.6142205652466472E-3</v>
      </c>
    </row>
    <row r="50" spans="1:13" x14ac:dyDescent="0.2">
      <c r="A50" s="244">
        <v>38808</v>
      </c>
      <c r="B50" s="245">
        <f>'[13]Data Input'!B128</f>
        <v>3709953.34</v>
      </c>
      <c r="C50" s="246">
        <f>'Weather Analysis'!Q11</f>
        <v>324.7</v>
      </c>
      <c r="D50" s="246">
        <f>'Weather Analysis'!Q31</f>
        <v>0</v>
      </c>
      <c r="E50" s="247">
        <v>30</v>
      </c>
      <c r="F50" s="248">
        <f>[14]Intermediate!P54</f>
        <v>1</v>
      </c>
      <c r="G50" s="247">
        <f>G49+(G52-G40)/12</f>
        <v>2345.8333333333348</v>
      </c>
      <c r="H50" s="249">
        <v>135.08329330470943</v>
      </c>
      <c r="I50" s="247">
        <v>303.83999999999997</v>
      </c>
      <c r="J50" s="247">
        <v>1</v>
      </c>
      <c r="K50" s="247">
        <f t="shared" si="1"/>
        <v>3682728.1447072839</v>
      </c>
      <c r="L50" s="210">
        <f t="shared" si="2"/>
        <v>-27225.195292715915</v>
      </c>
      <c r="M50" s="212">
        <f t="shared" si="3"/>
        <v>7.3384198661420137E-3</v>
      </c>
    </row>
    <row r="51" spans="1:13" x14ac:dyDescent="0.2">
      <c r="A51" s="244">
        <v>38838</v>
      </c>
      <c r="B51" s="245">
        <f>'[13]Data Input'!B129</f>
        <v>3886953.34</v>
      </c>
      <c r="C51" s="246">
        <f>'Weather Analysis'!Q12</f>
        <v>200</v>
      </c>
      <c r="D51" s="246">
        <f>'Weather Analysis'!Q32</f>
        <v>15.1</v>
      </c>
      <c r="E51" s="247">
        <v>31</v>
      </c>
      <c r="F51" s="248">
        <f>[14]Intermediate!P55</f>
        <v>1</v>
      </c>
      <c r="G51" s="247">
        <f>G50+(G52-G40)/12</f>
        <v>2344.9166666666683</v>
      </c>
      <c r="H51" s="249">
        <v>135.36154277170829</v>
      </c>
      <c r="I51" s="247">
        <v>351.91199999999998</v>
      </c>
      <c r="J51" s="247">
        <v>1</v>
      </c>
      <c r="K51" s="247">
        <f t="shared" si="1"/>
        <v>3718823.7039997717</v>
      </c>
      <c r="L51" s="210">
        <f t="shared" si="2"/>
        <v>-168129.63600022811</v>
      </c>
      <c r="M51" s="212">
        <f t="shared" si="3"/>
        <v>4.3254863460807098E-2</v>
      </c>
    </row>
    <row r="52" spans="1:13" x14ac:dyDescent="0.2">
      <c r="A52" s="244">
        <v>38869</v>
      </c>
      <c r="B52" s="245">
        <f>'[13]Data Input'!B130</f>
        <v>3562953.34</v>
      </c>
      <c r="C52" s="246">
        <f>'Weather Analysis'!Q13</f>
        <v>56.3</v>
      </c>
      <c r="D52" s="246">
        <f>'Weather Analysis'!Q33</f>
        <v>14.3</v>
      </c>
      <c r="E52" s="247">
        <v>30</v>
      </c>
      <c r="F52" s="248">
        <f>[14]Intermediate!P56</f>
        <v>1</v>
      </c>
      <c r="G52" s="247">
        <f>'Rate Class Customer Model'!G6</f>
        <v>2344</v>
      </c>
      <c r="H52" s="249">
        <v>135.64036538705133</v>
      </c>
      <c r="I52" s="247">
        <v>352.08</v>
      </c>
      <c r="J52" s="247">
        <v>0</v>
      </c>
      <c r="K52" s="247">
        <f t="shared" si="1"/>
        <v>3519254.3408085108</v>
      </c>
      <c r="L52" s="210">
        <f t="shared" si="2"/>
        <v>-43698.999191489071</v>
      </c>
      <c r="M52" s="212">
        <f t="shared" si="3"/>
        <v>1.2264824998098087E-2</v>
      </c>
    </row>
    <row r="53" spans="1:13" x14ac:dyDescent="0.2">
      <c r="A53" s="244">
        <v>38899</v>
      </c>
      <c r="B53" s="245">
        <f>'[13]Data Input'!B131</f>
        <v>3884013.34</v>
      </c>
      <c r="C53" s="246">
        <f>'Weather Analysis'!Q14</f>
        <v>10.3</v>
      </c>
      <c r="D53" s="246">
        <f>'Weather Analysis'!Q34</f>
        <v>75.2</v>
      </c>
      <c r="E53" s="247">
        <v>31</v>
      </c>
      <c r="F53" s="248">
        <f>[14]Intermediate!P57</f>
        <v>1</v>
      </c>
      <c r="G53" s="247">
        <f>G52+(G64-G52)/12</f>
        <v>2342.75</v>
      </c>
      <c r="H53" s="249">
        <v>135.9197623313303</v>
      </c>
      <c r="I53" s="247">
        <v>319.92</v>
      </c>
      <c r="J53" s="247">
        <v>0</v>
      </c>
      <c r="K53" s="247">
        <f t="shared" si="1"/>
        <v>3748043.4914441137</v>
      </c>
      <c r="L53" s="210">
        <f t="shared" si="2"/>
        <v>-135969.84855588619</v>
      </c>
      <c r="M53" s="212">
        <f t="shared" si="3"/>
        <v>3.5007564766985633E-2</v>
      </c>
    </row>
    <row r="54" spans="1:13" x14ac:dyDescent="0.2">
      <c r="A54" s="244">
        <v>38930</v>
      </c>
      <c r="B54" s="245">
        <f>'[13]Data Input'!B132</f>
        <v>3680103.34</v>
      </c>
      <c r="C54" s="246">
        <f>'Weather Analysis'!Q15</f>
        <v>38.299999999999997</v>
      </c>
      <c r="D54" s="246">
        <f>'Weather Analysis'!Q35</f>
        <v>18.5</v>
      </c>
      <c r="E54" s="247">
        <v>31</v>
      </c>
      <c r="F54" s="248">
        <f>[14]Intermediate!P58</f>
        <v>1</v>
      </c>
      <c r="G54" s="247">
        <f>G53+(G64-G52)/12</f>
        <v>2341.5</v>
      </c>
      <c r="H54" s="249">
        <v>136.19973478756879</v>
      </c>
      <c r="I54" s="247">
        <v>351.91199999999998</v>
      </c>
      <c r="J54" s="247">
        <v>0</v>
      </c>
      <c r="K54" s="247">
        <f t="shared" si="1"/>
        <v>3603715.428189978</v>
      </c>
      <c r="L54" s="210">
        <f t="shared" si="2"/>
        <v>-76387.911810021847</v>
      </c>
      <c r="M54" s="212">
        <f t="shared" si="3"/>
        <v>2.075700184278571E-2</v>
      </c>
    </row>
    <row r="55" spans="1:13" x14ac:dyDescent="0.2">
      <c r="A55" s="244">
        <v>38961</v>
      </c>
      <c r="B55" s="245">
        <f>'[13]Data Input'!B133</f>
        <v>3526943.34</v>
      </c>
      <c r="C55" s="246">
        <f>'Weather Analysis'!Q16</f>
        <v>205.7</v>
      </c>
      <c r="D55" s="246">
        <f>'Weather Analysis'!Q36</f>
        <v>4.2</v>
      </c>
      <c r="E55" s="247">
        <v>30</v>
      </c>
      <c r="F55" s="248">
        <f>[14]Intermediate!P59</f>
        <v>1</v>
      </c>
      <c r="G55" s="247">
        <f>G54+(G64-G52)/12</f>
        <v>2340.25</v>
      </c>
      <c r="H55" s="249">
        <v>136.48028394122719</v>
      </c>
      <c r="I55" s="247">
        <v>319.68</v>
      </c>
      <c r="J55" s="247">
        <v>1</v>
      </c>
      <c r="K55" s="247">
        <f t="shared" si="1"/>
        <v>3605556.0879268497</v>
      </c>
      <c r="L55" s="210">
        <f t="shared" si="2"/>
        <v>78612.747926849872</v>
      </c>
      <c r="M55" s="212">
        <f t="shared" si="3"/>
        <v>2.2289200689810308E-2</v>
      </c>
    </row>
    <row r="56" spans="1:13" x14ac:dyDescent="0.2">
      <c r="A56" s="244">
        <v>38991</v>
      </c>
      <c r="B56" s="245">
        <f>'[13]Data Input'!B134</f>
        <v>3974403.34</v>
      </c>
      <c r="C56" s="246">
        <f>'Weather Analysis'!Q17</f>
        <v>462.4</v>
      </c>
      <c r="D56" s="246">
        <f>'Weather Analysis'!Q37</f>
        <v>0</v>
      </c>
      <c r="E56" s="247">
        <v>31</v>
      </c>
      <c r="F56" s="248">
        <f>[14]Intermediate!P60</f>
        <v>1</v>
      </c>
      <c r="G56" s="247">
        <f>G55+(G64-G52)/12</f>
        <v>2339</v>
      </c>
      <c r="H56" s="249">
        <v>136.76141098020776</v>
      </c>
      <c r="I56" s="247">
        <v>336.28800000000001</v>
      </c>
      <c r="J56" s="247">
        <v>1</v>
      </c>
      <c r="K56" s="247">
        <f t="shared" si="1"/>
        <v>3881241.7640826078</v>
      </c>
      <c r="L56" s="210">
        <f t="shared" si="2"/>
        <v>-93161.575917392038</v>
      </c>
      <c r="M56" s="212">
        <f t="shared" si="3"/>
        <v>2.3440392921316347E-2</v>
      </c>
    </row>
    <row r="57" spans="1:13" x14ac:dyDescent="0.2">
      <c r="A57" s="244">
        <v>39022</v>
      </c>
      <c r="B57" s="245">
        <f>'[13]Data Input'!B135</f>
        <v>3963533.34</v>
      </c>
      <c r="C57" s="246">
        <f>'Weather Analysis'!Q18</f>
        <v>568.6</v>
      </c>
      <c r="D57" s="246">
        <f>'Weather Analysis'!Q38</f>
        <v>0</v>
      </c>
      <c r="E57" s="247">
        <v>30</v>
      </c>
      <c r="F57" s="248">
        <f>[14]Intermediate!P61</f>
        <v>1</v>
      </c>
      <c r="G57" s="247">
        <f>G56+(G64-G52)/12</f>
        <v>2337.75</v>
      </c>
      <c r="H57" s="249">
        <v>137.04311709485967</v>
      </c>
      <c r="I57" s="247">
        <v>352.08</v>
      </c>
      <c r="J57" s="247">
        <v>1</v>
      </c>
      <c r="K57" s="247">
        <f t="shared" si="1"/>
        <v>3876988.3288674662</v>
      </c>
      <c r="L57" s="210">
        <f t="shared" si="2"/>
        <v>-86545.011132533662</v>
      </c>
      <c r="M57" s="212">
        <f t="shared" si="3"/>
        <v>2.1835318063082993E-2</v>
      </c>
    </row>
    <row r="58" spans="1:13" x14ac:dyDescent="0.2">
      <c r="A58" s="244">
        <v>39052</v>
      </c>
      <c r="B58" s="245">
        <f>'[13]Data Input'!B136</f>
        <v>4247253.34</v>
      </c>
      <c r="C58" s="246">
        <f>'Weather Analysis'!Q19</f>
        <v>809.9</v>
      </c>
      <c r="D58" s="246">
        <f>'Weather Analysis'!Q39</f>
        <v>0</v>
      </c>
      <c r="E58" s="247">
        <v>31</v>
      </c>
      <c r="F58" s="248">
        <f>[14]Intermediate!P62</f>
        <v>1</v>
      </c>
      <c r="G58" s="247">
        <f>G57+(G64-G52)/12</f>
        <v>2336.5</v>
      </c>
      <c r="H58" s="249">
        <v>137.32540347798411</v>
      </c>
      <c r="I58" s="247">
        <v>304.29599999999999</v>
      </c>
      <c r="J58" s="247">
        <v>0</v>
      </c>
      <c r="K58" s="247">
        <f t="shared" si="1"/>
        <v>4152934.086126443</v>
      </c>
      <c r="L58" s="210">
        <f t="shared" si="2"/>
        <v>-94319.253873556852</v>
      </c>
      <c r="M58" s="212">
        <f t="shared" si="3"/>
        <v>2.2207117476434043E-2</v>
      </c>
    </row>
    <row r="59" spans="1:13" x14ac:dyDescent="0.2">
      <c r="A59" s="244">
        <v>39083</v>
      </c>
      <c r="B59" s="245">
        <f>'[13]Data Input'!B137</f>
        <v>4446736.67</v>
      </c>
      <c r="C59" s="246">
        <f>'Weather Analysis'!R8</f>
        <v>997.6</v>
      </c>
      <c r="D59" s="246">
        <f>'Weather Analysis'!R28</f>
        <v>0</v>
      </c>
      <c r="E59" s="247">
        <v>31</v>
      </c>
      <c r="F59" s="248">
        <f>[14]Intermediate!P63</f>
        <v>1</v>
      </c>
      <c r="G59" s="247">
        <f>G58+(G64-G52)/12</f>
        <v>2335.25</v>
      </c>
      <c r="H59" s="249">
        <v>137.552207546647</v>
      </c>
      <c r="I59" s="247">
        <v>351.91199999999998</v>
      </c>
      <c r="J59" s="247">
        <v>0</v>
      </c>
      <c r="K59" s="247">
        <f t="shared" si="1"/>
        <v>4297572.7308415072</v>
      </c>
      <c r="L59" s="210">
        <f t="shared" si="2"/>
        <v>-149163.93915849272</v>
      </c>
      <c r="M59" s="212">
        <f t="shared" si="3"/>
        <v>3.3544585665445471E-2</v>
      </c>
    </row>
    <row r="60" spans="1:13" x14ac:dyDescent="0.2">
      <c r="A60" s="244">
        <v>39114</v>
      </c>
      <c r="B60" s="245">
        <f>'[13]Data Input'!B138</f>
        <v>4162836.67</v>
      </c>
      <c r="C60" s="246">
        <f>'Weather Analysis'!R9</f>
        <v>999.6</v>
      </c>
      <c r="D60" s="246">
        <f>'Weather Analysis'!R29</f>
        <v>0</v>
      </c>
      <c r="E60" s="247">
        <v>28</v>
      </c>
      <c r="F60" s="248">
        <f>[14]Intermediate!P64</f>
        <v>1</v>
      </c>
      <c r="G60" s="247">
        <f>G59+(G64-G52)/12</f>
        <v>2334</v>
      </c>
      <c r="H60" s="249">
        <v>137.77938620066888</v>
      </c>
      <c r="I60" s="247">
        <v>319.87200000000001</v>
      </c>
      <c r="J60" s="247">
        <v>0</v>
      </c>
      <c r="K60" s="247">
        <f t="shared" si="1"/>
        <v>4035246.3541362872</v>
      </c>
      <c r="L60" s="210">
        <f t="shared" si="2"/>
        <v>-127590.31586371269</v>
      </c>
      <c r="M60" s="212">
        <f t="shared" si="3"/>
        <v>3.0649849124086026E-2</v>
      </c>
    </row>
    <row r="61" spans="1:13" x14ac:dyDescent="0.2">
      <c r="A61" s="244">
        <v>39142</v>
      </c>
      <c r="B61" s="245">
        <f>'[13]Data Input'!B139</f>
        <v>4047316.67</v>
      </c>
      <c r="C61" s="246">
        <f>'Weather Analysis'!R10</f>
        <v>674.4</v>
      </c>
      <c r="D61" s="246">
        <f>'Weather Analysis'!R30</f>
        <v>0</v>
      </c>
      <c r="E61" s="247">
        <v>31</v>
      </c>
      <c r="F61" s="248">
        <f>[14]Intermediate!P65</f>
        <v>1</v>
      </c>
      <c r="G61" s="247">
        <f>G60+(G64-G52)/12</f>
        <v>2332.75</v>
      </c>
      <c r="H61" s="249">
        <v>138.00694005870795</v>
      </c>
      <c r="I61" s="247">
        <v>351.91199999999998</v>
      </c>
      <c r="J61" s="247">
        <v>1</v>
      </c>
      <c r="K61" s="247">
        <f t="shared" si="1"/>
        <v>4039328.9377155798</v>
      </c>
      <c r="L61" s="210">
        <f t="shared" si="2"/>
        <v>-7987.7322844201699</v>
      </c>
      <c r="M61" s="212">
        <f t="shared" si="3"/>
        <v>1.9735871778029592E-3</v>
      </c>
    </row>
    <row r="62" spans="1:13" x14ac:dyDescent="0.2">
      <c r="A62" s="244">
        <v>39173</v>
      </c>
      <c r="B62" s="245">
        <f>'[13]Data Input'!B140</f>
        <v>3649476.67</v>
      </c>
      <c r="C62" s="246">
        <f>'Weather Analysis'!R11</f>
        <v>478.8</v>
      </c>
      <c r="D62" s="246">
        <f>'Weather Analysis'!R31</f>
        <v>0</v>
      </c>
      <c r="E62" s="247">
        <v>30</v>
      </c>
      <c r="F62" s="248">
        <f>[14]Intermediate!P66</f>
        <v>1</v>
      </c>
      <c r="G62" s="247">
        <f>G61+(G64-G52)/12</f>
        <v>2331.5</v>
      </c>
      <c r="H62" s="249">
        <v>138.23486974044414</v>
      </c>
      <c r="I62" s="247">
        <v>319.68</v>
      </c>
      <c r="J62" s="247">
        <v>1</v>
      </c>
      <c r="K62" s="247">
        <f t="shared" si="1"/>
        <v>3796437.1522625359</v>
      </c>
      <c r="L62" s="210">
        <f t="shared" si="2"/>
        <v>146960.48226253595</v>
      </c>
      <c r="M62" s="212">
        <f t="shared" si="3"/>
        <v>4.0268919505802997E-2</v>
      </c>
    </row>
    <row r="63" spans="1:13" x14ac:dyDescent="0.2">
      <c r="A63" s="244">
        <v>39203</v>
      </c>
      <c r="B63" s="245">
        <f>'[13]Data Input'!B141</f>
        <v>3822616.67</v>
      </c>
      <c r="C63" s="246">
        <f>'Weather Analysis'!R12</f>
        <v>186.5</v>
      </c>
      <c r="D63" s="246">
        <f>'Weather Analysis'!R32</f>
        <v>8.1</v>
      </c>
      <c r="E63" s="247">
        <v>31</v>
      </c>
      <c r="F63" s="248">
        <f>[14]Intermediate!P67</f>
        <v>1</v>
      </c>
      <c r="G63" s="247">
        <f>G62+(G64-G52)/12</f>
        <v>2330.25</v>
      </c>
      <c r="H63" s="249">
        <v>138.46317586658083</v>
      </c>
      <c r="I63" s="247">
        <v>351.91199999999998</v>
      </c>
      <c r="J63" s="247">
        <v>1</v>
      </c>
      <c r="K63" s="247">
        <f t="shared" si="1"/>
        <v>3675744.9115330176</v>
      </c>
      <c r="L63" s="210">
        <f t="shared" si="2"/>
        <v>-146871.75846698228</v>
      </c>
      <c r="M63" s="212">
        <f t="shared" si="3"/>
        <v>3.8421785689272965E-2</v>
      </c>
    </row>
    <row r="64" spans="1:13" x14ac:dyDescent="0.2">
      <c r="A64" s="244">
        <v>39234</v>
      </c>
      <c r="B64" s="245">
        <f>'[13]Data Input'!B142</f>
        <v>3322416.67</v>
      </c>
      <c r="C64" s="246">
        <f>'Weather Analysis'!R13</f>
        <v>57.9</v>
      </c>
      <c r="D64" s="246">
        <f>'Weather Analysis'!R33</f>
        <v>39.1</v>
      </c>
      <c r="E64" s="247">
        <v>30</v>
      </c>
      <c r="F64" s="248">
        <f>[14]Intermediate!P68</f>
        <v>1</v>
      </c>
      <c r="G64" s="247">
        <f>'Rate Class Customer Model'!G7</f>
        <v>2329</v>
      </c>
      <c r="H64" s="249">
        <v>138.69185905884657</v>
      </c>
      <c r="I64" s="247">
        <v>336.24</v>
      </c>
      <c r="J64" s="247">
        <v>0</v>
      </c>
      <c r="K64" s="247">
        <f t="shared" si="1"/>
        <v>3576077.0373135991</v>
      </c>
      <c r="L64" s="210">
        <f t="shared" si="2"/>
        <v>253660.36731359921</v>
      </c>
      <c r="M64" s="212">
        <f t="shared" si="3"/>
        <v>7.6348150309996851E-2</v>
      </c>
    </row>
    <row r="65" spans="1:30" x14ac:dyDescent="0.2">
      <c r="A65" s="244">
        <v>39264</v>
      </c>
      <c r="B65" s="245">
        <f>'[13]Data Input'!B143</f>
        <v>3434016.67</v>
      </c>
      <c r="C65" s="246">
        <f>'Weather Analysis'!R14</f>
        <v>41.2</v>
      </c>
      <c r="D65" s="246">
        <f>'Weather Analysis'!R34</f>
        <v>57.4</v>
      </c>
      <c r="E65" s="247">
        <v>31</v>
      </c>
      <c r="F65" s="248">
        <f>[14]Intermediate!P69</f>
        <v>1</v>
      </c>
      <c r="G65" s="247">
        <f>G64+(G76-G64)/12</f>
        <v>2327.5416666666665</v>
      </c>
      <c r="H65" s="249">
        <v>138.92091993999671</v>
      </c>
      <c r="I65" s="247">
        <v>336.28800000000001</v>
      </c>
      <c r="J65" s="247">
        <v>0</v>
      </c>
      <c r="K65" s="247">
        <f t="shared" si="1"/>
        <v>3699386.5002812818</v>
      </c>
      <c r="L65" s="210">
        <f t="shared" si="2"/>
        <v>265369.83028128184</v>
      </c>
      <c r="M65" s="212">
        <f t="shared" si="3"/>
        <v>7.7276803167435362E-2</v>
      </c>
    </row>
    <row r="66" spans="1:30" x14ac:dyDescent="0.2">
      <c r="A66" s="244">
        <v>39295</v>
      </c>
      <c r="B66" s="245">
        <f>'[13]Data Input'!B144</f>
        <v>3216536.67</v>
      </c>
      <c r="C66" s="246">
        <f>'Weather Analysis'!R15</f>
        <v>65.5</v>
      </c>
      <c r="D66" s="246">
        <f>'Weather Analysis'!R35</f>
        <v>21.9</v>
      </c>
      <c r="E66" s="247">
        <v>31</v>
      </c>
      <c r="F66" s="248">
        <f>[14]Intermediate!P70</f>
        <v>1</v>
      </c>
      <c r="G66" s="247">
        <f>G65+(G76-G64)/12</f>
        <v>2326.083333333333</v>
      </c>
      <c r="H66" s="249">
        <v>139.15035913381516</v>
      </c>
      <c r="I66" s="247">
        <v>351.91199999999998</v>
      </c>
      <c r="J66" s="247">
        <v>0</v>
      </c>
      <c r="K66" s="247">
        <f t="shared" si="1"/>
        <v>3610330.6425560676</v>
      </c>
      <c r="L66" s="210">
        <f t="shared" si="2"/>
        <v>393793.97255606763</v>
      </c>
      <c r="M66" s="212">
        <f t="shared" si="3"/>
        <v>0.12242794438779635</v>
      </c>
    </row>
    <row r="67" spans="1:30" x14ac:dyDescent="0.2">
      <c r="A67" s="244">
        <v>39326</v>
      </c>
      <c r="B67" s="245">
        <f>'[13]Data Input'!B145</f>
        <v>2797976.67</v>
      </c>
      <c r="C67" s="246">
        <f>'Weather Analysis'!R16</f>
        <v>175.6</v>
      </c>
      <c r="D67" s="246">
        <f>'Weather Analysis'!R36</f>
        <v>6.6</v>
      </c>
      <c r="E67" s="247">
        <v>30</v>
      </c>
      <c r="F67" s="248">
        <v>0</v>
      </c>
      <c r="G67" s="247">
        <f>G66+(G76-G64)/12</f>
        <v>2324.6249999999995</v>
      </c>
      <c r="H67" s="249">
        <v>139.38017726511606</v>
      </c>
      <c r="I67" s="247">
        <v>303.83999999999997</v>
      </c>
      <c r="J67" s="247">
        <v>1</v>
      </c>
      <c r="K67" s="247">
        <f t="shared" si="1"/>
        <v>2023948.5696655093</v>
      </c>
      <c r="L67" s="210">
        <f t="shared" si="2"/>
        <v>-774028.10033449065</v>
      </c>
      <c r="M67" s="212">
        <f t="shared" si="3"/>
        <v>0.27663851119047778</v>
      </c>
    </row>
    <row r="68" spans="1:30" x14ac:dyDescent="0.2">
      <c r="A68" s="244">
        <v>39356</v>
      </c>
      <c r="B68" s="245">
        <f>'[13]Data Input'!B146</f>
        <v>2739436.67</v>
      </c>
      <c r="C68" s="246">
        <f>'Weather Analysis'!R17</f>
        <v>333</v>
      </c>
      <c r="D68" s="246">
        <f>'Weather Analysis'!R37</f>
        <v>0</v>
      </c>
      <c r="E68" s="247">
        <v>31</v>
      </c>
      <c r="F68" s="248">
        <v>0</v>
      </c>
      <c r="G68" s="247">
        <f>G67+(G76-G64)/12</f>
        <v>2323.1666666666661</v>
      </c>
      <c r="H68" s="249">
        <v>139.61037495974546</v>
      </c>
      <c r="I68" s="247">
        <v>351.91199999999998</v>
      </c>
      <c r="J68" s="247">
        <v>1</v>
      </c>
      <c r="K68" s="247">
        <f t="shared" ref="K68:K131" si="4">$O$18+C68*$O$19+D68*$O$20+E68*$O$21+F68*$O$22+G68*$O$23+H68*$O$24</f>
        <v>2210925.810543444</v>
      </c>
      <c r="L68" s="210">
        <f t="shared" ref="L68:L131" si="5">K68-B68</f>
        <v>-528510.85945655592</v>
      </c>
      <c r="M68" s="212">
        <f t="shared" ref="M68:M131" si="6">ABS(L68/B68)</f>
        <v>0.19292683975664088</v>
      </c>
    </row>
    <row r="69" spans="1:30" x14ac:dyDescent="0.2">
      <c r="A69" s="244">
        <v>39387</v>
      </c>
      <c r="B69" s="245">
        <f>'[13]Data Input'!B147</f>
        <v>2340336.67</v>
      </c>
      <c r="C69" s="246">
        <f>'Weather Analysis'!R18</f>
        <v>663.5</v>
      </c>
      <c r="D69" s="246">
        <f>'Weather Analysis'!R38</f>
        <v>0</v>
      </c>
      <c r="E69" s="247">
        <v>30</v>
      </c>
      <c r="F69" s="248">
        <v>0</v>
      </c>
      <c r="G69" s="247">
        <f>G68+(G76-G64)/12</f>
        <v>2321.7083333333326</v>
      </c>
      <c r="H69" s="249">
        <v>139.84095284458306</v>
      </c>
      <c r="I69" s="247">
        <v>352.08</v>
      </c>
      <c r="J69" s="247">
        <v>1</v>
      </c>
      <c r="K69" s="247">
        <f t="shared" si="4"/>
        <v>2378615.2211807668</v>
      </c>
      <c r="L69" s="210">
        <f t="shared" si="5"/>
        <v>38278.551180766895</v>
      </c>
      <c r="M69" s="212">
        <f t="shared" si="6"/>
        <v>1.6356001968198402E-2</v>
      </c>
    </row>
    <row r="70" spans="1:30" x14ac:dyDescent="0.2">
      <c r="A70" s="244">
        <v>39417</v>
      </c>
      <c r="B70" s="245">
        <f>'[13]Data Input'!B148</f>
        <v>2742336.67</v>
      </c>
      <c r="C70" s="246">
        <f>'Weather Analysis'!R19</f>
        <v>989.2</v>
      </c>
      <c r="D70" s="246">
        <f>'Weather Analysis'!R39</f>
        <v>0</v>
      </c>
      <c r="E70" s="247">
        <v>31</v>
      </c>
      <c r="F70" s="248">
        <f>[14]Intermediate!P74</f>
        <v>0</v>
      </c>
      <c r="G70" s="247">
        <f>G69+(G76-G64)/12</f>
        <v>2320.2499999999991</v>
      </c>
      <c r="H70" s="249">
        <v>140.07191154754381</v>
      </c>
      <c r="I70" s="247">
        <v>304.29599999999999</v>
      </c>
      <c r="J70" s="247">
        <v>0</v>
      </c>
      <c r="K70" s="247">
        <f t="shared" si="4"/>
        <v>2716842.0585886035</v>
      </c>
      <c r="L70" s="210">
        <f t="shared" si="5"/>
        <v>-25494.611411396414</v>
      </c>
      <c r="M70" s="212">
        <f t="shared" si="6"/>
        <v>9.296674507654968E-3</v>
      </c>
    </row>
    <row r="71" spans="1:30" x14ac:dyDescent="0.2">
      <c r="A71" s="244">
        <v>39448</v>
      </c>
      <c r="B71" s="245">
        <f>'[13]Data Input'!B149</f>
        <v>2748532.05</v>
      </c>
      <c r="C71" s="251">
        <f>'Weather Analysis'!S8</f>
        <v>1024.4000000000001</v>
      </c>
      <c r="D71" s="251">
        <f>'Weather Analysis'!S28</f>
        <v>0</v>
      </c>
      <c r="E71" s="247">
        <v>31</v>
      </c>
      <c r="F71" s="248">
        <f>[14]Intermediate!P75</f>
        <v>0</v>
      </c>
      <c r="G71" s="247">
        <f>G70+(G76-G64)/12</f>
        <v>2318.7916666666656</v>
      </c>
      <c r="H71" s="252">
        <v>139.96642175819056</v>
      </c>
      <c r="I71" s="246">
        <v>352</v>
      </c>
      <c r="J71" s="247">
        <v>0</v>
      </c>
      <c r="K71" s="247">
        <f t="shared" si="4"/>
        <v>2727176.8258768935</v>
      </c>
      <c r="L71" s="210">
        <f t="shared" si="5"/>
        <v>-21355.224123106338</v>
      </c>
      <c r="M71" s="212">
        <f t="shared" si="6"/>
        <v>7.7696835018192124E-3</v>
      </c>
    </row>
    <row r="72" spans="1:30" x14ac:dyDescent="0.2">
      <c r="A72" s="244">
        <v>39479</v>
      </c>
      <c r="B72" s="245">
        <f>'[13]Data Input'!B150</f>
        <v>2586142.0499999998</v>
      </c>
      <c r="C72" s="251">
        <f>'Weather Analysis'!S9</f>
        <v>986.1</v>
      </c>
      <c r="D72" s="251">
        <f>'Weather Analysis'!S29</f>
        <v>0</v>
      </c>
      <c r="E72" s="247">
        <v>29</v>
      </c>
      <c r="F72" s="248">
        <f>[14]Intermediate!P76</f>
        <v>0</v>
      </c>
      <c r="G72" s="247">
        <f>G71+(G76-G64)/12</f>
        <v>2317.3333333333321</v>
      </c>
      <c r="H72" s="252">
        <v>139.86101141442734</v>
      </c>
      <c r="I72" s="246">
        <v>320</v>
      </c>
      <c r="J72" s="247">
        <v>0</v>
      </c>
      <c r="K72" s="247">
        <f t="shared" si="4"/>
        <v>2505620.2579604359</v>
      </c>
      <c r="L72" s="210">
        <f t="shared" si="5"/>
        <v>-80521.792039563879</v>
      </c>
      <c r="M72" s="212">
        <f t="shared" si="6"/>
        <v>3.1135873622859921E-2</v>
      </c>
    </row>
    <row r="73" spans="1:30" x14ac:dyDescent="0.2">
      <c r="A73" s="244">
        <v>39508</v>
      </c>
      <c r="B73" s="245">
        <f>'[13]Data Input'!B151</f>
        <v>2452042.0499999998</v>
      </c>
      <c r="C73" s="251">
        <f>'Weather Analysis'!S10</f>
        <v>828.7</v>
      </c>
      <c r="D73" s="251">
        <f>'Weather Analysis'!S30</f>
        <v>0</v>
      </c>
      <c r="E73" s="247">
        <v>31</v>
      </c>
      <c r="F73" s="248">
        <f>[14]Intermediate!P77</f>
        <v>0</v>
      </c>
      <c r="G73" s="247">
        <f>G72+(G76-G64)/12</f>
        <v>2315.8749999999986</v>
      </c>
      <c r="H73" s="252">
        <v>139.75568045642274</v>
      </c>
      <c r="I73" s="246">
        <v>304</v>
      </c>
      <c r="J73" s="247">
        <v>1</v>
      </c>
      <c r="K73" s="247">
        <f t="shared" si="4"/>
        <v>2539285.6526317829</v>
      </c>
      <c r="L73" s="210">
        <f t="shared" si="5"/>
        <v>87243.602631783113</v>
      </c>
      <c r="M73" s="212">
        <f t="shared" si="6"/>
        <v>3.5579978178507631E-2</v>
      </c>
    </row>
    <row r="74" spans="1:30" x14ac:dyDescent="0.2">
      <c r="A74" s="244">
        <v>39539</v>
      </c>
      <c r="B74" s="245">
        <f>'[13]Data Input'!B152</f>
        <v>2152630</v>
      </c>
      <c r="C74" s="251">
        <f>'Weather Analysis'!S11</f>
        <v>496.9</v>
      </c>
      <c r="D74" s="251">
        <f>'Weather Analysis'!S31</f>
        <v>0</v>
      </c>
      <c r="E74" s="247">
        <v>30</v>
      </c>
      <c r="F74" s="248">
        <f>[14]Intermediate!P78</f>
        <v>0</v>
      </c>
      <c r="G74" s="247">
        <f>G73+(G76-G64)/12</f>
        <v>2314.4166666666652</v>
      </c>
      <c r="H74" s="252">
        <v>139.65042882439042</v>
      </c>
      <c r="I74" s="246">
        <v>352</v>
      </c>
      <c r="J74" s="247">
        <v>1</v>
      </c>
      <c r="K74" s="247">
        <f t="shared" si="4"/>
        <v>2174831.5420732154</v>
      </c>
      <c r="L74" s="210">
        <f t="shared" si="5"/>
        <v>22201.542073215358</v>
      </c>
      <c r="M74" s="212">
        <f t="shared" si="6"/>
        <v>1.0313682366786377E-2</v>
      </c>
    </row>
    <row r="75" spans="1:30" s="15" customFormat="1" x14ac:dyDescent="0.2">
      <c r="A75" s="244">
        <v>39569</v>
      </c>
      <c r="B75" s="245">
        <f>'[13]Data Input'!B153</f>
        <v>2293140</v>
      </c>
      <c r="C75" s="251">
        <f>'Weather Analysis'!S12</f>
        <v>340</v>
      </c>
      <c r="D75" s="251">
        <f>'Weather Analysis'!S32</f>
        <v>0</v>
      </c>
      <c r="E75" s="247">
        <v>31</v>
      </c>
      <c r="F75" s="248">
        <f>[14]Intermediate!P79</f>
        <v>0</v>
      </c>
      <c r="G75" s="247">
        <f>G74+(G76-G64)/12</f>
        <v>2312.9583333333317</v>
      </c>
      <c r="H75" s="252">
        <v>139.54525645858905</v>
      </c>
      <c r="I75" s="246">
        <v>336</v>
      </c>
      <c r="J75" s="247">
        <v>1</v>
      </c>
      <c r="K75" s="247">
        <f t="shared" si="4"/>
        <v>2121752.5397830848</v>
      </c>
      <c r="L75" s="210">
        <f t="shared" si="5"/>
        <v>-171387.46021691523</v>
      </c>
      <c r="M75" s="212">
        <f t="shared" si="6"/>
        <v>7.4739204853133803E-2</v>
      </c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x14ac:dyDescent="0.2">
      <c r="A76" s="244">
        <v>39600</v>
      </c>
      <c r="B76" s="245">
        <f>'[13]Data Input'!B154</f>
        <v>1988380</v>
      </c>
      <c r="C76" s="251">
        <f>'Weather Analysis'!S13</f>
        <v>119.1</v>
      </c>
      <c r="D76" s="251">
        <f>'Weather Analysis'!S33</f>
        <v>2.6</v>
      </c>
      <c r="E76" s="247">
        <v>30</v>
      </c>
      <c r="F76" s="248">
        <f>[14]Intermediate!P80</f>
        <v>0</v>
      </c>
      <c r="G76" s="247">
        <f>'Rate Class Customer Model'!G8</f>
        <v>2311.5</v>
      </c>
      <c r="H76" s="252">
        <v>139.44016329932234</v>
      </c>
      <c r="I76" s="246">
        <v>336</v>
      </c>
      <c r="J76" s="247">
        <v>0</v>
      </c>
      <c r="K76" s="247">
        <f t="shared" si="4"/>
        <v>1851833.7298128465</v>
      </c>
      <c r="L76" s="210">
        <f t="shared" si="5"/>
        <v>-136546.27018715348</v>
      </c>
      <c r="M76" s="212">
        <f t="shared" si="6"/>
        <v>6.8672120111424109E-2</v>
      </c>
    </row>
    <row r="77" spans="1:30" x14ac:dyDescent="0.2">
      <c r="A77" s="244">
        <v>39630</v>
      </c>
      <c r="B77" s="245">
        <f>'[13]Data Input'!B155</f>
        <v>1874560</v>
      </c>
      <c r="C77" s="251">
        <f>'Weather Analysis'!S14</f>
        <v>42.8</v>
      </c>
      <c r="D77" s="251">
        <f>'Weather Analysis'!S34</f>
        <v>22.8</v>
      </c>
      <c r="E77" s="247">
        <v>31</v>
      </c>
      <c r="F77" s="248">
        <f>[14]Intermediate!P81</f>
        <v>0</v>
      </c>
      <c r="G77" s="247">
        <f>G76+(G88-G76)/12</f>
        <v>2311.7916666666665</v>
      </c>
      <c r="H77" s="252">
        <v>139.3351492869389</v>
      </c>
      <c r="I77" s="246">
        <v>352</v>
      </c>
      <c r="J77" s="247">
        <v>0</v>
      </c>
      <c r="K77" s="247">
        <f t="shared" si="4"/>
        <v>1936817.8218410388</v>
      </c>
      <c r="L77" s="210">
        <f t="shared" si="5"/>
        <v>62257.821841038764</v>
      </c>
      <c r="M77" s="212">
        <f t="shared" si="6"/>
        <v>3.3211965389765473E-2</v>
      </c>
    </row>
    <row r="78" spans="1:30" x14ac:dyDescent="0.2">
      <c r="A78" s="244">
        <v>39661</v>
      </c>
      <c r="B78" s="245">
        <f>'[13]Data Input'!B156</f>
        <v>1864830</v>
      </c>
      <c r="C78" s="251">
        <f>'Weather Analysis'!S15</f>
        <v>47.2</v>
      </c>
      <c r="D78" s="251">
        <f>'Weather Analysis'!S35</f>
        <v>32.299999999999997</v>
      </c>
      <c r="E78" s="247">
        <v>31</v>
      </c>
      <c r="F78" s="248">
        <f>[14]Intermediate!P82</f>
        <v>0</v>
      </c>
      <c r="G78" s="247">
        <f>G77+(G88-G76)/12</f>
        <v>2312.083333333333</v>
      </c>
      <c r="H78" s="252">
        <v>139.23021436183228</v>
      </c>
      <c r="I78" s="246">
        <v>320</v>
      </c>
      <c r="J78" s="247">
        <v>0</v>
      </c>
      <c r="K78" s="247">
        <f t="shared" si="4"/>
        <v>1966616.2411006521</v>
      </c>
      <c r="L78" s="210">
        <f t="shared" si="5"/>
        <v>101786.24110065214</v>
      </c>
      <c r="M78" s="212">
        <f t="shared" si="6"/>
        <v>5.458204828357123E-2</v>
      </c>
    </row>
    <row r="79" spans="1:30" x14ac:dyDescent="0.2">
      <c r="A79" s="244">
        <v>39692</v>
      </c>
      <c r="B79" s="245">
        <f>'[13]Data Input'!B157</f>
        <v>1761190</v>
      </c>
      <c r="C79" s="251">
        <f>'Weather Analysis'!S16</f>
        <v>192.5</v>
      </c>
      <c r="D79" s="251">
        <f>'Weather Analysis'!S36</f>
        <v>7.8</v>
      </c>
      <c r="E79" s="247">
        <v>30</v>
      </c>
      <c r="F79" s="248">
        <f>[14]Intermediate!P83</f>
        <v>0</v>
      </c>
      <c r="G79" s="247">
        <f>G78+(G88-G76)/12</f>
        <v>2312.3749999999995</v>
      </c>
      <c r="H79" s="252">
        <v>139.12535846444095</v>
      </c>
      <c r="I79" s="246">
        <v>336</v>
      </c>
      <c r="J79" s="247">
        <v>1</v>
      </c>
      <c r="K79" s="247">
        <f t="shared" si="4"/>
        <v>1920257.7533043465</v>
      </c>
      <c r="L79" s="210">
        <f t="shared" si="5"/>
        <v>159067.75330434646</v>
      </c>
      <c r="M79" s="212">
        <f t="shared" si="6"/>
        <v>9.0318337774088236E-2</v>
      </c>
    </row>
    <row r="80" spans="1:30" x14ac:dyDescent="0.2">
      <c r="A80" s="244">
        <v>39722</v>
      </c>
      <c r="B80" s="245">
        <f>'[13]Data Input'!B158</f>
        <v>2282500</v>
      </c>
      <c r="C80" s="251">
        <f>'Weather Analysis'!S17</f>
        <v>390.1</v>
      </c>
      <c r="D80" s="251">
        <f>'Weather Analysis'!S37</f>
        <v>0</v>
      </c>
      <c r="E80" s="247">
        <v>31</v>
      </c>
      <c r="F80" s="248">
        <f>[14]Intermediate!P84</f>
        <v>0</v>
      </c>
      <c r="G80" s="247">
        <f>G79+(G88-G76)/12</f>
        <v>2312.6666666666661</v>
      </c>
      <c r="H80" s="252">
        <v>139.02058153524823</v>
      </c>
      <c r="I80" s="246">
        <v>352</v>
      </c>
      <c r="J80" s="247">
        <v>1</v>
      </c>
      <c r="K80" s="247">
        <f t="shared" si="4"/>
        <v>2138030.2541097412</v>
      </c>
      <c r="L80" s="210">
        <f t="shared" si="5"/>
        <v>-144469.74589025881</v>
      </c>
      <c r="M80" s="212">
        <f t="shared" si="6"/>
        <v>6.3294521748196636E-2</v>
      </c>
    </row>
    <row r="81" spans="1:30" x14ac:dyDescent="0.2">
      <c r="A81" s="244">
        <v>39753</v>
      </c>
      <c r="B81" s="245">
        <f>'[13]Data Input'!B159</f>
        <v>2212490</v>
      </c>
      <c r="C81" s="251">
        <f>'Weather Analysis'!S18</f>
        <v>644.79999999999995</v>
      </c>
      <c r="D81" s="251">
        <f>'Weather Analysis'!S38</f>
        <v>0</v>
      </c>
      <c r="E81" s="247">
        <v>30</v>
      </c>
      <c r="F81" s="248">
        <f>[14]Intermediate!P85</f>
        <v>0</v>
      </c>
      <c r="G81" s="247">
        <f>G80+(G88-G76)/12</f>
        <v>2312.9583333333326</v>
      </c>
      <c r="H81" s="252">
        <v>138.91588351478222</v>
      </c>
      <c r="I81" s="246">
        <v>304</v>
      </c>
      <c r="J81" s="247">
        <v>1</v>
      </c>
      <c r="K81" s="247">
        <f t="shared" si="4"/>
        <v>2249092.2860429436</v>
      </c>
      <c r="L81" s="210">
        <f t="shared" si="5"/>
        <v>36602.286042943597</v>
      </c>
      <c r="M81" s="212">
        <f t="shared" si="6"/>
        <v>1.654348089389945E-2</v>
      </c>
    </row>
    <row r="82" spans="1:30" x14ac:dyDescent="0.2">
      <c r="A82" s="244">
        <v>39783</v>
      </c>
      <c r="B82" s="245">
        <f>'[13]Data Input'!B160</f>
        <v>2797640</v>
      </c>
      <c r="C82" s="251">
        <f>'Weather Analysis'!S19</f>
        <v>1128.5</v>
      </c>
      <c r="D82" s="251">
        <f>'Weather Analysis'!S39</f>
        <v>0</v>
      </c>
      <c r="E82" s="247">
        <v>31</v>
      </c>
      <c r="F82" s="248">
        <f>[14]Intermediate!P86</f>
        <v>0</v>
      </c>
      <c r="G82" s="247">
        <f>G81+(G88-G76)/12</f>
        <v>2313.2499999999991</v>
      </c>
      <c r="H82" s="252">
        <v>138.8112643436159</v>
      </c>
      <c r="I82" s="246">
        <v>336</v>
      </c>
      <c r="J82" s="247">
        <v>0</v>
      </c>
      <c r="K82" s="247">
        <f t="shared" si="4"/>
        <v>2713933.1473131981</v>
      </c>
      <c r="L82" s="210">
        <f t="shared" si="5"/>
        <v>-83706.852686801925</v>
      </c>
      <c r="M82" s="212">
        <f t="shared" si="6"/>
        <v>2.9920523257746502E-2</v>
      </c>
    </row>
    <row r="83" spans="1:30" x14ac:dyDescent="0.2">
      <c r="A83" s="244">
        <v>39814</v>
      </c>
      <c r="B83" s="245">
        <f>'[13]Data Input'!B161</f>
        <v>2785280</v>
      </c>
      <c r="C83" s="251">
        <f>'Weather Analysis'!T8</f>
        <v>1184.2</v>
      </c>
      <c r="D83" s="251">
        <f>'Weather Analysis'!T28</f>
        <v>0</v>
      </c>
      <c r="E83" s="247">
        <v>31</v>
      </c>
      <c r="F83" s="248">
        <f>[14]Intermediate!P87</f>
        <v>0</v>
      </c>
      <c r="G83" s="247">
        <f>G82+(G88-G76)/12</f>
        <v>2313.5416666666656</v>
      </c>
      <c r="H83" s="252">
        <v>138.43555825854429</v>
      </c>
      <c r="I83" s="246">
        <v>336</v>
      </c>
      <c r="J83" s="247">
        <v>0</v>
      </c>
      <c r="K83" s="247">
        <f t="shared" si="4"/>
        <v>2745645.198627457</v>
      </c>
      <c r="L83" s="210">
        <f t="shared" si="5"/>
        <v>-39634.801372542977</v>
      </c>
      <c r="M83" s="212">
        <f t="shared" si="6"/>
        <v>1.4230095851240441E-2</v>
      </c>
    </row>
    <row r="84" spans="1:30" x14ac:dyDescent="0.2">
      <c r="A84" s="244">
        <v>39845</v>
      </c>
      <c r="B84" s="245">
        <f>'[13]Data Input'!B162</f>
        <v>2237810</v>
      </c>
      <c r="C84" s="251">
        <f>'Weather Analysis'!T9</f>
        <v>880.6</v>
      </c>
      <c r="D84" s="251">
        <f>'Weather Analysis'!T29</f>
        <v>0</v>
      </c>
      <c r="E84" s="247">
        <v>28</v>
      </c>
      <c r="F84" s="248">
        <f>[14]Intermediate!P88</f>
        <v>0</v>
      </c>
      <c r="G84" s="247">
        <f>G83+(G88-G76)/12</f>
        <v>2313.8333333333321</v>
      </c>
      <c r="H84" s="252">
        <v>138.06086905825526</v>
      </c>
      <c r="I84" s="246">
        <v>304</v>
      </c>
      <c r="J84" s="247">
        <v>0</v>
      </c>
      <c r="K84" s="247">
        <f t="shared" si="4"/>
        <v>2234348.9664386418</v>
      </c>
      <c r="L84" s="210">
        <f t="shared" si="5"/>
        <v>-3461.0335613582283</v>
      </c>
      <c r="M84" s="212">
        <f t="shared" si="6"/>
        <v>1.546616362138979E-3</v>
      </c>
    </row>
    <row r="85" spans="1:30" x14ac:dyDescent="0.2">
      <c r="A85" s="244">
        <v>39873</v>
      </c>
      <c r="B85" s="245">
        <f>'[13]Data Input'!B163</f>
        <v>2270800</v>
      </c>
      <c r="C85" s="251">
        <f>'Weather Analysis'!T10</f>
        <v>748.1</v>
      </c>
      <c r="D85" s="251">
        <f>'Weather Analysis'!T30</f>
        <v>0</v>
      </c>
      <c r="E85" s="247">
        <v>31</v>
      </c>
      <c r="F85" s="248">
        <f>[14]Intermediate!P89</f>
        <v>0</v>
      </c>
      <c r="G85" s="247">
        <f>G84+(G88-G76)/12</f>
        <v>2314.1249999999986</v>
      </c>
      <c r="H85" s="252">
        <v>137.68719399045199</v>
      </c>
      <c r="I85" s="246">
        <v>352</v>
      </c>
      <c r="J85" s="247">
        <v>1</v>
      </c>
      <c r="K85" s="247">
        <f t="shared" si="4"/>
        <v>2380055.4745878968</v>
      </c>
      <c r="L85" s="210">
        <f t="shared" si="5"/>
        <v>109255.47458789684</v>
      </c>
      <c r="M85" s="212">
        <f t="shared" si="6"/>
        <v>4.8113208819753762E-2</v>
      </c>
    </row>
    <row r="86" spans="1:30" s="35" customFormat="1" x14ac:dyDescent="0.2">
      <c r="A86" s="244">
        <v>39904</v>
      </c>
      <c r="B86" s="245">
        <f>'[13]Data Input'!B164</f>
        <v>2176770</v>
      </c>
      <c r="C86" s="251">
        <f>'Weather Analysis'!T11</f>
        <v>451.1</v>
      </c>
      <c r="D86" s="251">
        <f>'Weather Analysis'!T31</f>
        <v>0</v>
      </c>
      <c r="E86" s="247">
        <v>30</v>
      </c>
      <c r="F86" s="248">
        <f>[14]Intermediate!P90</f>
        <v>0</v>
      </c>
      <c r="G86" s="247">
        <f>G85+(G88-G76)/12</f>
        <v>2314.4166666666652</v>
      </c>
      <c r="H86" s="252">
        <v>137.31453031028698</v>
      </c>
      <c r="I86" s="246">
        <v>320</v>
      </c>
      <c r="J86" s="247">
        <v>1</v>
      </c>
      <c r="K86" s="247">
        <f t="shared" si="4"/>
        <v>2048295.8400280513</v>
      </c>
      <c r="L86" s="210">
        <f t="shared" si="5"/>
        <v>-128474.15997194871</v>
      </c>
      <c r="M86" s="212">
        <f t="shared" si="6"/>
        <v>5.9020548781887248E-2</v>
      </c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x14ac:dyDescent="0.2">
      <c r="A87" s="244">
        <v>39934</v>
      </c>
      <c r="B87" s="245">
        <f>'[13]Data Input'!B165</f>
        <v>2177130.7692307695</v>
      </c>
      <c r="C87" s="251">
        <f>'Weather Analysis'!T12</f>
        <v>318.5</v>
      </c>
      <c r="D87" s="251">
        <f>'Weather Analysis'!T32</f>
        <v>0</v>
      </c>
      <c r="E87" s="247">
        <v>31</v>
      </c>
      <c r="F87" s="248">
        <f>[14]Intermediate!P91</f>
        <v>0</v>
      </c>
      <c r="G87" s="247">
        <f>G86+(G88-G76)/12</f>
        <v>2314.7083333333317</v>
      </c>
      <c r="H87" s="252">
        <v>136.94287528034204</v>
      </c>
      <c r="I87" s="246">
        <v>320</v>
      </c>
      <c r="J87" s="247">
        <v>1</v>
      </c>
      <c r="K87" s="247">
        <f t="shared" si="4"/>
        <v>2019717.445172946</v>
      </c>
      <c r="L87" s="210">
        <f t="shared" si="5"/>
        <v>-157413.32405782351</v>
      </c>
      <c r="M87" s="212">
        <f t="shared" si="6"/>
        <v>7.2303109341218516E-2</v>
      </c>
    </row>
    <row r="88" spans="1:30" x14ac:dyDescent="0.2">
      <c r="A88" s="244">
        <v>39965</v>
      </c>
      <c r="B88" s="245">
        <f>'[13]Data Input'!B166</f>
        <v>2055084.6153846155</v>
      </c>
      <c r="C88" s="251">
        <f>'Weather Analysis'!T13</f>
        <v>125.4</v>
      </c>
      <c r="D88" s="251">
        <f>'Weather Analysis'!T33</f>
        <v>16.7</v>
      </c>
      <c r="E88" s="247">
        <v>30</v>
      </c>
      <c r="F88" s="248">
        <f>[14]Intermediate!P92</f>
        <v>0</v>
      </c>
      <c r="G88" s="247">
        <f>'Rate Class Customer Model'!G9</f>
        <v>2315</v>
      </c>
      <c r="H88" s="252">
        <v>136.57222617060793</v>
      </c>
      <c r="I88" s="246">
        <v>352</v>
      </c>
      <c r="J88" s="247">
        <v>0</v>
      </c>
      <c r="K88" s="247">
        <f t="shared" si="4"/>
        <v>1818323.2302100426</v>
      </c>
      <c r="L88" s="210">
        <f t="shared" si="5"/>
        <v>-236761.38517457293</v>
      </c>
      <c r="M88" s="212">
        <f t="shared" si="6"/>
        <v>0.11520760916711077</v>
      </c>
    </row>
    <row r="89" spans="1:30" x14ac:dyDescent="0.2">
      <c r="A89" s="244">
        <v>39995</v>
      </c>
      <c r="B89" s="245">
        <f>'[13]Data Input'!B167</f>
        <v>1699676.93</v>
      </c>
      <c r="C89" s="251">
        <f>'Weather Analysis'!T14</f>
        <v>90.9</v>
      </c>
      <c r="D89" s="251">
        <f>'Weather Analysis'!T34</f>
        <v>0.5</v>
      </c>
      <c r="E89" s="247">
        <v>31</v>
      </c>
      <c r="F89" s="248">
        <f>[14]Intermediate!P93</f>
        <v>0</v>
      </c>
      <c r="G89" s="247">
        <f>G88+(G100-G88)/12</f>
        <v>2314.3750000083332</v>
      </c>
      <c r="H89" s="252">
        <v>136.20258025846454</v>
      </c>
      <c r="I89" s="246">
        <v>352</v>
      </c>
      <c r="J89" s="247">
        <v>0</v>
      </c>
      <c r="K89" s="247">
        <f t="shared" si="4"/>
        <v>1811053.1267967187</v>
      </c>
      <c r="L89" s="210">
        <f t="shared" si="5"/>
        <v>111376.19679671875</v>
      </c>
      <c r="M89" s="212">
        <f t="shared" si="6"/>
        <v>6.5527862872574699E-2</v>
      </c>
    </row>
    <row r="90" spans="1:30" x14ac:dyDescent="0.2">
      <c r="A90" s="244">
        <v>40026</v>
      </c>
      <c r="B90" s="245">
        <f>'[13]Data Input'!B168</f>
        <v>1764407.7</v>
      </c>
      <c r="C90" s="251">
        <f>'Weather Analysis'!T15</f>
        <v>88.2</v>
      </c>
      <c r="D90" s="251">
        <f>'Weather Analysis'!T35</f>
        <v>22.4</v>
      </c>
      <c r="E90" s="247">
        <v>31</v>
      </c>
      <c r="F90" s="248">
        <f>[14]Intermediate!P94</f>
        <v>0</v>
      </c>
      <c r="G90" s="247">
        <f>G89+(G100-G88)/12</f>
        <v>2313.7500000166665</v>
      </c>
      <c r="H90" s="252">
        <v>135.83393482866074</v>
      </c>
      <c r="I90" s="246">
        <v>320</v>
      </c>
      <c r="J90" s="247">
        <v>0</v>
      </c>
      <c r="K90" s="247">
        <f t="shared" si="4"/>
        <v>1853052.8205933087</v>
      </c>
      <c r="L90" s="210">
        <f t="shared" si="5"/>
        <v>88645.120593308704</v>
      </c>
      <c r="M90" s="212">
        <f t="shared" si="6"/>
        <v>5.0240724178039299E-2</v>
      </c>
    </row>
    <row r="91" spans="1:30" x14ac:dyDescent="0.2">
      <c r="A91" s="244">
        <v>40057</v>
      </c>
      <c r="B91" s="245">
        <f>'[13]Data Input'!B169</f>
        <v>1670261.54</v>
      </c>
      <c r="C91" s="251">
        <f>'Weather Analysis'!T16</f>
        <v>81</v>
      </c>
      <c r="D91" s="251">
        <f>'Weather Analysis'!T36</f>
        <v>6.2</v>
      </c>
      <c r="E91" s="247">
        <v>30</v>
      </c>
      <c r="F91" s="248">
        <f>[14]Intermediate!P95</f>
        <v>0</v>
      </c>
      <c r="G91" s="247">
        <f>G90+(G100-G88)/12</f>
        <v>2313.1250000249997</v>
      </c>
      <c r="H91" s="252">
        <v>135.46628717329455</v>
      </c>
      <c r="I91" s="246">
        <v>336</v>
      </c>
      <c r="J91" s="247">
        <v>1</v>
      </c>
      <c r="K91" s="247">
        <f t="shared" si="4"/>
        <v>1692973.1686666496</v>
      </c>
      <c r="L91" s="210">
        <f t="shared" si="5"/>
        <v>22711.628666649573</v>
      </c>
      <c r="M91" s="212">
        <f t="shared" si="6"/>
        <v>1.3597648106445396E-2</v>
      </c>
    </row>
    <row r="92" spans="1:30" x14ac:dyDescent="0.2">
      <c r="A92" s="244">
        <v>40087</v>
      </c>
      <c r="B92" s="245">
        <f>'[13]Data Input'!B170</f>
        <v>2217469.23</v>
      </c>
      <c r="C92" s="251">
        <f>'Weather Analysis'!T17</f>
        <v>468.3</v>
      </c>
      <c r="D92" s="251">
        <f>'Weather Analysis'!T37</f>
        <v>0</v>
      </c>
      <c r="E92" s="247">
        <v>31</v>
      </c>
      <c r="F92" s="248">
        <f>[14]Intermediate!P96</f>
        <v>0</v>
      </c>
      <c r="G92" s="247">
        <f>G91+(G100-G88)/12</f>
        <v>2312.500000033333</v>
      </c>
      <c r="H92" s="252">
        <v>135.09963459179312</v>
      </c>
      <c r="I92" s="246">
        <v>336</v>
      </c>
      <c r="J92" s="247">
        <v>1</v>
      </c>
      <c r="K92" s="247">
        <f t="shared" si="4"/>
        <v>2045678.8522602832</v>
      </c>
      <c r="L92" s="210">
        <f t="shared" si="5"/>
        <v>-171790.37773971679</v>
      </c>
      <c r="M92" s="212">
        <f t="shared" si="6"/>
        <v>7.7471369350057134E-2</v>
      </c>
    </row>
    <row r="93" spans="1:30" x14ac:dyDescent="0.2">
      <c r="A93" s="244">
        <v>40118</v>
      </c>
      <c r="B93" s="245">
        <f>'[13]Data Input'!B171</f>
        <v>2015515.39</v>
      </c>
      <c r="C93" s="251">
        <f>'Weather Analysis'!T18</f>
        <v>507.2</v>
      </c>
      <c r="D93" s="251">
        <f>'Weather Analysis'!T38</f>
        <v>0</v>
      </c>
      <c r="E93" s="247">
        <v>30</v>
      </c>
      <c r="F93" s="248">
        <f>[14]Intermediate!P97</f>
        <v>0</v>
      </c>
      <c r="G93" s="247">
        <f>G92+(G100-G88)/12</f>
        <v>2311.8750000416662</v>
      </c>
      <c r="H93" s="252">
        <v>134.733974390893</v>
      </c>
      <c r="I93" s="246">
        <v>320</v>
      </c>
      <c r="J93" s="247">
        <v>1</v>
      </c>
      <c r="K93" s="247">
        <f t="shared" si="4"/>
        <v>1969197.1810862161</v>
      </c>
      <c r="L93" s="210">
        <f t="shared" si="5"/>
        <v>-46318.208913783776</v>
      </c>
      <c r="M93" s="212">
        <f t="shared" si="6"/>
        <v>2.2980826216258153E-2</v>
      </c>
    </row>
    <row r="94" spans="1:30" x14ac:dyDescent="0.2">
      <c r="A94" s="244">
        <v>40148</v>
      </c>
      <c r="B94" s="245">
        <f>'[13]Data Input'!B172</f>
        <v>2711415.39</v>
      </c>
      <c r="C94" s="251">
        <f>'Weather Analysis'!T19</f>
        <v>995.3</v>
      </c>
      <c r="D94" s="251">
        <f>'Weather Analysis'!T39</f>
        <v>0</v>
      </c>
      <c r="E94" s="247">
        <v>31</v>
      </c>
      <c r="F94" s="248">
        <f>[14]Intermediate!P98</f>
        <v>0</v>
      </c>
      <c r="G94" s="247">
        <f>G93+(G100-G88)/12</f>
        <v>2311.2500000499995</v>
      </c>
      <c r="H94" s="252">
        <v>134.36930388462019</v>
      </c>
      <c r="I94" s="246">
        <v>352</v>
      </c>
      <c r="J94" s="247">
        <v>0</v>
      </c>
      <c r="K94" s="247">
        <f t="shared" si="4"/>
        <v>2419123.0818981407</v>
      </c>
      <c r="L94" s="210">
        <f t="shared" si="5"/>
        <v>-292292.30810185941</v>
      </c>
      <c r="M94" s="212">
        <f t="shared" si="6"/>
        <v>0.1078006376964097</v>
      </c>
    </row>
    <row r="95" spans="1:30" x14ac:dyDescent="0.2">
      <c r="A95" s="244">
        <v>40179</v>
      </c>
      <c r="B95" s="245">
        <f>'[13]Data Input'!B173</f>
        <v>2584646.16</v>
      </c>
      <c r="C95" s="251">
        <f>'Weather Analysis'!U8</f>
        <v>988.6</v>
      </c>
      <c r="D95" s="251">
        <f>'Weather Analysis'!U28</f>
        <v>0</v>
      </c>
      <c r="E95" s="247">
        <v>31</v>
      </c>
      <c r="F95" s="248">
        <f>[14]Intermediate!P99</f>
        <v>0</v>
      </c>
      <c r="G95" s="247">
        <f>G94+(G100-G88)/12</f>
        <v>2310.6250000583327</v>
      </c>
      <c r="H95" s="252">
        <v>134.73334561620703</v>
      </c>
      <c r="I95" s="246">
        <v>320</v>
      </c>
      <c r="J95" s="247">
        <v>0</v>
      </c>
      <c r="K95" s="247">
        <f t="shared" si="4"/>
        <v>2422356.3430462256</v>
      </c>
      <c r="L95" s="210">
        <f t="shared" si="5"/>
        <v>-162289.81695377454</v>
      </c>
      <c r="M95" s="212">
        <f t="shared" si="6"/>
        <v>6.2789955339099313E-2</v>
      </c>
    </row>
    <row r="96" spans="1:30" x14ac:dyDescent="0.2">
      <c r="A96" s="244">
        <v>40210</v>
      </c>
      <c r="B96" s="245">
        <f>'[13]Data Input'!B174</f>
        <v>2225892.31</v>
      </c>
      <c r="C96" s="251">
        <f>'Weather Analysis'!U9</f>
        <v>856.1</v>
      </c>
      <c r="D96" s="251">
        <v>0</v>
      </c>
      <c r="E96" s="247">
        <v>28</v>
      </c>
      <c r="F96" s="248">
        <f>[14]Intermediate!P100</f>
        <v>0</v>
      </c>
      <c r="G96" s="247">
        <f>G95+(G100-G88)/12</f>
        <v>2310.000000066666</v>
      </c>
      <c r="H96" s="252">
        <v>135.09837363244745</v>
      </c>
      <c r="I96" s="246">
        <v>304</v>
      </c>
      <c r="J96" s="247">
        <v>0</v>
      </c>
      <c r="K96" s="247">
        <f t="shared" si="4"/>
        <v>2065598.1120332824</v>
      </c>
      <c r="L96" s="210">
        <f t="shared" si="5"/>
        <v>-160294.19796671765</v>
      </c>
      <c r="M96" s="212">
        <f t="shared" si="6"/>
        <v>7.2013456017877897E-2</v>
      </c>
    </row>
    <row r="97" spans="1:13" x14ac:dyDescent="0.2">
      <c r="A97" s="244">
        <v>40238</v>
      </c>
      <c r="B97" s="245">
        <f>'[13]Data Input'!B175</f>
        <v>2093200</v>
      </c>
      <c r="C97" s="251">
        <f>'Weather Analysis'!U10</f>
        <v>527.79999999999995</v>
      </c>
      <c r="D97" s="251">
        <v>0</v>
      </c>
      <c r="E97" s="247">
        <v>31</v>
      </c>
      <c r="F97" s="248">
        <f>[14]Intermediate!P101</f>
        <v>0</v>
      </c>
      <c r="G97" s="247">
        <f>G96+(G100-G88)/12</f>
        <v>2309.3750000749992</v>
      </c>
      <c r="H97" s="252">
        <v>135.46439060544563</v>
      </c>
      <c r="I97" s="246">
        <v>368</v>
      </c>
      <c r="J97" s="247">
        <v>1</v>
      </c>
      <c r="K97" s="247">
        <f t="shared" si="4"/>
        <v>2078264.3580629183</v>
      </c>
      <c r="L97" s="210">
        <f t="shared" si="5"/>
        <v>-14935.641937081702</v>
      </c>
      <c r="M97" s="212">
        <f t="shared" si="6"/>
        <v>7.1353152766490072E-3</v>
      </c>
    </row>
    <row r="98" spans="1:13" x14ac:dyDescent="0.2">
      <c r="A98" s="244">
        <v>40269</v>
      </c>
      <c r="B98" s="245">
        <f>'[13]Data Input'!B176</f>
        <v>1997884.62</v>
      </c>
      <c r="C98" s="251">
        <f>'Weather Analysis'!U11</f>
        <v>331.5</v>
      </c>
      <c r="D98" s="251">
        <v>0</v>
      </c>
      <c r="E98" s="247">
        <v>30</v>
      </c>
      <c r="F98" s="248">
        <f>[14]Intermediate!P102</f>
        <v>0</v>
      </c>
      <c r="G98" s="247">
        <f>G97+(G100-G88)/12</f>
        <v>2308.7500000833325</v>
      </c>
      <c r="H98" s="252">
        <v>135.83139921454512</v>
      </c>
      <c r="I98" s="246">
        <v>320</v>
      </c>
      <c r="J98" s="247">
        <v>1</v>
      </c>
      <c r="K98" s="247">
        <f t="shared" si="4"/>
        <v>1845861.2567875525</v>
      </c>
      <c r="L98" s="210">
        <f t="shared" si="5"/>
        <v>-152023.36321244761</v>
      </c>
      <c r="M98" s="212">
        <f t="shared" si="6"/>
        <v>7.6092163526664314E-2</v>
      </c>
    </row>
    <row r="99" spans="1:13" x14ac:dyDescent="0.2">
      <c r="A99" s="244">
        <v>40299</v>
      </c>
      <c r="B99" s="245">
        <f>'[13]Data Input'!B177</f>
        <v>1773769.23</v>
      </c>
      <c r="C99" s="251">
        <f>'Weather Analysis'!U12</f>
        <v>194.7</v>
      </c>
      <c r="D99" s="251">
        <v>0</v>
      </c>
      <c r="E99" s="247">
        <v>31</v>
      </c>
      <c r="F99" s="248">
        <f>[14]Intermediate!P103</f>
        <v>0</v>
      </c>
      <c r="G99" s="247">
        <f>G98+(G100-G88)/12</f>
        <v>2308.1250000916657</v>
      </c>
      <c r="H99" s="252">
        <v>136.19940214634852</v>
      </c>
      <c r="I99" s="246">
        <v>320</v>
      </c>
      <c r="J99" s="247">
        <v>1</v>
      </c>
      <c r="K99" s="247">
        <f t="shared" si="4"/>
        <v>1834417.914379647</v>
      </c>
      <c r="L99" s="210">
        <f t="shared" si="5"/>
        <v>60648.68437964702</v>
      </c>
      <c r="M99" s="212">
        <f t="shared" si="6"/>
        <v>3.4191981320843536E-2</v>
      </c>
    </row>
    <row r="100" spans="1:13" x14ac:dyDescent="0.2">
      <c r="A100" s="244">
        <v>40330</v>
      </c>
      <c r="B100" s="245">
        <f>'[13]Data Input'!B178</f>
        <v>1674623.08</v>
      </c>
      <c r="C100" s="251">
        <f>'Weather Analysis'!U13</f>
        <v>98.7</v>
      </c>
      <c r="D100" s="251">
        <v>0</v>
      </c>
      <c r="E100" s="247">
        <v>30</v>
      </c>
      <c r="F100" s="248">
        <f>[14]Intermediate!P104</f>
        <v>0</v>
      </c>
      <c r="G100" s="247">
        <f>'Rate Class Customer Model'!G10</f>
        <v>2307.5000000999999</v>
      </c>
      <c r="H100" s="252">
        <v>136.56840209473719</v>
      </c>
      <c r="I100" s="246">
        <v>352</v>
      </c>
      <c r="J100" s="247">
        <v>0</v>
      </c>
      <c r="K100" s="247">
        <f t="shared" si="4"/>
        <v>1680707.5125776585</v>
      </c>
      <c r="L100" s="210">
        <f t="shared" si="5"/>
        <v>6084.4325776584446</v>
      </c>
      <c r="M100" s="212">
        <f t="shared" si="6"/>
        <v>3.6333146546973687E-3</v>
      </c>
    </row>
    <row r="101" spans="1:13" x14ac:dyDescent="0.2">
      <c r="A101" s="244">
        <v>40360</v>
      </c>
      <c r="B101" s="245">
        <f>'[13]Data Input'!B179</f>
        <v>2021846.16</v>
      </c>
      <c r="C101" s="251">
        <f>'Weather Analysis'!U14</f>
        <v>5.5</v>
      </c>
      <c r="D101" s="251">
        <v>0</v>
      </c>
      <c r="E101" s="247">
        <v>31</v>
      </c>
      <c r="F101" s="248">
        <f>[14]Intermediate!P105</f>
        <v>0</v>
      </c>
      <c r="G101" s="247">
        <f>G100+(G112-G100)/12</f>
        <v>2306.3333334333333</v>
      </c>
      <c r="H101" s="252">
        <v>136.93840176089088</v>
      </c>
      <c r="I101" s="246">
        <v>336</v>
      </c>
      <c r="J101" s="247">
        <v>0</v>
      </c>
      <c r="K101" s="247">
        <f t="shared" si="4"/>
        <v>1698626.7556496337</v>
      </c>
      <c r="L101" s="210">
        <f t="shared" si="5"/>
        <v>-323219.40435036621</v>
      </c>
      <c r="M101" s="212">
        <f t="shared" si="6"/>
        <v>0.1598635003715447</v>
      </c>
    </row>
    <row r="102" spans="1:13" x14ac:dyDescent="0.2">
      <c r="A102" s="244">
        <v>40391</v>
      </c>
      <c r="B102" s="245">
        <f>'[13]Data Input'!B180</f>
        <v>1928284.62</v>
      </c>
      <c r="C102" s="251">
        <f>'Weather Analysis'!U15</f>
        <v>46.1</v>
      </c>
      <c r="D102" s="251">
        <v>0</v>
      </c>
      <c r="E102" s="247">
        <v>31</v>
      </c>
      <c r="F102" s="248">
        <f>[14]Intermediate!P106</f>
        <v>0</v>
      </c>
      <c r="G102" s="247">
        <f>G101+(G112-G100)/12</f>
        <v>2305.1666667666668</v>
      </c>
      <c r="H102" s="252">
        <v>137.30940385330757</v>
      </c>
      <c r="I102" s="246">
        <v>336</v>
      </c>
      <c r="J102" s="247">
        <v>0</v>
      </c>
      <c r="K102" s="247">
        <f t="shared" si="4"/>
        <v>1734315.2716555372</v>
      </c>
      <c r="L102" s="210">
        <f t="shared" si="5"/>
        <v>-193969.34834446292</v>
      </c>
      <c r="M102" s="212">
        <f t="shared" si="6"/>
        <v>0.10059165868597911</v>
      </c>
    </row>
    <row r="103" spans="1:13" x14ac:dyDescent="0.2">
      <c r="A103" s="244">
        <v>40422</v>
      </c>
      <c r="B103" s="245">
        <f>'[13]Data Input'!B181</f>
        <v>1824415.39</v>
      </c>
      <c r="C103" s="251">
        <f>'Weather Analysis'!U16</f>
        <v>256.3</v>
      </c>
      <c r="D103" s="251">
        <v>0</v>
      </c>
      <c r="E103" s="247">
        <v>30</v>
      </c>
      <c r="F103" s="248">
        <f>[14]Intermediate!P107</f>
        <v>0</v>
      </c>
      <c r="G103" s="247">
        <f>G102+(G112-G100)/12</f>
        <v>2304.0000001000003</v>
      </c>
      <c r="H103" s="252">
        <v>137.68141108782325</v>
      </c>
      <c r="I103" s="246">
        <v>336</v>
      </c>
      <c r="J103" s="247">
        <v>1</v>
      </c>
      <c r="K103" s="247">
        <f t="shared" si="4"/>
        <v>1815833.3100310741</v>
      </c>
      <c r="L103" s="210">
        <f t="shared" si="5"/>
        <v>-8582.0799689257983</v>
      </c>
      <c r="M103" s="212">
        <f t="shared" si="6"/>
        <v>4.7040164295729815E-3</v>
      </c>
    </row>
    <row r="104" spans="1:13" x14ac:dyDescent="0.2">
      <c r="A104" s="244">
        <v>40452</v>
      </c>
      <c r="B104" s="245">
        <f>'[13]Data Input'!B182</f>
        <v>1849823.08</v>
      </c>
      <c r="C104" s="251">
        <f>'Weather Analysis'!U17</f>
        <v>334.4</v>
      </c>
      <c r="D104" s="251">
        <v>0</v>
      </c>
      <c r="E104" s="247">
        <v>31</v>
      </c>
      <c r="F104" s="248">
        <f>[14]Intermediate!P108</f>
        <v>0</v>
      </c>
      <c r="G104" s="247">
        <f>G103+(G112-G100)/12</f>
        <v>2302.8333334333338</v>
      </c>
      <c r="H104" s="252">
        <v>138.0544261876318</v>
      </c>
      <c r="I104" s="246">
        <v>320</v>
      </c>
      <c r="J104" s="247">
        <v>1</v>
      </c>
      <c r="K104" s="247">
        <f t="shared" si="4"/>
        <v>1968134.9958514208</v>
      </c>
      <c r="L104" s="210">
        <f t="shared" si="5"/>
        <v>118311.91585142072</v>
      </c>
      <c r="M104" s="212">
        <f t="shared" si="6"/>
        <v>6.3958503453973942E-2</v>
      </c>
    </row>
    <row r="105" spans="1:13" x14ac:dyDescent="0.2">
      <c r="A105" s="244">
        <v>40483</v>
      </c>
      <c r="B105" s="245">
        <f>'[13]Data Input'!B183</f>
        <v>2235661.54</v>
      </c>
      <c r="C105" s="251">
        <f>'Weather Analysis'!U18</f>
        <v>585.20000000000005</v>
      </c>
      <c r="D105" s="251">
        <v>0</v>
      </c>
      <c r="E105" s="247">
        <v>30</v>
      </c>
      <c r="F105" s="248">
        <f>[14]Intermediate!P109</f>
        <v>0</v>
      </c>
      <c r="G105" s="247">
        <f>G104+(G112-G100)/12</f>
        <v>2301.6666667666673</v>
      </c>
      <c r="H105" s="252">
        <v>138.42845188330503</v>
      </c>
      <c r="I105" s="246">
        <v>336</v>
      </c>
      <c r="J105" s="247">
        <v>1</v>
      </c>
      <c r="K105" s="247">
        <f t="shared" si="4"/>
        <v>2081553.7525597308</v>
      </c>
      <c r="L105" s="210">
        <f t="shared" si="5"/>
        <v>-154107.78744026925</v>
      </c>
      <c r="M105" s="212">
        <f t="shared" si="6"/>
        <v>6.8931627029854101E-2</v>
      </c>
    </row>
    <row r="106" spans="1:13" x14ac:dyDescent="0.2">
      <c r="A106" s="244">
        <v>40513</v>
      </c>
      <c r="B106" s="245">
        <f>'[13]Data Input'!B184</f>
        <v>2498676.9300000002</v>
      </c>
      <c r="C106" s="251">
        <f>'Weather Analysis'!U19</f>
        <v>645.20000000000005</v>
      </c>
      <c r="D106" s="251">
        <v>0</v>
      </c>
      <c r="E106" s="247">
        <v>31</v>
      </c>
      <c r="F106" s="248">
        <f>[14]Intermediate!P110</f>
        <v>0</v>
      </c>
      <c r="G106" s="247">
        <f>G105+(G112-G100)/12</f>
        <v>2300.5000001000008</v>
      </c>
      <c r="H106" s="252">
        <v>138.80349091281266</v>
      </c>
      <c r="I106" s="246">
        <v>368</v>
      </c>
      <c r="J106" s="247">
        <v>0</v>
      </c>
      <c r="K106" s="247">
        <f t="shared" si="4"/>
        <v>2219747.1382865049</v>
      </c>
      <c r="L106" s="210">
        <f t="shared" si="5"/>
        <v>-278929.79171349527</v>
      </c>
      <c r="M106" s="212">
        <f t="shared" si="6"/>
        <v>0.11163099493358482</v>
      </c>
    </row>
    <row r="107" spans="1:13" x14ac:dyDescent="0.2">
      <c r="A107" s="244">
        <v>40544</v>
      </c>
      <c r="B107" s="245">
        <f>'[13]Data Input'!B185</f>
        <v>2610200</v>
      </c>
      <c r="C107" s="251">
        <f>'Weather Analysis'!V8</f>
        <v>1125.8</v>
      </c>
      <c r="D107" s="251">
        <f>'Weather Analysis'!V28</f>
        <v>0</v>
      </c>
      <c r="E107" s="253">
        <v>31</v>
      </c>
      <c r="F107" s="248">
        <f>[14]Intermediate!P111</f>
        <v>0</v>
      </c>
      <c r="G107" s="247">
        <f>G106+(G112-G100)/12</f>
        <v>2299.3333334333342</v>
      </c>
      <c r="H107" s="252">
        <v>139.10070640604135</v>
      </c>
      <c r="I107" s="246">
        <v>336</v>
      </c>
      <c r="J107" s="247">
        <v>0</v>
      </c>
      <c r="K107" s="247">
        <f t="shared" si="4"/>
        <v>2597445.8657341227</v>
      </c>
      <c r="L107" s="210">
        <f t="shared" si="5"/>
        <v>-12754.134265877306</v>
      </c>
      <c r="M107" s="212">
        <f t="shared" si="6"/>
        <v>4.8862670545848233E-3</v>
      </c>
    </row>
    <row r="108" spans="1:13" x14ac:dyDescent="0.2">
      <c r="A108" s="244">
        <v>40575</v>
      </c>
      <c r="B108" s="245">
        <f>'[13]Data Input'!B186</f>
        <v>2246461.54</v>
      </c>
      <c r="C108" s="251">
        <f>'Weather Analysis'!V9</f>
        <v>858.99999999999989</v>
      </c>
      <c r="D108" s="251">
        <f>'Weather Analysis'!V29</f>
        <v>0</v>
      </c>
      <c r="E108" s="253">
        <v>28</v>
      </c>
      <c r="F108" s="248">
        <f>[14]Intermediate!P112</f>
        <v>0</v>
      </c>
      <c r="G108" s="247">
        <f>G107+(G112-G100)/12</f>
        <v>2298.1666667666677</v>
      </c>
      <c r="H108" s="252">
        <v>139.39855831733732</v>
      </c>
      <c r="I108" s="246">
        <v>304</v>
      </c>
      <c r="J108" s="247">
        <v>0</v>
      </c>
      <c r="K108" s="247">
        <f t="shared" si="4"/>
        <v>2127927.6387634333</v>
      </c>
      <c r="L108" s="210">
        <f t="shared" si="5"/>
        <v>-118533.90123656671</v>
      </c>
      <c r="M108" s="212">
        <f t="shared" si="6"/>
        <v>5.2764714252159735E-2</v>
      </c>
    </row>
    <row r="109" spans="1:13" x14ac:dyDescent="0.2">
      <c r="A109" s="244">
        <v>40603</v>
      </c>
      <c r="B109" s="245">
        <f>'[13]Data Input'!B187</f>
        <v>2236546.15</v>
      </c>
      <c r="C109" s="251">
        <f>'Weather Analysis'!V10</f>
        <v>760.4</v>
      </c>
      <c r="D109" s="251">
        <f>'Weather Analysis'!V30</f>
        <v>0</v>
      </c>
      <c r="E109" s="253">
        <v>31</v>
      </c>
      <c r="F109" s="248">
        <f>[14]Intermediate!P113</f>
        <v>0</v>
      </c>
      <c r="G109" s="247">
        <f>G108+(G112-G100)/12</f>
        <v>2297.0000001000012</v>
      </c>
      <c r="H109" s="252">
        <v>139.69704800944226</v>
      </c>
      <c r="I109" s="246">
        <v>368</v>
      </c>
      <c r="J109" s="247">
        <v>1</v>
      </c>
      <c r="K109" s="247">
        <f t="shared" si="4"/>
        <v>2313124.5205047866</v>
      </c>
      <c r="L109" s="210">
        <f t="shared" si="5"/>
        <v>76578.370504786726</v>
      </c>
      <c r="M109" s="212">
        <f t="shared" si="6"/>
        <v>3.4239566442564456E-2</v>
      </c>
    </row>
    <row r="110" spans="1:13" x14ac:dyDescent="0.2">
      <c r="A110" s="244">
        <v>40634</v>
      </c>
      <c r="B110" s="245">
        <f>'[13]Data Input'!B188</f>
        <v>2047023</v>
      </c>
      <c r="C110" s="251">
        <f>'Weather Analysis'!V11</f>
        <v>438.2</v>
      </c>
      <c r="D110" s="251">
        <f>'Weather Analysis'!V31</f>
        <v>0</v>
      </c>
      <c r="E110" s="253">
        <v>30</v>
      </c>
      <c r="F110" s="248">
        <f>[14]Intermediate!P114</f>
        <v>0</v>
      </c>
      <c r="G110" s="247">
        <f>G109+(G112-G100)/12</f>
        <v>2295.8333334333347</v>
      </c>
      <c r="H110" s="252">
        <v>139.99617684801592</v>
      </c>
      <c r="I110" s="246">
        <v>320</v>
      </c>
      <c r="J110" s="247">
        <v>1</v>
      </c>
      <c r="K110" s="247">
        <f t="shared" si="4"/>
        <v>1974518.0640566899</v>
      </c>
      <c r="L110" s="210">
        <f t="shared" si="5"/>
        <v>-72504.935943310149</v>
      </c>
      <c r="M110" s="212">
        <f t="shared" si="6"/>
        <v>3.5419697748051752E-2</v>
      </c>
    </row>
    <row r="111" spans="1:13" x14ac:dyDescent="0.2">
      <c r="A111" s="244">
        <v>40664</v>
      </c>
      <c r="B111" s="245">
        <f>'[13]Data Input'!B189</f>
        <v>2007630.77</v>
      </c>
      <c r="C111" s="251">
        <f>'Weather Analysis'!V12</f>
        <v>198.20000000000002</v>
      </c>
      <c r="D111" s="251">
        <f>'Weather Analysis'!V32</f>
        <v>0</v>
      </c>
      <c r="E111" s="247">
        <v>31</v>
      </c>
      <c r="F111" s="248">
        <v>0</v>
      </c>
      <c r="G111" s="247">
        <f>G110+(G112-G100)/12</f>
        <v>2294.6666667666682</v>
      </c>
      <c r="H111" s="252">
        <v>140.29594620164227</v>
      </c>
      <c r="I111" s="254">
        <v>336</v>
      </c>
      <c r="J111" s="247">
        <v>1</v>
      </c>
      <c r="K111" s="247">
        <f t="shared" si="4"/>
        <v>1874649.9640118992</v>
      </c>
      <c r="L111" s="210">
        <f t="shared" si="5"/>
        <v>-132980.80598810082</v>
      </c>
      <c r="M111" s="212">
        <f t="shared" si="6"/>
        <v>6.6237680740518251E-2</v>
      </c>
    </row>
    <row r="112" spans="1:13" x14ac:dyDescent="0.2">
      <c r="A112" s="244">
        <v>40695</v>
      </c>
      <c r="B112" s="245">
        <f>'[13]Data Input'!B190</f>
        <v>1668007.69</v>
      </c>
      <c r="C112" s="251">
        <f>'Weather Analysis'!V13</f>
        <v>128</v>
      </c>
      <c r="D112" s="251">
        <f>'Weather Analysis'!V33</f>
        <v>0</v>
      </c>
      <c r="E112" s="247">
        <v>30</v>
      </c>
      <c r="F112" s="248">
        <v>0</v>
      </c>
      <c r="G112" s="247">
        <f>'Rate Class Customer Model'!G11</f>
        <v>2293.5000000999999</v>
      </c>
      <c r="H112" s="252">
        <v>140.59635744183578</v>
      </c>
      <c r="I112" s="254">
        <v>352</v>
      </c>
      <c r="J112" s="247">
        <v>0</v>
      </c>
      <c r="K112" s="247">
        <f t="shared" si="4"/>
        <v>1733611.59976862</v>
      </c>
      <c r="L112" s="210">
        <f t="shared" si="5"/>
        <v>65603.90976862004</v>
      </c>
      <c r="M112" s="212">
        <f t="shared" si="6"/>
        <v>3.9330699829459442E-2</v>
      </c>
    </row>
    <row r="113" spans="1:13" x14ac:dyDescent="0.2">
      <c r="A113" s="244">
        <v>40725</v>
      </c>
      <c r="B113" s="245">
        <f>'[13]Data Input'!B191</f>
        <v>1910576.92</v>
      </c>
      <c r="C113" s="251">
        <f>'Weather Analysis'!V14</f>
        <v>31.6</v>
      </c>
      <c r="D113" s="251">
        <f>'Weather Analysis'!V34</f>
        <v>60.599999999999994</v>
      </c>
      <c r="E113" s="247">
        <v>31</v>
      </c>
      <c r="F113" s="248">
        <v>0</v>
      </c>
      <c r="G113" s="247">
        <f>G112+(G124-G112)/12</f>
        <v>2293.9166667666664</v>
      </c>
      <c r="H113" s="252">
        <v>140.89741194304773</v>
      </c>
      <c r="I113" s="254">
        <v>320</v>
      </c>
      <c r="J113" s="247">
        <v>0</v>
      </c>
      <c r="K113" s="247">
        <f t="shared" si="4"/>
        <v>1937902.0422629341</v>
      </c>
      <c r="L113" s="210">
        <f t="shared" si="5"/>
        <v>27325.122262934223</v>
      </c>
      <c r="M113" s="212">
        <f t="shared" si="6"/>
        <v>1.4302026773637684E-2</v>
      </c>
    </row>
    <row r="114" spans="1:13" x14ac:dyDescent="0.2">
      <c r="A114" s="244">
        <v>40756</v>
      </c>
      <c r="B114" s="245">
        <f>'[13]Data Input'!B192</f>
        <v>2013784.61</v>
      </c>
      <c r="C114" s="251">
        <f>'Weather Analysis'!V15</f>
        <v>23.6</v>
      </c>
      <c r="D114" s="251">
        <f>'Weather Analysis'!V35</f>
        <v>32.500000000000014</v>
      </c>
      <c r="E114" s="247">
        <v>31</v>
      </c>
      <c r="F114" s="248">
        <v>0</v>
      </c>
      <c r="G114" s="247">
        <f>G113+(G124-G112)/12</f>
        <v>2294.3333334333329</v>
      </c>
      <c r="H114" s="252">
        <v>141.19911108267243</v>
      </c>
      <c r="I114" s="254">
        <v>352</v>
      </c>
      <c r="J114" s="247">
        <v>0</v>
      </c>
      <c r="K114" s="247">
        <f t="shared" si="4"/>
        <v>1864901.7632473586</v>
      </c>
      <c r="L114" s="210">
        <f t="shared" si="5"/>
        <v>-148882.84675264149</v>
      </c>
      <c r="M114" s="212">
        <f t="shared" si="6"/>
        <v>7.393186243122668E-2</v>
      </c>
    </row>
    <row r="115" spans="1:13" x14ac:dyDescent="0.2">
      <c r="A115" s="244">
        <v>40787</v>
      </c>
      <c r="B115" s="245">
        <f>'[13]Data Input'!B193</f>
        <v>1643661.54</v>
      </c>
      <c r="C115" s="251">
        <f>'Weather Analysis'!V16</f>
        <v>176.29999999999995</v>
      </c>
      <c r="D115" s="251">
        <f>'Weather Analysis'!V36</f>
        <v>8.8000000000000007</v>
      </c>
      <c r="E115" s="247">
        <v>30</v>
      </c>
      <c r="F115" s="248">
        <v>0</v>
      </c>
      <c r="G115" s="247">
        <f>G114+(G124-G112)/12</f>
        <v>2294.7500000999994</v>
      </c>
      <c r="H115" s="252">
        <v>141.50145624105357</v>
      </c>
      <c r="I115" s="254">
        <v>336</v>
      </c>
      <c r="J115" s="247">
        <v>1</v>
      </c>
      <c r="K115" s="247">
        <f t="shared" si="4"/>
        <v>1843611.918501419</v>
      </c>
      <c r="L115" s="210">
        <f t="shared" si="5"/>
        <v>199950.37850141898</v>
      </c>
      <c r="M115" s="212">
        <f t="shared" si="6"/>
        <v>0.12164936249674552</v>
      </c>
    </row>
    <row r="116" spans="1:13" x14ac:dyDescent="0.2">
      <c r="A116" s="244">
        <v>40817</v>
      </c>
      <c r="B116" s="245">
        <f>'[13]Data Input'!B194</f>
        <v>1987346.15</v>
      </c>
      <c r="C116" s="251">
        <f>'Weather Analysis'!V17</f>
        <v>353.1</v>
      </c>
      <c r="D116" s="251">
        <f>'Weather Analysis'!V37</f>
        <v>5.3</v>
      </c>
      <c r="E116" s="247">
        <v>31</v>
      </c>
      <c r="F116" s="248">
        <v>0</v>
      </c>
      <c r="G116" s="247">
        <f>G115+(G124-G112)/12</f>
        <v>2295.1666667666659</v>
      </c>
      <c r="H116" s="252">
        <v>141.80444880149057</v>
      </c>
      <c r="I116" s="254">
        <v>320</v>
      </c>
      <c r="J116" s="247">
        <v>1</v>
      </c>
      <c r="K116" s="247">
        <f t="shared" si="4"/>
        <v>2074609.9275904866</v>
      </c>
      <c r="L116" s="210">
        <f t="shared" si="5"/>
        <v>87263.777590486687</v>
      </c>
      <c r="M116" s="212">
        <f t="shared" si="6"/>
        <v>4.3909702187757624E-2</v>
      </c>
    </row>
    <row r="117" spans="1:13" x14ac:dyDescent="0.2">
      <c r="A117" s="244">
        <v>40848</v>
      </c>
      <c r="B117" s="245">
        <f>'[13]Data Input'!B195</f>
        <v>2020453.85</v>
      </c>
      <c r="C117" s="251">
        <f>'Weather Analysis'!V18</f>
        <v>566</v>
      </c>
      <c r="D117" s="251">
        <f>'Weather Analysis'!V38</f>
        <v>0</v>
      </c>
      <c r="E117" s="247">
        <v>30</v>
      </c>
      <c r="F117" s="248">
        <v>0</v>
      </c>
      <c r="G117" s="247">
        <f>G116+(G124-G112)/12</f>
        <v>2295.5833334333324</v>
      </c>
      <c r="H117" s="252">
        <v>142.10809015024478</v>
      </c>
      <c r="I117" s="254">
        <v>352</v>
      </c>
      <c r="J117" s="247">
        <v>1</v>
      </c>
      <c r="K117" s="247">
        <f t="shared" si="4"/>
        <v>2154378.2083881134</v>
      </c>
      <c r="L117" s="210">
        <f t="shared" si="5"/>
        <v>133924.35838811332</v>
      </c>
      <c r="M117" s="212">
        <f t="shared" si="6"/>
        <v>6.6284294683649075E-2</v>
      </c>
    </row>
    <row r="118" spans="1:13" x14ac:dyDescent="0.2">
      <c r="A118" s="244">
        <v>40878</v>
      </c>
      <c r="B118" s="245">
        <f>'[13]Data Input'!B196</f>
        <v>2350123.0699999998</v>
      </c>
      <c r="C118" s="251">
        <f>'Weather Analysis'!V19</f>
        <v>776.49999999999989</v>
      </c>
      <c r="D118" s="251">
        <f>'Weather Analysis'!V39</f>
        <v>0</v>
      </c>
      <c r="E118" s="247">
        <v>31</v>
      </c>
      <c r="F118" s="248">
        <v>0</v>
      </c>
      <c r="G118" s="247">
        <f>G117+(G124-G112)/12</f>
        <v>2296.0000000999989</v>
      </c>
      <c r="H118" s="252">
        <v>142.41238167654581</v>
      </c>
      <c r="I118" s="254">
        <v>336</v>
      </c>
      <c r="J118" s="247">
        <v>0</v>
      </c>
      <c r="K118" s="247">
        <f t="shared" si="4"/>
        <v>2422078.8287295466</v>
      </c>
      <c r="L118" s="210">
        <f t="shared" si="5"/>
        <v>71955.758729546797</v>
      </c>
      <c r="M118" s="212">
        <f t="shared" si="6"/>
        <v>3.0617868335527976E-2</v>
      </c>
    </row>
    <row r="119" spans="1:13" x14ac:dyDescent="0.2">
      <c r="A119" s="244">
        <v>40909</v>
      </c>
      <c r="B119" s="245">
        <f>'[13]Data Input'!B197</f>
        <v>2406961.54</v>
      </c>
      <c r="C119" s="251">
        <f>'Weather Analysis'!W8</f>
        <v>622.4</v>
      </c>
      <c r="D119" s="251">
        <f>(D11+D23+D35+D47+D59+D71+D83+D95+D107)/9</f>
        <v>0</v>
      </c>
      <c r="E119" s="247">
        <v>31</v>
      </c>
      <c r="F119" s="248">
        <v>0</v>
      </c>
      <c r="G119" s="247">
        <f>G118+(G124-G112)/12</f>
        <v>2296.4166667666655</v>
      </c>
      <c r="H119" s="252">
        <v>142.61257743956915</v>
      </c>
      <c r="I119" s="254">
        <v>336</v>
      </c>
      <c r="J119" s="247">
        <v>0</v>
      </c>
      <c r="K119" s="247">
        <f t="shared" si="4"/>
        <v>2312823.3336460562</v>
      </c>
      <c r="L119" s="210">
        <f t="shared" si="5"/>
        <v>-94138.206353943795</v>
      </c>
      <c r="M119" s="212">
        <f t="shared" si="6"/>
        <v>3.9110806213357191E-2</v>
      </c>
    </row>
    <row r="120" spans="1:13" x14ac:dyDescent="0.2">
      <c r="A120" s="244">
        <v>40940</v>
      </c>
      <c r="B120" s="245">
        <f>'[13]Data Input'!B198</f>
        <v>2113376.92</v>
      </c>
      <c r="C120" s="251">
        <f>'Weather Analysis'!W9</f>
        <v>759.70000000000027</v>
      </c>
      <c r="D120" s="251">
        <f>(D12+D24+D36+D48+D60+D72+D84+D96+D108)/9</f>
        <v>0</v>
      </c>
      <c r="E120" s="247">
        <v>29</v>
      </c>
      <c r="F120" s="248">
        <v>0</v>
      </c>
      <c r="G120" s="247">
        <f>G119+(G124-G112)/12</f>
        <v>2296.833333433332</v>
      </c>
      <c r="H120" s="252">
        <v>142.81305462716429</v>
      </c>
      <c r="I120" s="254">
        <v>320</v>
      </c>
      <c r="J120" s="247">
        <v>0</v>
      </c>
      <c r="K120" s="247">
        <f t="shared" si="4"/>
        <v>2257694.0211595893</v>
      </c>
      <c r="L120" s="210">
        <f t="shared" si="5"/>
        <v>144317.10115958937</v>
      </c>
      <c r="M120" s="212">
        <f t="shared" si="6"/>
        <v>6.8287440727605453E-2</v>
      </c>
    </row>
    <row r="121" spans="1:13" x14ac:dyDescent="0.2">
      <c r="A121" s="244">
        <v>40969</v>
      </c>
      <c r="B121" s="245">
        <f>'[13]Data Input'!B199</f>
        <v>2195146.15</v>
      </c>
      <c r="C121" s="251">
        <f>'Weather Analysis'!W10</f>
        <v>497.09999999999985</v>
      </c>
      <c r="D121" s="251">
        <f>(D13+D25+D37+D49+D61+D73+D85+D97+D109)/9</f>
        <v>0</v>
      </c>
      <c r="E121" s="247">
        <v>31</v>
      </c>
      <c r="F121" s="248">
        <v>0</v>
      </c>
      <c r="G121" s="247">
        <f>G120+(G124-G112)/12</f>
        <v>2297.2500000999985</v>
      </c>
      <c r="H121" s="252">
        <v>143.01381363494295</v>
      </c>
      <c r="I121" s="254">
        <v>352</v>
      </c>
      <c r="J121" s="247">
        <v>1</v>
      </c>
      <c r="K121" s="247">
        <f t="shared" si="4"/>
        <v>2237702.6699512647</v>
      </c>
      <c r="L121" s="210">
        <f t="shared" si="5"/>
        <v>42556.51995126484</v>
      </c>
      <c r="M121" s="212">
        <f t="shared" si="6"/>
        <v>1.9386645372685023E-2</v>
      </c>
    </row>
    <row r="122" spans="1:13" x14ac:dyDescent="0.2">
      <c r="A122" s="244">
        <v>41000</v>
      </c>
      <c r="B122" s="245">
        <f>'[13]Data Input'!B200</f>
        <v>2132323.08</v>
      </c>
      <c r="C122" s="251">
        <f>'Weather Analysis'!W11</f>
        <v>434.7999999999999</v>
      </c>
      <c r="D122" s="251">
        <f>(D14+D26+D38+D50+D62+D74+D86+D98+D110)/9</f>
        <v>0</v>
      </c>
      <c r="E122" s="247">
        <v>30</v>
      </c>
      <c r="F122" s="248">
        <v>0</v>
      </c>
      <c r="G122" s="247">
        <f>G121+(G124-G112)/12</f>
        <v>2297.666666766665</v>
      </c>
      <c r="H122" s="252">
        <v>143.21485485907297</v>
      </c>
      <c r="I122" s="254">
        <v>320</v>
      </c>
      <c r="J122" s="247">
        <v>1</v>
      </c>
      <c r="K122" s="247">
        <f t="shared" si="4"/>
        <v>2113290.6351633854</v>
      </c>
      <c r="L122" s="210">
        <f t="shared" si="5"/>
        <v>-19032.444836614653</v>
      </c>
      <c r="M122" s="212">
        <f t="shared" si="6"/>
        <v>8.925685331237259E-3</v>
      </c>
    </row>
    <row r="123" spans="1:13" x14ac:dyDescent="0.2">
      <c r="A123" s="244">
        <v>41030</v>
      </c>
      <c r="B123" s="245">
        <v>1694372.73</v>
      </c>
      <c r="C123" s="251">
        <f>'Weather Analysis'!W12</f>
        <v>199.29999999999998</v>
      </c>
      <c r="D123" s="251">
        <f>D111</f>
        <v>0</v>
      </c>
      <c r="E123" s="247">
        <v>31</v>
      </c>
      <c r="F123" s="248">
        <v>0</v>
      </c>
      <c r="G123" s="247">
        <f>G122+(G124-G112)/12</f>
        <v>2298.0833334333315</v>
      </c>
      <c r="H123" s="252">
        <v>143.41617869627913</v>
      </c>
      <c r="I123" s="254">
        <v>352</v>
      </c>
      <c r="J123" s="247">
        <v>1</v>
      </c>
      <c r="K123" s="247">
        <f t="shared" si="4"/>
        <v>2027419.807124679</v>
      </c>
      <c r="L123" s="210">
        <f t="shared" si="5"/>
        <v>333047.077124679</v>
      </c>
      <c r="M123" s="212">
        <f t="shared" si="6"/>
        <v>0.19656069247802341</v>
      </c>
    </row>
    <row r="124" spans="1:13" x14ac:dyDescent="0.2">
      <c r="A124" s="244">
        <v>41061</v>
      </c>
      <c r="B124" s="245">
        <v>1942718.18</v>
      </c>
      <c r="C124" s="251">
        <f>'Weather Analysis'!W13</f>
        <v>42.2</v>
      </c>
      <c r="D124" s="251">
        <f t="shared" ref="D124:D130" si="7">D112</f>
        <v>0</v>
      </c>
      <c r="E124" s="247">
        <v>30</v>
      </c>
      <c r="F124" s="248">
        <v>0</v>
      </c>
      <c r="G124" s="247">
        <f>'Rate Class Customer Model'!G12</f>
        <v>2298.5000000999999</v>
      </c>
      <c r="H124" s="252">
        <v>143.61778554384387</v>
      </c>
      <c r="I124" s="254">
        <v>336</v>
      </c>
      <c r="J124" s="247">
        <v>0</v>
      </c>
      <c r="K124" s="247">
        <f t="shared" si="4"/>
        <v>1828725.2041115779</v>
      </c>
      <c r="L124" s="210">
        <f t="shared" si="5"/>
        <v>-113992.97588842199</v>
      </c>
      <c r="M124" s="212">
        <f t="shared" si="6"/>
        <v>5.8677052112840161E-2</v>
      </c>
    </row>
    <row r="125" spans="1:13" x14ac:dyDescent="0.2">
      <c r="A125" s="244">
        <v>41091</v>
      </c>
      <c r="B125" s="245">
        <v>1954472.73</v>
      </c>
      <c r="C125" s="251">
        <f>'Weather Analysis'!W14</f>
        <v>1.4</v>
      </c>
      <c r="D125" s="251">
        <f t="shared" si="7"/>
        <v>60.599999999999994</v>
      </c>
      <c r="E125" s="247">
        <v>31</v>
      </c>
      <c r="F125" s="248">
        <v>0</v>
      </c>
      <c r="G125" s="247">
        <f>G124+(G136-G124)/12</f>
        <v>2298.6250000999999</v>
      </c>
      <c r="H125" s="252">
        <v>143.81967579960809</v>
      </c>
      <c r="I125" s="254">
        <v>336</v>
      </c>
      <c r="J125" s="247">
        <v>0</v>
      </c>
      <c r="K125" s="247">
        <f t="shared" si="4"/>
        <v>2070114.9412913574</v>
      </c>
      <c r="L125" s="210">
        <f t="shared" si="5"/>
        <v>115642.21129135741</v>
      </c>
      <c r="M125" s="212">
        <f t="shared" si="6"/>
        <v>5.9167984038005696E-2</v>
      </c>
    </row>
    <row r="126" spans="1:13" x14ac:dyDescent="0.2">
      <c r="A126" s="244">
        <v>41122</v>
      </c>
      <c r="B126" s="245">
        <v>1843390.91</v>
      </c>
      <c r="C126" s="251">
        <f>'Weather Analysis'!W15</f>
        <v>45.099999999999994</v>
      </c>
      <c r="D126" s="251">
        <f t="shared" si="7"/>
        <v>32.500000000000014</v>
      </c>
      <c r="E126" s="247">
        <v>31</v>
      </c>
      <c r="F126" s="248">
        <v>0</v>
      </c>
      <c r="G126" s="247">
        <f>G125+(G136-G124)/12</f>
        <v>2298.7500000999999</v>
      </c>
      <c r="H126" s="252">
        <v>144.02184986197204</v>
      </c>
      <c r="I126" s="254">
        <v>352</v>
      </c>
      <c r="J126" s="247">
        <v>0</v>
      </c>
      <c r="K126" s="247">
        <f t="shared" si="4"/>
        <v>2031143.1246303506</v>
      </c>
      <c r="L126" s="210">
        <f t="shared" si="5"/>
        <v>187752.2146303507</v>
      </c>
      <c r="M126" s="212">
        <f t="shared" si="6"/>
        <v>0.10185154630623122</v>
      </c>
    </row>
    <row r="127" spans="1:13" x14ac:dyDescent="0.2">
      <c r="A127" s="244">
        <v>41153</v>
      </c>
      <c r="B127" s="245">
        <v>1568672.73</v>
      </c>
      <c r="C127" s="251">
        <f>'Weather Analysis'!W16</f>
        <v>210.2</v>
      </c>
      <c r="D127" s="251">
        <f t="shared" si="7"/>
        <v>8.8000000000000007</v>
      </c>
      <c r="E127" s="247">
        <v>30</v>
      </c>
      <c r="F127" s="248">
        <v>0</v>
      </c>
      <c r="G127" s="247">
        <f>G126+(G136-G124)/12</f>
        <v>2298.8750000999999</v>
      </c>
      <c r="H127" s="252">
        <v>144.22430812989595</v>
      </c>
      <c r="I127" s="254">
        <v>304</v>
      </c>
      <c r="J127" s="247">
        <v>1</v>
      </c>
      <c r="K127" s="247">
        <f t="shared" si="4"/>
        <v>2013064.2489352413</v>
      </c>
      <c r="L127" s="210">
        <f t="shared" si="5"/>
        <v>444391.51893524127</v>
      </c>
      <c r="M127" s="212">
        <f t="shared" si="6"/>
        <v>0.28329141600825897</v>
      </c>
    </row>
    <row r="128" spans="1:13" x14ac:dyDescent="0.2">
      <c r="A128" s="244">
        <v>41183</v>
      </c>
      <c r="B128" s="245">
        <v>1976963.64</v>
      </c>
      <c r="C128" s="251">
        <f>'Weather Analysis'!W17</f>
        <v>423.09999999999991</v>
      </c>
      <c r="D128" s="251">
        <f t="shared" si="7"/>
        <v>5.3</v>
      </c>
      <c r="E128" s="247">
        <v>31</v>
      </c>
      <c r="F128" s="248">
        <v>0</v>
      </c>
      <c r="G128" s="247">
        <f>G127+(G136-G124)/12</f>
        <v>2299.0000000999999</v>
      </c>
      <c r="H128" s="252">
        <v>144.42705100290087</v>
      </c>
      <c r="I128" s="254">
        <v>352</v>
      </c>
      <c r="J128" s="247">
        <v>1</v>
      </c>
      <c r="K128" s="247">
        <f t="shared" si="4"/>
        <v>2265835.2787138661</v>
      </c>
      <c r="L128" s="210">
        <f t="shared" si="5"/>
        <v>288871.63871386624</v>
      </c>
      <c r="M128" s="212">
        <f t="shared" si="6"/>
        <v>0.14611884248607943</v>
      </c>
    </row>
    <row r="129" spans="1:13" x14ac:dyDescent="0.2">
      <c r="A129" s="244">
        <v>41214</v>
      </c>
      <c r="B129" s="245">
        <v>2066772.73</v>
      </c>
      <c r="C129" s="251">
        <f>'Weather Analysis'!W18</f>
        <v>643.69999999999993</v>
      </c>
      <c r="D129" s="251">
        <f t="shared" si="7"/>
        <v>0</v>
      </c>
      <c r="E129" s="247">
        <v>30</v>
      </c>
      <c r="F129" s="248">
        <v>0</v>
      </c>
      <c r="G129" s="247">
        <f>G128+(G136-G124)/12</f>
        <v>2299.1250000999999</v>
      </c>
      <c r="H129" s="252">
        <v>144.63007888106955</v>
      </c>
      <c r="I129" s="254">
        <v>352</v>
      </c>
      <c r="J129" s="247">
        <v>1</v>
      </c>
      <c r="K129" s="247">
        <f t="shared" si="4"/>
        <v>2345102.4621408582</v>
      </c>
      <c r="L129" s="210">
        <f t="shared" si="5"/>
        <v>278329.73214085819</v>
      </c>
      <c r="M129" s="212">
        <f t="shared" si="6"/>
        <v>0.13466876551098012</v>
      </c>
    </row>
    <row r="130" spans="1:13" x14ac:dyDescent="0.2">
      <c r="A130" s="244">
        <v>41244</v>
      </c>
      <c r="B130" s="245">
        <v>2392972.73</v>
      </c>
      <c r="C130" s="251">
        <f>'Weather Analysis'!W19</f>
        <v>897.5</v>
      </c>
      <c r="D130" s="251">
        <f t="shared" si="7"/>
        <v>0</v>
      </c>
      <c r="E130" s="247">
        <v>31</v>
      </c>
      <c r="F130" s="248">
        <f>Intermediate!P134</f>
        <v>0</v>
      </c>
      <c r="G130" s="247">
        <f>G129+(G136-G124)/12</f>
        <v>2299.2500000999999</v>
      </c>
      <c r="H130" s="252">
        <v>144.83339216504706</v>
      </c>
      <c r="I130" s="254">
        <v>304</v>
      </c>
      <c r="J130" s="247">
        <v>0</v>
      </c>
      <c r="K130" s="247">
        <f t="shared" si="4"/>
        <v>2640191.2147140112</v>
      </c>
      <c r="L130" s="210">
        <f t="shared" si="5"/>
        <v>247218.4847140112</v>
      </c>
      <c r="M130" s="212">
        <f t="shared" si="6"/>
        <v>0.10331019723488917</v>
      </c>
    </row>
    <row r="131" spans="1:13" x14ac:dyDescent="0.2">
      <c r="A131" s="244">
        <v>41275</v>
      </c>
      <c r="B131" s="245">
        <v>2490941.67</v>
      </c>
      <c r="C131" s="251">
        <f>'Weather Analysis'!X8</f>
        <v>1010.4000000000001</v>
      </c>
      <c r="D131" s="251">
        <f>'Weather Analysis'!X28</f>
        <v>0</v>
      </c>
      <c r="E131" s="247">
        <v>31</v>
      </c>
      <c r="F131" s="248">
        <f>Intermediate!P135</f>
        <v>0</v>
      </c>
      <c r="G131" s="247">
        <f>G130+(G136-G124)/12</f>
        <v>2299.3750000999999</v>
      </c>
      <c r="H131" s="252">
        <v>144.98936781896037</v>
      </c>
      <c r="I131" s="254">
        <v>352</v>
      </c>
      <c r="J131" s="247">
        <v>0</v>
      </c>
      <c r="K131" s="247">
        <f t="shared" si="4"/>
        <v>2735862.891023946</v>
      </c>
      <c r="L131" s="210">
        <f t="shared" si="5"/>
        <v>244921.22102394607</v>
      </c>
      <c r="M131" s="212">
        <f t="shared" si="6"/>
        <v>9.8324751628546189E-2</v>
      </c>
    </row>
    <row r="132" spans="1:13" x14ac:dyDescent="0.2">
      <c r="A132" s="244">
        <v>41306</v>
      </c>
      <c r="B132" s="245">
        <v>2221283.33</v>
      </c>
      <c r="C132" s="251">
        <f>'Weather Analysis'!X9</f>
        <v>925.09999999999957</v>
      </c>
      <c r="D132" s="251">
        <f>'Weather Analysis'!X29</f>
        <v>0</v>
      </c>
      <c r="E132" s="247">
        <v>28</v>
      </c>
      <c r="F132" s="248">
        <f>Intermediate!P136</f>
        <v>0</v>
      </c>
      <c r="G132" s="247">
        <f>G131+(G136-G124)/12</f>
        <v>2299.5000000999999</v>
      </c>
      <c r="H132" s="252">
        <v>145.14551144798114</v>
      </c>
      <c r="I132" s="254">
        <v>304</v>
      </c>
      <c r="J132" s="247">
        <v>0</v>
      </c>
      <c r="K132" s="247">
        <f t="shared" ref="K132:K190" si="8">$O$18+C132*$O$19+D132*$O$20+E132*$O$21+F132*$O$22+G132*$O$23+H132*$O$24</f>
        <v>2414763.9926907308</v>
      </c>
      <c r="L132" s="210">
        <f t="shared" ref="L132:L166" si="9">K132-B132</f>
        <v>193480.66269073077</v>
      </c>
      <c r="M132" s="212">
        <f t="shared" ref="M132:M166" si="10">ABS(L132/B132)</f>
        <v>8.7103099400980405E-2</v>
      </c>
    </row>
    <row r="133" spans="1:13" x14ac:dyDescent="0.2">
      <c r="A133" s="244">
        <v>41334</v>
      </c>
      <c r="B133" s="245">
        <v>2169850</v>
      </c>
      <c r="C133" s="251">
        <f>'Weather Analysis'!X10</f>
        <v>830.70000000000016</v>
      </c>
      <c r="D133" s="251">
        <f>'Weather Analysis'!X30</f>
        <v>0</v>
      </c>
      <c r="E133" s="247">
        <v>31</v>
      </c>
      <c r="F133" s="248">
        <f>Intermediate!P137</f>
        <v>0</v>
      </c>
      <c r="G133" s="247">
        <f>G132+(G136-G124)/12</f>
        <v>2299.6250000999999</v>
      </c>
      <c r="H133" s="252">
        <v>145.30182323300707</v>
      </c>
      <c r="I133" s="254">
        <v>320</v>
      </c>
      <c r="J133" s="247">
        <v>1</v>
      </c>
      <c r="K133" s="247">
        <f t="shared" si="8"/>
        <v>2609393.7253510226</v>
      </c>
      <c r="L133" s="210">
        <f t="shared" si="9"/>
        <v>439543.72535102256</v>
      </c>
      <c r="M133" s="212">
        <f t="shared" si="10"/>
        <v>0.20256871458903727</v>
      </c>
    </row>
    <row r="134" spans="1:13" x14ac:dyDescent="0.2">
      <c r="A134" s="244">
        <v>41365</v>
      </c>
      <c r="B134" s="245">
        <v>1962925</v>
      </c>
      <c r="C134" s="251">
        <f>'Weather Analysis'!X11</f>
        <v>584.19999999999993</v>
      </c>
      <c r="D134" s="251">
        <f>'Weather Analysis'!X31</f>
        <v>0</v>
      </c>
      <c r="E134" s="247">
        <v>30</v>
      </c>
      <c r="F134" s="248">
        <f>Intermediate!P138</f>
        <v>0</v>
      </c>
      <c r="G134" s="247">
        <f>G133+(G136-G124)/12</f>
        <v>2299.7500000999999</v>
      </c>
      <c r="H134" s="252">
        <v>145.45830335513068</v>
      </c>
      <c r="I134" s="254">
        <v>352</v>
      </c>
      <c r="J134" s="247">
        <v>1</v>
      </c>
      <c r="K134" s="247">
        <f t="shared" si="8"/>
        <v>2336243.7592986953</v>
      </c>
      <c r="L134" s="210">
        <f t="shared" si="9"/>
        <v>373318.75929869525</v>
      </c>
      <c r="M134" s="212">
        <f t="shared" si="10"/>
        <v>0.19018493284190444</v>
      </c>
    </row>
    <row r="135" spans="1:13" x14ac:dyDescent="0.2">
      <c r="A135" s="244">
        <v>41395</v>
      </c>
      <c r="B135" s="245">
        <v>2122150</v>
      </c>
      <c r="C135" s="251">
        <f>'Weather Analysis'!X12</f>
        <v>279.30000000000007</v>
      </c>
      <c r="D135" s="251">
        <f>'Weather Analysis'!X32</f>
        <v>0.5</v>
      </c>
      <c r="E135" s="247">
        <v>31</v>
      </c>
      <c r="F135" s="248">
        <f>Intermediate!P139</f>
        <v>0</v>
      </c>
      <c r="G135" s="247">
        <f>G134+(G136-G124)/12</f>
        <v>2299.8750000999999</v>
      </c>
      <c r="H135" s="252">
        <v>145.6149519956395</v>
      </c>
      <c r="I135" s="254">
        <v>352</v>
      </c>
      <c r="J135" s="247">
        <v>1</v>
      </c>
      <c r="K135" s="247">
        <f t="shared" si="8"/>
        <v>2193073.7252598209</v>
      </c>
      <c r="L135" s="210">
        <f t="shared" si="9"/>
        <v>70923.725259820931</v>
      </c>
      <c r="M135" s="212">
        <f t="shared" si="10"/>
        <v>3.3420693758603744E-2</v>
      </c>
    </row>
    <row r="136" spans="1:13" x14ac:dyDescent="0.2">
      <c r="A136" s="244">
        <v>41426</v>
      </c>
      <c r="B136" s="245">
        <v>1832875</v>
      </c>
      <c r="C136" s="251">
        <f>'Weather Analysis'!X13</f>
        <v>82.399999999999991</v>
      </c>
      <c r="D136" s="251">
        <f>'Weather Analysis'!X33</f>
        <v>10.3</v>
      </c>
      <c r="E136" s="247">
        <v>30</v>
      </c>
      <c r="F136" s="248">
        <f>Intermediate!P140</f>
        <v>0</v>
      </c>
      <c r="G136" s="247">
        <f>'Rate Class Customer Model'!G13</f>
        <v>2300.0000000999999</v>
      </c>
      <c r="H136" s="252">
        <v>145.77176933601632</v>
      </c>
      <c r="I136" s="254">
        <v>320</v>
      </c>
      <c r="J136" s="247">
        <v>0</v>
      </c>
      <c r="K136" s="247">
        <f t="shared" si="8"/>
        <v>1987480.0104396353</v>
      </c>
      <c r="L136" s="210">
        <f t="shared" si="9"/>
        <v>154605.01043963525</v>
      </c>
      <c r="M136" s="212">
        <f t="shared" si="10"/>
        <v>8.4351093467713426E-2</v>
      </c>
    </row>
    <row r="137" spans="1:13" x14ac:dyDescent="0.2">
      <c r="A137" s="244">
        <v>41456</v>
      </c>
      <c r="B137" s="245">
        <v>1794300</v>
      </c>
      <c r="C137" s="251">
        <f>'Weather Analysis'!X14</f>
        <v>44.400000000000006</v>
      </c>
      <c r="D137" s="251">
        <f>'Weather Analysis'!X34</f>
        <v>52.7</v>
      </c>
      <c r="E137" s="247">
        <v>31</v>
      </c>
      <c r="F137" s="248">
        <f>Intermediate!P141</f>
        <v>0</v>
      </c>
      <c r="G137" s="247">
        <f>G136+(G148-G136)/12</f>
        <v>2299.7083334333333</v>
      </c>
      <c r="H137" s="252">
        <v>145.92875555793933</v>
      </c>
      <c r="I137" s="254">
        <v>352</v>
      </c>
      <c r="J137" s="247">
        <v>0</v>
      </c>
      <c r="K137" s="247">
        <f t="shared" si="8"/>
        <v>2172323.6279498106</v>
      </c>
      <c r="L137" s="210">
        <f t="shared" si="9"/>
        <v>378023.62794981059</v>
      </c>
      <c r="M137" s="212">
        <f t="shared" si="10"/>
        <v>0.21068028086151178</v>
      </c>
    </row>
    <row r="138" spans="1:13" x14ac:dyDescent="0.2">
      <c r="A138" s="244">
        <v>41487</v>
      </c>
      <c r="B138" s="245">
        <v>1916083.33</v>
      </c>
      <c r="C138" s="251">
        <f>'Weather Analysis'!X15</f>
        <v>67.2</v>
      </c>
      <c r="D138" s="251">
        <f>'Weather Analysis'!X35</f>
        <v>48.4</v>
      </c>
      <c r="E138" s="247">
        <v>31</v>
      </c>
      <c r="F138" s="248">
        <f>Intermediate!P142</f>
        <v>0</v>
      </c>
      <c r="G138" s="247">
        <f>G137+(G148-G136)/12</f>
        <v>2299.4166667666668</v>
      </c>
      <c r="H138" s="252">
        <v>146.08591084328242</v>
      </c>
      <c r="I138" s="254">
        <v>336</v>
      </c>
      <c r="J138" s="247">
        <v>0</v>
      </c>
      <c r="K138" s="247">
        <f t="shared" si="8"/>
        <v>2181081.7204262959</v>
      </c>
      <c r="L138" s="210">
        <f t="shared" si="9"/>
        <v>264998.39042629581</v>
      </c>
      <c r="M138" s="212">
        <f t="shared" si="10"/>
        <v>0.13830212197832534</v>
      </c>
    </row>
    <row r="139" spans="1:13" x14ac:dyDescent="0.2">
      <c r="A139" s="244">
        <v>41518</v>
      </c>
      <c r="B139" s="245">
        <v>1619033.33</v>
      </c>
      <c r="C139" s="251">
        <f>'Weather Analysis'!X16</f>
        <v>133.6</v>
      </c>
      <c r="D139" s="251">
        <f>'Weather Analysis'!X36</f>
        <v>3.4000000000000004</v>
      </c>
      <c r="E139" s="247">
        <v>30</v>
      </c>
      <c r="F139" s="248">
        <f>Intermediate!P143</f>
        <v>0</v>
      </c>
      <c r="G139" s="247">
        <f>G138+(G148-G136)/12</f>
        <v>2299.1250001000003</v>
      </c>
      <c r="H139" s="252">
        <v>146.2432353741153</v>
      </c>
      <c r="I139" s="254">
        <v>320</v>
      </c>
      <c r="J139" s="247">
        <v>1</v>
      </c>
      <c r="K139" s="247">
        <f t="shared" si="8"/>
        <v>2017823.8292201338</v>
      </c>
      <c r="L139" s="210">
        <f t="shared" si="9"/>
        <v>398790.49922013376</v>
      </c>
      <c r="M139" s="212">
        <f t="shared" si="10"/>
        <v>0.24631395279560658</v>
      </c>
    </row>
    <row r="140" spans="1:13" x14ac:dyDescent="0.2">
      <c r="A140" s="244">
        <v>41548</v>
      </c>
      <c r="B140" s="245">
        <v>1974675</v>
      </c>
      <c r="C140" s="251">
        <f>'Weather Analysis'!X17</f>
        <v>346.4</v>
      </c>
      <c r="D140" s="251">
        <f>'Weather Analysis'!X37</f>
        <v>0</v>
      </c>
      <c r="E140" s="247">
        <v>31</v>
      </c>
      <c r="F140" s="248">
        <f>Intermediate!P144</f>
        <v>0</v>
      </c>
      <c r="G140" s="247">
        <f>G139+(G148-G136)/12</f>
        <v>2298.8333334333338</v>
      </c>
      <c r="H140" s="252">
        <v>146.4007293327038</v>
      </c>
      <c r="I140" s="254">
        <v>352</v>
      </c>
      <c r="J140" s="247">
        <v>1</v>
      </c>
      <c r="K140" s="247">
        <f t="shared" si="8"/>
        <v>2265292.7088977871</v>
      </c>
      <c r="L140" s="210">
        <f t="shared" si="9"/>
        <v>290617.70889778715</v>
      </c>
      <c r="M140" s="212">
        <f t="shared" si="10"/>
        <v>0.14717242528405289</v>
      </c>
    </row>
    <row r="141" spans="1:13" x14ac:dyDescent="0.2">
      <c r="A141" s="244">
        <v>41579</v>
      </c>
      <c r="B141" s="245">
        <v>2101858.33</v>
      </c>
      <c r="C141" s="251">
        <f>'Weather Analysis'!X18</f>
        <v>610.9</v>
      </c>
      <c r="D141" s="251">
        <f>'Weather Analysis'!X38</f>
        <v>0</v>
      </c>
      <c r="E141" s="247">
        <v>30</v>
      </c>
      <c r="F141" s="248">
        <f>Intermediate!P145</f>
        <v>0</v>
      </c>
      <c r="G141" s="247">
        <f>G140+(G148-G136)/12</f>
        <v>2298.5416667666673</v>
      </c>
      <c r="H141" s="252">
        <v>146.55839290151005</v>
      </c>
      <c r="I141" s="254">
        <v>336</v>
      </c>
      <c r="J141" s="247">
        <v>1</v>
      </c>
      <c r="K141" s="247">
        <f t="shared" si="8"/>
        <v>2388951.4109349558</v>
      </c>
      <c r="L141" s="210">
        <f t="shared" si="9"/>
        <v>287093.08093495574</v>
      </c>
      <c r="M141" s="212">
        <f t="shared" si="10"/>
        <v>0.13659011972274826</v>
      </c>
    </row>
    <row r="142" spans="1:13" x14ac:dyDescent="0.2">
      <c r="A142" s="244">
        <v>41609</v>
      </c>
      <c r="B142" s="245">
        <v>2665641.67</v>
      </c>
      <c r="C142" s="251">
        <f>'Weather Analysis'!X19</f>
        <v>1170.2000000000003</v>
      </c>
      <c r="D142" s="251">
        <f>'Weather Analysis'!X39</f>
        <v>0</v>
      </c>
      <c r="E142" s="247">
        <v>31</v>
      </c>
      <c r="F142" s="248">
        <f>Intermediate!P146</f>
        <v>0</v>
      </c>
      <c r="G142" s="247">
        <f>G141+(G148-G136)/12</f>
        <v>2298.2500001000008</v>
      </c>
      <c r="H142" s="252">
        <v>146.71622626319265</v>
      </c>
      <c r="I142" s="254">
        <v>320</v>
      </c>
      <c r="J142" s="247">
        <v>0</v>
      </c>
      <c r="K142" s="247">
        <f t="shared" si="8"/>
        <v>2917966.7023550924</v>
      </c>
      <c r="L142" s="210">
        <f t="shared" si="9"/>
        <v>252325.03235509247</v>
      </c>
      <c r="M142" s="212">
        <f t="shared" si="10"/>
        <v>9.4658271287863111E-2</v>
      </c>
    </row>
    <row r="143" spans="1:13" x14ac:dyDescent="0.2">
      <c r="A143" s="244">
        <v>41640</v>
      </c>
      <c r="B143" s="245">
        <v>2759483.33</v>
      </c>
      <c r="C143" s="251">
        <f>'Weather Analysis'!Y8</f>
        <v>1216.3</v>
      </c>
      <c r="D143" s="251">
        <f>'Weather Analysis'!Y28</f>
        <v>0</v>
      </c>
      <c r="E143" s="247">
        <v>31</v>
      </c>
      <c r="F143" s="248">
        <f>Intermediate!P147</f>
        <v>0</v>
      </c>
      <c r="G143" s="247">
        <f>G142+(G148-G136)/12</f>
        <v>2297.9583334333342</v>
      </c>
      <c r="H143" s="252">
        <v>147.04232175221028</v>
      </c>
      <c r="I143" s="254">
        <v>352</v>
      </c>
      <c r="J143" s="247">
        <v>0</v>
      </c>
      <c r="K143" s="247">
        <f t="shared" si="8"/>
        <v>2964120.796694234</v>
      </c>
      <c r="L143" s="210">
        <f t="shared" si="9"/>
        <v>204637.46669423394</v>
      </c>
      <c r="M143" s="212">
        <f t="shared" si="10"/>
        <v>7.4157891975464088E-2</v>
      </c>
    </row>
    <row r="144" spans="1:13" x14ac:dyDescent="0.2">
      <c r="A144" s="244">
        <v>41671</v>
      </c>
      <c r="B144" s="245">
        <v>2339475</v>
      </c>
      <c r="C144" s="251">
        <f>'Weather Analysis'!Y9</f>
        <v>1021.7999999999998</v>
      </c>
      <c r="D144" s="251">
        <f>'Weather Analysis'!Y29</f>
        <v>0</v>
      </c>
      <c r="E144" s="247">
        <v>28</v>
      </c>
      <c r="F144" s="248">
        <f>Intermediate!P148</f>
        <v>0</v>
      </c>
      <c r="G144" s="247">
        <f>G143+(G148-G136)/12</f>
        <v>2297.6666667666677</v>
      </c>
      <c r="H144" s="252">
        <v>147.36914202996238</v>
      </c>
      <c r="I144" s="254">
        <v>304</v>
      </c>
      <c r="J144" s="247">
        <v>0</v>
      </c>
      <c r="K144" s="247">
        <f t="shared" si="8"/>
        <v>2560292.6786320284</v>
      </c>
      <c r="L144" s="210">
        <f t="shared" si="9"/>
        <v>220817.6786320284</v>
      </c>
      <c r="M144" s="212">
        <f t="shared" si="10"/>
        <v>9.4387706058850121E-2</v>
      </c>
    </row>
    <row r="145" spans="1:13" x14ac:dyDescent="0.2">
      <c r="A145" s="244">
        <v>41699</v>
      </c>
      <c r="B145" s="245">
        <v>2364158.33</v>
      </c>
      <c r="C145" s="251">
        <f>'Weather Analysis'!Y10</f>
        <v>928.20000000000027</v>
      </c>
      <c r="D145" s="251">
        <f>'Weather Analysis'!Y30</f>
        <v>0</v>
      </c>
      <c r="E145" s="247">
        <v>31</v>
      </c>
      <c r="F145" s="248">
        <f>Intermediate!P149</f>
        <v>0</v>
      </c>
      <c r="G145" s="247">
        <f>G144+(G148-G136)/12</f>
        <v>2297.3750001000012</v>
      </c>
      <c r="H145" s="252">
        <v>147.69668870738414</v>
      </c>
      <c r="I145" s="254">
        <v>336</v>
      </c>
      <c r="J145" s="247">
        <v>1</v>
      </c>
      <c r="K145" s="247">
        <f t="shared" si="8"/>
        <v>2758433.1722573666</v>
      </c>
      <c r="L145" s="210">
        <f t="shared" si="9"/>
        <v>394274.84225736652</v>
      </c>
      <c r="M145" s="212">
        <f t="shared" si="10"/>
        <v>0.16677175858072352</v>
      </c>
    </row>
    <row r="146" spans="1:13" x14ac:dyDescent="0.2">
      <c r="A146" s="244">
        <v>41730</v>
      </c>
      <c r="B146" s="245">
        <v>2015133.33</v>
      </c>
      <c r="C146" s="251">
        <f>'Weather Analysis'!Y11</f>
        <v>554.60000000000014</v>
      </c>
      <c r="D146" s="251">
        <f>'Weather Analysis'!Y31</f>
        <v>0</v>
      </c>
      <c r="E146" s="247">
        <v>30</v>
      </c>
      <c r="F146" s="248">
        <f>Intermediate!P150</f>
        <v>0</v>
      </c>
      <c r="G146" s="247">
        <f>G145+(G148-G136)/12</f>
        <v>2297.0833334333347</v>
      </c>
      <c r="H146" s="252">
        <v>148.02496339899133</v>
      </c>
      <c r="I146" s="254">
        <v>320</v>
      </c>
      <c r="J146" s="247">
        <v>1</v>
      </c>
      <c r="K146" s="247">
        <f t="shared" si="8"/>
        <v>2388567.292006664</v>
      </c>
      <c r="L146" s="210">
        <f t="shared" si="9"/>
        <v>373433.9620066639</v>
      </c>
      <c r="M146" s="212">
        <f t="shared" si="10"/>
        <v>0.18531476624758317</v>
      </c>
    </row>
    <row r="147" spans="1:13" x14ac:dyDescent="0.2">
      <c r="A147" s="244">
        <v>41760</v>
      </c>
      <c r="B147" s="245">
        <f>'[13]Data Input'!B225</f>
        <v>2100684.62</v>
      </c>
      <c r="C147" s="251">
        <f>'Weather Analysis'!Y12</f>
        <v>237.80000000000007</v>
      </c>
      <c r="D147" s="251">
        <f>'Weather Analysis'!Y32</f>
        <v>8.2999999999999989</v>
      </c>
      <c r="E147" s="247">
        <v>31</v>
      </c>
      <c r="F147" s="248">
        <f>Intermediate!P151</f>
        <v>0</v>
      </c>
      <c r="G147" s="247">
        <f>G146+(G148-G136)/12</f>
        <v>2296.7916667666682</v>
      </c>
      <c r="H147" s="252">
        <v>148.35396772288814</v>
      </c>
      <c r="I147" s="254">
        <v>336</v>
      </c>
      <c r="J147" s="247">
        <v>1</v>
      </c>
      <c r="K147" s="247">
        <f t="shared" si="8"/>
        <v>2261813.4385123421</v>
      </c>
      <c r="L147" s="210">
        <f t="shared" si="9"/>
        <v>161128.81851234194</v>
      </c>
      <c r="M147" s="212">
        <f t="shared" si="10"/>
        <v>7.6703002905948794E-2</v>
      </c>
    </row>
    <row r="148" spans="1:13" x14ac:dyDescent="0.2">
      <c r="A148" s="244">
        <v>41791</v>
      </c>
      <c r="B148" s="245">
        <f>'[13]Data Input'!B226</f>
        <v>1992407.69</v>
      </c>
      <c r="C148" s="251">
        <f>'Weather Analysis'!Y13</f>
        <v>78.7</v>
      </c>
      <c r="D148" s="251">
        <f>'Weather Analysis'!Y33</f>
        <v>15.7</v>
      </c>
      <c r="E148" s="247">
        <v>30</v>
      </c>
      <c r="F148" s="248">
        <f>Intermediate!P152</f>
        <v>0</v>
      </c>
      <c r="G148" s="247">
        <f>'Rate Class Customer Model'!G14</f>
        <v>2296.5000000999999</v>
      </c>
      <c r="H148" s="252">
        <v>148.68370330077519</v>
      </c>
      <c r="I148" s="254">
        <v>336</v>
      </c>
      <c r="J148" s="247">
        <v>0</v>
      </c>
      <c r="K148" s="247">
        <f t="shared" si="8"/>
        <v>2081776.1316424198</v>
      </c>
      <c r="L148" s="210">
        <f t="shared" si="9"/>
        <v>89368.441642419901</v>
      </c>
      <c r="M148" s="212">
        <f t="shared" si="10"/>
        <v>4.4854495438340684E-2</v>
      </c>
    </row>
    <row r="149" spans="1:13" x14ac:dyDescent="0.2">
      <c r="A149" s="244">
        <v>41821</v>
      </c>
      <c r="B149" s="245">
        <f>'[13]Data Input'!B227</f>
        <v>1907330.77</v>
      </c>
      <c r="C149" s="251">
        <f>'Weather Analysis'!Y14</f>
        <v>54.20000000000001</v>
      </c>
      <c r="D149" s="251">
        <f>'Weather Analysis'!Y34</f>
        <v>21.099999999999998</v>
      </c>
      <c r="E149" s="247">
        <v>31</v>
      </c>
      <c r="F149" s="248">
        <f>Intermediate!P153</f>
        <v>0</v>
      </c>
      <c r="G149" s="247">
        <f>G148+(G160-G148)/12</f>
        <v>2295.5833334333333</v>
      </c>
      <c r="H149" s="252">
        <v>149.0141717579576</v>
      </c>
      <c r="I149" s="254">
        <v>352</v>
      </c>
      <c r="J149" s="247">
        <v>0</v>
      </c>
      <c r="K149" s="247">
        <f t="shared" si="8"/>
        <v>2170060.9167298693</v>
      </c>
      <c r="L149" s="210">
        <f t="shared" si="9"/>
        <v>262730.1467298693</v>
      </c>
      <c r="M149" s="212">
        <f t="shared" si="10"/>
        <v>0.13774755321011745</v>
      </c>
    </row>
    <row r="150" spans="1:13" x14ac:dyDescent="0.2">
      <c r="A150" s="244">
        <v>41852</v>
      </c>
      <c r="B150" s="245">
        <f>'[13]Data Input'!B228</f>
        <v>1759069.23</v>
      </c>
      <c r="C150" s="251">
        <f>'Weather Analysis'!Y15</f>
        <v>59.599999999999994</v>
      </c>
      <c r="D150" s="251">
        <f>'Weather Analysis'!Y35</f>
        <v>10.899999999999999</v>
      </c>
      <c r="E150" s="247">
        <v>31</v>
      </c>
      <c r="F150" s="248">
        <f>Intermediate!P154</f>
        <v>0</v>
      </c>
      <c r="G150" s="247">
        <f>G149+(G160-G148)/12</f>
        <v>2294.6666667666668</v>
      </c>
      <c r="H150" s="252">
        <v>149.34537472335285</v>
      </c>
      <c r="I150" s="254">
        <v>320</v>
      </c>
      <c r="J150" s="247">
        <v>0</v>
      </c>
      <c r="K150" s="247">
        <f t="shared" si="8"/>
        <v>2149035.0018740455</v>
      </c>
      <c r="L150" s="210">
        <f t="shared" si="9"/>
        <v>389965.77187404549</v>
      </c>
      <c r="M150" s="212">
        <f t="shared" si="10"/>
        <v>0.22168870060562965</v>
      </c>
    </row>
    <row r="151" spans="1:13" x14ac:dyDescent="0.2">
      <c r="A151" s="244">
        <v>41883</v>
      </c>
      <c r="B151" s="245">
        <f>'[13]Data Input'!B229</f>
        <v>1616430.77</v>
      </c>
      <c r="C151" s="251">
        <f>'Weather Analysis'!Y16</f>
        <v>167.50000000000003</v>
      </c>
      <c r="D151" s="251">
        <f>'Weather Analysis'!Y36</f>
        <v>2.4</v>
      </c>
      <c r="E151" s="247">
        <v>30</v>
      </c>
      <c r="F151" s="248">
        <f>Intermediate!P155</f>
        <v>0</v>
      </c>
      <c r="G151" s="247">
        <f>G150+(G160-G148)/12</f>
        <v>2293.7500001000003</v>
      </c>
      <c r="H151" s="252">
        <v>149.67731382949896</v>
      </c>
      <c r="I151" s="254">
        <v>336</v>
      </c>
      <c r="J151" s="247">
        <v>1</v>
      </c>
      <c r="K151" s="247">
        <f t="shared" si="8"/>
        <v>2126207.7641120274</v>
      </c>
      <c r="L151" s="210">
        <f t="shared" si="9"/>
        <v>509776.99411202734</v>
      </c>
      <c r="M151" s="212">
        <f t="shared" si="10"/>
        <v>0.31537199339012045</v>
      </c>
    </row>
    <row r="152" spans="1:13" x14ac:dyDescent="0.2">
      <c r="A152" s="244">
        <v>41913</v>
      </c>
      <c r="B152" s="245">
        <f>'[13]Data Input'!B230</f>
        <v>1859369.23</v>
      </c>
      <c r="C152" s="251">
        <f>'Weather Analysis'!Y17</f>
        <v>389.5</v>
      </c>
      <c r="D152" s="251">
        <f>'Weather Analysis'!Y37</f>
        <v>0</v>
      </c>
      <c r="E152" s="247">
        <v>31</v>
      </c>
      <c r="F152" s="248">
        <f>Intermediate!P156</f>
        <v>0</v>
      </c>
      <c r="G152" s="247">
        <f>G151+(G160-G148)/12</f>
        <v>2292.8333334333338</v>
      </c>
      <c r="H152" s="252">
        <v>150.00999071256246</v>
      </c>
      <c r="I152" s="254">
        <v>352</v>
      </c>
      <c r="J152" s="247">
        <v>1</v>
      </c>
      <c r="K152" s="247">
        <f t="shared" si="8"/>
        <v>2384969.4294458032</v>
      </c>
      <c r="L152" s="210">
        <f t="shared" si="9"/>
        <v>525600.19944580318</v>
      </c>
      <c r="M152" s="212">
        <f t="shared" si="10"/>
        <v>0.28267661471724109</v>
      </c>
    </row>
    <row r="153" spans="1:13" x14ac:dyDescent="0.2">
      <c r="A153" s="244">
        <v>41944</v>
      </c>
      <c r="B153" s="245">
        <f>'[13]Data Input'!B231</f>
        <v>2415630.77</v>
      </c>
      <c r="C153" s="251">
        <f>'Weather Analysis'!Y18</f>
        <v>781.20000000000027</v>
      </c>
      <c r="D153" s="251">
        <f>'Weather Analysis'!Y38</f>
        <v>0</v>
      </c>
      <c r="E153" s="247">
        <v>30</v>
      </c>
      <c r="F153" s="248">
        <f>Intermediate!P157</f>
        <v>0</v>
      </c>
      <c r="G153" s="247">
        <f>G152+(G160-G148)/12</f>
        <v>2291.9166667666673</v>
      </c>
      <c r="H153" s="252">
        <v>150.34340701234646</v>
      </c>
      <c r="I153" s="254">
        <v>304</v>
      </c>
      <c r="J153" s="247">
        <v>1</v>
      </c>
      <c r="K153" s="247">
        <f t="shared" si="8"/>
        <v>2609506.6123671103</v>
      </c>
      <c r="L153" s="210">
        <f t="shared" si="9"/>
        <v>193875.84236711031</v>
      </c>
      <c r="M153" s="212">
        <f t="shared" si="10"/>
        <v>8.0258889220520366E-2</v>
      </c>
    </row>
    <row r="154" spans="1:13" x14ac:dyDescent="0.2">
      <c r="A154" s="244">
        <v>41974</v>
      </c>
      <c r="B154" s="245">
        <f>'[13]Data Input'!B232</f>
        <v>2504000</v>
      </c>
      <c r="C154" s="251">
        <f>'Weather Analysis'!Y19</f>
        <v>821.99999999999977</v>
      </c>
      <c r="D154" s="251">
        <f>'Weather Analysis'!Y39</f>
        <v>0</v>
      </c>
      <c r="E154" s="247">
        <v>31</v>
      </c>
      <c r="F154" s="248">
        <f>Intermediate!P158</f>
        <v>0</v>
      </c>
      <c r="G154" s="247">
        <f>G153+(G160-G148)/12</f>
        <v>2291.0000001000008</v>
      </c>
      <c r="H154" s="252">
        <v>150.67756437229883</v>
      </c>
      <c r="I154" s="254">
        <v>336</v>
      </c>
      <c r="J154" s="247">
        <v>0</v>
      </c>
      <c r="K154" s="247">
        <f t="shared" si="8"/>
        <v>2733321.014200042</v>
      </c>
      <c r="L154" s="210">
        <f t="shared" si="9"/>
        <v>229321.014200042</v>
      </c>
      <c r="M154" s="212">
        <f t="shared" si="10"/>
        <v>9.1581874680527961E-2</v>
      </c>
    </row>
    <row r="155" spans="1:13" x14ac:dyDescent="0.2">
      <c r="A155" s="244">
        <v>42005</v>
      </c>
      <c r="B155" s="245">
        <f>'[13]Data Input'!B233</f>
        <v>2799215.38</v>
      </c>
      <c r="C155" s="251">
        <f>'Weather Analysis'!Z8</f>
        <v>1031.4999999999998</v>
      </c>
      <c r="D155" s="251">
        <f>'Weather Analysis'!Z28</f>
        <v>0</v>
      </c>
      <c r="E155" s="247">
        <v>31</v>
      </c>
      <c r="F155" s="248">
        <f>Intermediate!P159</f>
        <v>0</v>
      </c>
      <c r="G155" s="247">
        <f>G154+(G160-G148)/12</f>
        <v>2290.0833334333342</v>
      </c>
      <c r="H155" s="252">
        <v>150.98793548444445</v>
      </c>
      <c r="I155" s="254">
        <v>336</v>
      </c>
      <c r="J155" s="247">
        <v>0</v>
      </c>
      <c r="K155" s="247">
        <f t="shared" si="8"/>
        <v>2901297.56033096</v>
      </c>
      <c r="L155" s="210">
        <f t="shared" si="9"/>
        <v>102082.18033096008</v>
      </c>
      <c r="M155" s="212">
        <f t="shared" si="10"/>
        <v>3.6468140701256112E-2</v>
      </c>
    </row>
    <row r="156" spans="1:13" x14ac:dyDescent="0.2">
      <c r="A156" s="244">
        <v>42036</v>
      </c>
      <c r="B156" s="245">
        <f>'[13]Data Input'!B234</f>
        <v>3184223.08</v>
      </c>
      <c r="C156" s="251">
        <f>'Weather Analysis'!Z9</f>
        <v>1110.2000000000003</v>
      </c>
      <c r="D156" s="251">
        <f>'Weather Analysis'!Z29</f>
        <v>0</v>
      </c>
      <c r="E156" s="247">
        <v>28</v>
      </c>
      <c r="F156" s="248">
        <f>Intermediate!P160</f>
        <v>0</v>
      </c>
      <c r="G156" s="247">
        <f>G155+(G160-G148)/12</f>
        <v>2289.1666667666677</v>
      </c>
      <c r="H156" s="252">
        <v>151.298945910264</v>
      </c>
      <c r="I156" s="254">
        <v>304</v>
      </c>
      <c r="J156" s="247">
        <v>0</v>
      </c>
      <c r="K156" s="247">
        <f t="shared" si="8"/>
        <v>2705350.1366007263</v>
      </c>
      <c r="L156" s="210">
        <f t="shared" si="9"/>
        <v>-478872.94339927379</v>
      </c>
      <c r="M156" s="212">
        <f t="shared" si="10"/>
        <v>0.15038925708662151</v>
      </c>
    </row>
    <row r="157" spans="1:13" x14ac:dyDescent="0.2">
      <c r="A157" s="244">
        <v>42064</v>
      </c>
      <c r="B157" s="245">
        <f>'[13]Data Input'!B235</f>
        <v>3085284.62</v>
      </c>
      <c r="C157" s="251">
        <f>'Weather Analysis'!Z10</f>
        <v>713.69999999999982</v>
      </c>
      <c r="D157" s="251">
        <f>'Weather Analysis'!Z30</f>
        <v>0</v>
      </c>
      <c r="E157" s="247">
        <v>31</v>
      </c>
      <c r="F157" s="248">
        <f>Intermediate!P161</f>
        <v>0</v>
      </c>
      <c r="G157" s="247">
        <f>G156+(G160-G148)/12</f>
        <v>2288.2500001000012</v>
      </c>
      <c r="H157" s="252">
        <v>151.61059696663892</v>
      </c>
      <c r="I157" s="254">
        <v>352</v>
      </c>
      <c r="J157" s="247">
        <v>1</v>
      </c>
      <c r="K157" s="247">
        <f t="shared" si="8"/>
        <v>2659819.142060007</v>
      </c>
      <c r="L157" s="210">
        <f t="shared" si="9"/>
        <v>-425465.47793999314</v>
      </c>
      <c r="M157" s="212">
        <f t="shared" si="10"/>
        <v>0.13790153270851011</v>
      </c>
    </row>
    <row r="158" spans="1:13" x14ac:dyDescent="0.2">
      <c r="A158" s="244">
        <v>42095</v>
      </c>
      <c r="B158" s="245">
        <f>'[13]Data Input'!B236</f>
        <v>2788138.46</v>
      </c>
      <c r="C158" s="251">
        <f>'Weather Analysis'!Z11</f>
        <v>459</v>
      </c>
      <c r="D158" s="251">
        <f>'Weather Analysis'!Z31</f>
        <v>0</v>
      </c>
      <c r="E158" s="247">
        <v>30</v>
      </c>
      <c r="F158" s="248">
        <f>Intermediate!P162</f>
        <v>0</v>
      </c>
      <c r="G158" s="247">
        <f>G157+(G160-G148)/12</f>
        <v>2287.3333334333347</v>
      </c>
      <c r="H158" s="252">
        <v>151.92288997316331</v>
      </c>
      <c r="I158" s="254">
        <v>336</v>
      </c>
      <c r="J158" s="247">
        <v>1</v>
      </c>
      <c r="K158" s="247">
        <f t="shared" si="8"/>
        <v>2376886.5001853183</v>
      </c>
      <c r="L158" s="210">
        <f t="shared" si="9"/>
        <v>-411251.95981468167</v>
      </c>
      <c r="M158" s="212">
        <f t="shared" si="10"/>
        <v>0.14750055125120354</v>
      </c>
    </row>
    <row r="159" spans="1:13" x14ac:dyDescent="0.2">
      <c r="A159" s="244">
        <v>42125</v>
      </c>
      <c r="B159" s="245">
        <f>'[13]Data Input'!B237</f>
        <v>2839484.62</v>
      </c>
      <c r="C159" s="251">
        <f>'Weather Analysis'!Z12</f>
        <v>245.7</v>
      </c>
      <c r="D159" s="251">
        <f>'Weather Analysis'!Z32</f>
        <v>0</v>
      </c>
      <c r="E159" s="247">
        <v>31</v>
      </c>
      <c r="F159" s="248">
        <f>Intermediate!P163</f>
        <v>0</v>
      </c>
      <c r="G159" s="247">
        <f>G158+(G160-G148)/12</f>
        <v>2286.4166667666682</v>
      </c>
      <c r="H159" s="252">
        <v>152.23582625214937</v>
      </c>
      <c r="I159" s="254">
        <v>320</v>
      </c>
      <c r="J159" s="247">
        <v>1</v>
      </c>
      <c r="K159" s="247">
        <f t="shared" si="8"/>
        <v>2300713.1631181417</v>
      </c>
      <c r="L159" s="210">
        <f t="shared" si="9"/>
        <v>-538771.45688185841</v>
      </c>
      <c r="M159" s="212">
        <f t="shared" si="10"/>
        <v>0.18974269241925262</v>
      </c>
    </row>
    <row r="160" spans="1:13" x14ac:dyDescent="0.2">
      <c r="A160" s="244">
        <v>42156</v>
      </c>
      <c r="B160" s="245">
        <f>'[13]Data Input'!B238</f>
        <v>2589715.38</v>
      </c>
      <c r="C160" s="251">
        <f>'Weather Analysis'!Z13</f>
        <v>80.2</v>
      </c>
      <c r="D160" s="251">
        <f>'Weather Analysis'!Z33</f>
        <v>2</v>
      </c>
      <c r="E160" s="247">
        <v>30</v>
      </c>
      <c r="F160" s="248">
        <f>Intermediate!P164</f>
        <v>0</v>
      </c>
      <c r="G160" s="247">
        <f>'Rate Class Customer Model'!G15</f>
        <v>2285.5000000999999</v>
      </c>
      <c r="H160" s="252">
        <v>152.54940712863302</v>
      </c>
      <c r="I160" s="254">
        <v>352</v>
      </c>
      <c r="J160" s="247">
        <v>0</v>
      </c>
      <c r="K160" s="247">
        <f t="shared" si="8"/>
        <v>2093596.0271982178</v>
      </c>
      <c r="L160" s="210">
        <f t="shared" si="9"/>
        <v>-496119.35280178208</v>
      </c>
      <c r="M160" s="212">
        <f t="shared" si="10"/>
        <v>0.19157292597991293</v>
      </c>
    </row>
    <row r="161" spans="1:14" x14ac:dyDescent="0.2">
      <c r="A161" s="244">
        <v>42186</v>
      </c>
      <c r="B161" s="245">
        <f>'[13]Data Input'!B239</f>
        <v>2779461.54</v>
      </c>
      <c r="C161" s="251">
        <f>'Weather Analysis'!Z14</f>
        <v>22.4</v>
      </c>
      <c r="D161" s="251">
        <f>'Weather Analysis'!Z34</f>
        <v>48.800000000000004</v>
      </c>
      <c r="E161" s="247">
        <v>31</v>
      </c>
      <c r="F161" s="248">
        <f>Intermediate!P165</f>
        <v>0</v>
      </c>
      <c r="G161" s="247">
        <f>G160+(G172-G160)/12</f>
        <v>2284.2442747618556</v>
      </c>
      <c r="H161" s="252">
        <v>152.86363393037959</v>
      </c>
      <c r="I161" s="254">
        <v>352</v>
      </c>
      <c r="J161" s="247">
        <v>0</v>
      </c>
      <c r="K161" s="247">
        <f t="shared" si="8"/>
        <v>2273191.3796964614</v>
      </c>
      <c r="L161" s="210">
        <f t="shared" si="9"/>
        <v>-506270.16030353867</v>
      </c>
      <c r="M161" s="212">
        <f t="shared" si="10"/>
        <v>0.18214684859555158</v>
      </c>
    </row>
    <row r="162" spans="1:14" x14ac:dyDescent="0.2">
      <c r="A162" s="244">
        <v>42217</v>
      </c>
      <c r="B162" s="245">
        <f>'[13]Data Input'!B240</f>
        <v>2450792.31</v>
      </c>
      <c r="C162" s="251">
        <f>'Weather Analysis'!Z15</f>
        <v>66.7</v>
      </c>
      <c r="D162" s="251">
        <f>'Weather Analysis'!Z35</f>
        <v>32.099999999999994</v>
      </c>
      <c r="E162" s="247">
        <v>31</v>
      </c>
      <c r="F162" s="248">
        <f>Intermediate!P166</f>
        <v>0</v>
      </c>
      <c r="G162" s="247">
        <f>G161+(G172-G160)/12</f>
        <v>2282.9885494237114</v>
      </c>
      <c r="H162" s="252">
        <v>153.17850798788936</v>
      </c>
      <c r="I162" s="254">
        <v>320</v>
      </c>
      <c r="J162" s="247">
        <v>0</v>
      </c>
      <c r="K162" s="247">
        <f t="shared" si="8"/>
        <v>2259948.1780381789</v>
      </c>
      <c r="L162" s="210">
        <f t="shared" si="9"/>
        <v>-190844.13196182111</v>
      </c>
      <c r="M162" s="212">
        <f t="shared" si="10"/>
        <v>7.7870381420374668E-2</v>
      </c>
    </row>
    <row r="163" spans="1:14" x14ac:dyDescent="0.2">
      <c r="A163" s="244">
        <v>42248</v>
      </c>
      <c r="B163" s="245">
        <f>'[13]Data Input'!B241</f>
        <v>2722200</v>
      </c>
      <c r="C163" s="251">
        <f>'Weather Analysis'!Z16</f>
        <v>101.2</v>
      </c>
      <c r="D163" s="251">
        <f>'Weather Analysis'!Z36</f>
        <v>24.1</v>
      </c>
      <c r="E163" s="247">
        <v>30</v>
      </c>
      <c r="F163" s="248">
        <f>Intermediate!P167</f>
        <v>0</v>
      </c>
      <c r="G163" s="247">
        <f>G162+(G172-G160)/12</f>
        <v>2281.7328240855672</v>
      </c>
      <c r="H163" s="252">
        <v>153.4940306344032</v>
      </c>
      <c r="I163" s="254">
        <v>336</v>
      </c>
      <c r="J163" s="247">
        <v>1</v>
      </c>
      <c r="K163" s="247">
        <f t="shared" si="8"/>
        <v>2177355.2915408853</v>
      </c>
      <c r="L163" s="210">
        <f t="shared" si="9"/>
        <v>-544844.70845911466</v>
      </c>
      <c r="M163" s="212">
        <f t="shared" si="10"/>
        <v>0.20014866962718192</v>
      </c>
    </row>
    <row r="164" spans="1:14" x14ac:dyDescent="0.2">
      <c r="A164" s="244">
        <v>42278</v>
      </c>
      <c r="B164" s="245">
        <f>'[13]Data Input'!B242</f>
        <v>3269292.31</v>
      </c>
      <c r="C164" s="251">
        <f>'Weather Analysis'!Z17</f>
        <v>357.5</v>
      </c>
      <c r="D164" s="251">
        <f>'Weather Analysis'!Z37</f>
        <v>0</v>
      </c>
      <c r="E164" s="247">
        <v>31</v>
      </c>
      <c r="F164" s="248">
        <f>Intermediate!P168</f>
        <v>0</v>
      </c>
      <c r="G164" s="247">
        <f>G163+(G172-G160)/12</f>
        <v>2280.477098747423</v>
      </c>
      <c r="H164" s="252">
        <v>153.81020320590829</v>
      </c>
      <c r="I164" s="254">
        <v>336</v>
      </c>
      <c r="J164" s="247">
        <v>1</v>
      </c>
      <c r="K164" s="247">
        <f t="shared" si="8"/>
        <v>2395824.9785137633</v>
      </c>
      <c r="L164" s="210">
        <f t="shared" si="9"/>
        <v>-873467.33148623677</v>
      </c>
      <c r="M164" s="212">
        <f t="shared" si="10"/>
        <v>0.26717321324083032</v>
      </c>
    </row>
    <row r="165" spans="1:14" x14ac:dyDescent="0.2">
      <c r="A165" s="244">
        <v>42309</v>
      </c>
      <c r="B165" s="245">
        <f>'[13]Data Input'!B243</f>
        <v>2988930.77</v>
      </c>
      <c r="C165" s="251">
        <f>'Weather Analysis'!Z18</f>
        <v>502.50000000000006</v>
      </c>
      <c r="D165" s="251">
        <f>'Weather Analysis'!Z38</f>
        <v>0</v>
      </c>
      <c r="E165" s="247">
        <v>30</v>
      </c>
      <c r="F165" s="248">
        <f>Intermediate!P169</f>
        <v>0</v>
      </c>
      <c r="G165" s="247">
        <f>G164+(G172-G160)/12</f>
        <v>2279.2213734092788</v>
      </c>
      <c r="H165" s="252">
        <v>154.12702704114372</v>
      </c>
      <c r="I165" s="254">
        <v>320</v>
      </c>
      <c r="J165" s="247">
        <v>1</v>
      </c>
      <c r="K165" s="247">
        <f t="shared" si="8"/>
        <v>2423294.0609558383</v>
      </c>
      <c r="L165" s="210">
        <f t="shared" si="9"/>
        <v>-565636.70904416172</v>
      </c>
      <c r="M165" s="212">
        <f t="shared" si="10"/>
        <v>0.18924383084462063</v>
      </c>
    </row>
    <row r="166" spans="1:14" x14ac:dyDescent="0.2">
      <c r="A166" s="244">
        <v>42339</v>
      </c>
      <c r="B166" s="245">
        <f>'[13]Data Input'!B244</f>
        <v>3309930.77</v>
      </c>
      <c r="C166" s="251">
        <f>'Weather Analysis'!Z19</f>
        <v>733.30000000000018</v>
      </c>
      <c r="D166" s="251">
        <f>'Weather Analysis'!Z39</f>
        <v>0</v>
      </c>
      <c r="E166" s="247">
        <v>31</v>
      </c>
      <c r="F166" s="248">
        <f>Intermediate!P170</f>
        <v>0</v>
      </c>
      <c r="G166" s="247">
        <f>G165+(G172-G160)/12</f>
        <v>2277.9656480711346</v>
      </c>
      <c r="H166" s="252">
        <v>154.44450348160629</v>
      </c>
      <c r="I166" s="254">
        <v>352</v>
      </c>
      <c r="J166" s="247">
        <v>0</v>
      </c>
      <c r="K166" s="247">
        <f t="shared" si="8"/>
        <v>2692323.6593878558</v>
      </c>
      <c r="L166" s="210">
        <f t="shared" si="9"/>
        <v>-617607.11061214423</v>
      </c>
      <c r="M166" s="212">
        <f t="shared" si="10"/>
        <v>0.18659215359121975</v>
      </c>
    </row>
    <row r="167" spans="1:14" x14ac:dyDescent="0.2">
      <c r="A167" s="244">
        <v>42370</v>
      </c>
      <c r="B167" s="296"/>
      <c r="C167" s="251">
        <f t="shared" ref="C167:D178" si="11">(C11+C23+C35+C47+C59+C71+C83+C95+C107+C119+C131+C143+C155)/13</f>
        <v>1023.9615384615383</v>
      </c>
      <c r="D167" s="251">
        <f t="shared" si="11"/>
        <v>0</v>
      </c>
      <c r="E167" s="247">
        <v>31</v>
      </c>
      <c r="F167" s="248">
        <f>Intermediate!P171</f>
        <v>0</v>
      </c>
      <c r="G167" s="247">
        <f>G166+(G172-G160)/12</f>
        <v>2276.7099227329904</v>
      </c>
      <c r="H167" s="252">
        <v>154.72483615659849</v>
      </c>
      <c r="I167" s="254">
        <v>320</v>
      </c>
      <c r="J167" s="247">
        <v>0</v>
      </c>
      <c r="K167" s="247">
        <f t="shared" si="8"/>
        <v>2919689.2012449764</v>
      </c>
      <c r="L167" s="297"/>
      <c r="M167" s="212">
        <f t="shared" ref="M167" si="12">AVERAGE(M3:M166)</f>
        <v>7.6076284409645992E-2</v>
      </c>
    </row>
    <row r="168" spans="1:14" x14ac:dyDescent="0.2">
      <c r="A168" s="244">
        <v>42401</v>
      </c>
      <c r="B168" s="296"/>
      <c r="C168" s="251">
        <f t="shared" si="11"/>
        <v>919.36153846153866</v>
      </c>
      <c r="D168" s="251">
        <f t="shared" si="11"/>
        <v>0</v>
      </c>
      <c r="E168" s="247">
        <v>29</v>
      </c>
      <c r="F168" s="248">
        <f>Intermediate!P172</f>
        <v>0</v>
      </c>
      <c r="G168" s="247">
        <f>G167+(G172-G160)/12</f>
        <v>2275.4541973948462</v>
      </c>
      <c r="H168" s="252">
        <v>155.00567766425806</v>
      </c>
      <c r="I168" s="254">
        <v>320</v>
      </c>
      <c r="J168" s="247">
        <v>0</v>
      </c>
      <c r="K168" s="247">
        <f t="shared" si="8"/>
        <v>2662982.4398995563</v>
      </c>
      <c r="L168" s="297"/>
      <c r="M168" s="298"/>
      <c r="N168" s="112" t="s">
        <v>294</v>
      </c>
    </row>
    <row r="169" spans="1:14" x14ac:dyDescent="0.2">
      <c r="A169" s="244">
        <v>42430</v>
      </c>
      <c r="B169" s="296"/>
      <c r="C169" s="251">
        <f t="shared" si="11"/>
        <v>729.98461538461538</v>
      </c>
      <c r="D169" s="251">
        <f t="shared" si="11"/>
        <v>0</v>
      </c>
      <c r="E169" s="247">
        <v>31</v>
      </c>
      <c r="F169" s="248">
        <f>Intermediate!P173</f>
        <v>0</v>
      </c>
      <c r="G169" s="247">
        <f>G168+(G172-G160)/12</f>
        <v>2274.198472056702</v>
      </c>
      <c r="H169" s="252">
        <v>155.2870289281687</v>
      </c>
      <c r="I169" s="254">
        <v>352</v>
      </c>
      <c r="J169" s="247">
        <v>1</v>
      </c>
      <c r="K169" s="247">
        <f t="shared" si="8"/>
        <v>2688416.8678321531</v>
      </c>
      <c r="L169" s="297"/>
      <c r="M169" s="298"/>
    </row>
    <row r="170" spans="1:14" x14ac:dyDescent="0.2">
      <c r="A170" s="244">
        <v>42461</v>
      </c>
      <c r="B170" s="296"/>
      <c r="C170" s="251">
        <f t="shared" si="11"/>
        <v>447.0846153846154</v>
      </c>
      <c r="D170" s="251">
        <f t="shared" si="11"/>
        <v>0</v>
      </c>
      <c r="E170" s="247">
        <v>30</v>
      </c>
      <c r="F170" s="248">
        <f>Intermediate!P174</f>
        <v>0</v>
      </c>
      <c r="G170" s="247">
        <f>G169+(G172-G160)/12</f>
        <v>2272.9427467185578</v>
      </c>
      <c r="H170" s="252">
        <v>155.56889087359048</v>
      </c>
      <c r="I170" s="254">
        <v>336</v>
      </c>
      <c r="J170" s="247">
        <v>1</v>
      </c>
      <c r="K170" s="247">
        <f t="shared" si="8"/>
        <v>2379140.0953750378</v>
      </c>
      <c r="L170" s="297"/>
      <c r="M170" s="298"/>
    </row>
    <row r="171" spans="1:14" x14ac:dyDescent="0.2">
      <c r="A171" s="244">
        <v>42491</v>
      </c>
      <c r="B171" s="296"/>
      <c r="C171" s="251">
        <f t="shared" si="11"/>
        <v>248.03846153846155</v>
      </c>
      <c r="D171" s="251">
        <f t="shared" si="11"/>
        <v>2.4615384615384617</v>
      </c>
      <c r="E171" s="247">
        <v>31</v>
      </c>
      <c r="F171" s="248">
        <f>Intermediate!P175</f>
        <v>0</v>
      </c>
      <c r="G171" s="247">
        <f>G170+(G172-G160)/12</f>
        <v>2271.6870213804136</v>
      </c>
      <c r="H171" s="252">
        <v>155.85126442746289</v>
      </c>
      <c r="I171" s="254">
        <v>336</v>
      </c>
      <c r="J171" s="247">
        <v>1</v>
      </c>
      <c r="K171" s="247">
        <f t="shared" si="8"/>
        <v>2317093.3543067668</v>
      </c>
      <c r="L171" s="297"/>
      <c r="M171" s="298"/>
    </row>
    <row r="172" spans="1:14" x14ac:dyDescent="0.2">
      <c r="A172" s="244">
        <v>42522</v>
      </c>
      <c r="B172" s="296"/>
      <c r="C172" s="251">
        <f t="shared" si="11"/>
        <v>88.34615384615384</v>
      </c>
      <c r="D172" s="251">
        <f t="shared" si="11"/>
        <v>12.253846153846153</v>
      </c>
      <c r="E172" s="247">
        <v>30</v>
      </c>
      <c r="F172" s="248">
        <f>Intermediate!P176</f>
        <v>0</v>
      </c>
      <c r="G172" s="247">
        <f>'Rate Class Customer Model'!G16</f>
        <v>2270.4312960422712</v>
      </c>
      <c r="H172" s="252">
        <v>156.13415051840798</v>
      </c>
      <c r="I172" s="254">
        <v>352</v>
      </c>
      <c r="J172" s="247">
        <v>0</v>
      </c>
      <c r="K172" s="247">
        <f t="shared" si="8"/>
        <v>2133070.9091995563</v>
      </c>
      <c r="L172" s="297"/>
      <c r="M172" s="298"/>
      <c r="N172" s="296">
        <v>3289353.85</v>
      </c>
    </row>
    <row r="173" spans="1:14" x14ac:dyDescent="0.2">
      <c r="A173" s="244">
        <v>42552</v>
      </c>
      <c r="B173" s="245"/>
      <c r="C173" s="251">
        <f t="shared" si="11"/>
        <v>33.746153846153845</v>
      </c>
      <c r="D173" s="251">
        <f t="shared" si="11"/>
        <v>41.638461538461542</v>
      </c>
      <c r="E173" s="247">
        <v>31</v>
      </c>
      <c r="F173" s="248">
        <f>Intermediate!P177</f>
        <v>0</v>
      </c>
      <c r="G173" s="247">
        <f>G172+($G$184-$G$172)/12</f>
        <v>2269.5569146469643</v>
      </c>
      <c r="H173" s="252">
        <v>156.41755007673331</v>
      </c>
      <c r="I173" s="254">
        <v>320</v>
      </c>
      <c r="J173" s="247">
        <v>0</v>
      </c>
      <c r="K173" s="247">
        <f t="shared" si="8"/>
        <v>2266477.2710016333</v>
      </c>
      <c r="L173"/>
      <c r="M173" s="14"/>
      <c r="N173" s="296">
        <v>3345069.23</v>
      </c>
    </row>
    <row r="174" spans="1:14" x14ac:dyDescent="0.2">
      <c r="A174" s="244">
        <v>42583</v>
      </c>
      <c r="B174" s="245"/>
      <c r="C174" s="251">
        <f t="shared" si="11"/>
        <v>60.553846153846166</v>
      </c>
      <c r="D174" s="251">
        <f t="shared" si="11"/>
        <v>30.238461538461539</v>
      </c>
      <c r="E174" s="247">
        <v>31</v>
      </c>
      <c r="F174" s="248">
        <f>Intermediate!P178</f>
        <v>0</v>
      </c>
      <c r="G174" s="247">
        <f>G173+(G184-G172)/12</f>
        <v>2268.6825332516573</v>
      </c>
      <c r="H174" s="252">
        <v>156.70146403443502</v>
      </c>
      <c r="I174" s="254">
        <v>352</v>
      </c>
      <c r="J174" s="247">
        <v>0</v>
      </c>
      <c r="K174" s="247">
        <f t="shared" si="8"/>
        <v>2257267.3075867705</v>
      </c>
      <c r="L174"/>
      <c r="M174" s="14"/>
      <c r="N174" s="296">
        <v>3426492.31</v>
      </c>
    </row>
    <row r="175" spans="1:14" x14ac:dyDescent="0.2">
      <c r="A175" s="244">
        <v>42614</v>
      </c>
      <c r="B175" s="245"/>
      <c r="C175" s="251">
        <f t="shared" si="11"/>
        <v>165.12307692307692</v>
      </c>
      <c r="D175" s="251">
        <f t="shared" si="11"/>
        <v>8.3461538461538485</v>
      </c>
      <c r="E175" s="247">
        <v>30</v>
      </c>
      <c r="F175" s="248">
        <f>Intermediate!P179</f>
        <v>0</v>
      </c>
      <c r="G175" s="247">
        <f>G174+(G184-G172)/12</f>
        <v>2267.8081518563504</v>
      </c>
      <c r="H175" s="252">
        <v>156.98589332520095</v>
      </c>
      <c r="I175" s="254">
        <v>336</v>
      </c>
      <c r="J175" s="247">
        <v>1</v>
      </c>
      <c r="K175" s="247">
        <f t="shared" si="8"/>
        <v>2191192.956603257</v>
      </c>
      <c r="L175"/>
      <c r="M175" s="14"/>
      <c r="N175" s="296">
        <v>3357023.08</v>
      </c>
    </row>
    <row r="176" spans="1:14" x14ac:dyDescent="0.2">
      <c r="A176" s="244">
        <v>42644</v>
      </c>
      <c r="B176" s="245"/>
      <c r="C176" s="251">
        <f t="shared" si="11"/>
        <v>385.59230769230766</v>
      </c>
      <c r="D176" s="251">
        <f t="shared" si="11"/>
        <v>1.1076923076923075</v>
      </c>
      <c r="E176" s="247">
        <v>31</v>
      </c>
      <c r="F176" s="248">
        <f>Intermediate!P180</f>
        <v>0</v>
      </c>
      <c r="G176" s="247">
        <f>G175+(G184-G172)/12</f>
        <v>2266.9337704610434</v>
      </c>
      <c r="H176" s="252">
        <v>157.27083888441365</v>
      </c>
      <c r="I176" s="254">
        <v>320</v>
      </c>
      <c r="J176" s="247">
        <v>1</v>
      </c>
      <c r="K176" s="247">
        <f t="shared" si="8"/>
        <v>2433131.1051800717</v>
      </c>
      <c r="L176"/>
      <c r="M176" s="14"/>
      <c r="N176" s="296">
        <v>2913761.54</v>
      </c>
    </row>
    <row r="177" spans="1:14" x14ac:dyDescent="0.2">
      <c r="A177" s="244">
        <v>42675</v>
      </c>
      <c r="B177" s="245"/>
      <c r="C177" s="251">
        <f t="shared" si="11"/>
        <v>611.06923076923078</v>
      </c>
      <c r="D177" s="251">
        <f t="shared" si="11"/>
        <v>0</v>
      </c>
      <c r="E177" s="247">
        <v>30</v>
      </c>
      <c r="F177" s="248">
        <f>Intermediate!P181</f>
        <v>0</v>
      </c>
      <c r="G177" s="247">
        <f>G176+(G184-G172)/12</f>
        <v>2266.0593890657365</v>
      </c>
      <c r="H177" s="252">
        <v>157.55630164915351</v>
      </c>
      <c r="I177" s="254">
        <v>336</v>
      </c>
      <c r="J177" s="247">
        <v>1</v>
      </c>
      <c r="K177" s="247">
        <f t="shared" si="8"/>
        <v>2522662.92679263</v>
      </c>
      <c r="L177"/>
      <c r="M177" s="14"/>
      <c r="N177" s="296">
        <v>2922792.31</v>
      </c>
    </row>
    <row r="178" spans="1:14" x14ac:dyDescent="0.2">
      <c r="A178" s="244">
        <v>42705</v>
      </c>
      <c r="B178" s="245"/>
      <c r="C178" s="251">
        <f t="shared" si="11"/>
        <v>895.80769230769226</v>
      </c>
      <c r="D178" s="251">
        <f t="shared" si="11"/>
        <v>0</v>
      </c>
      <c r="E178" s="247">
        <v>31</v>
      </c>
      <c r="F178" s="248">
        <f>Intermediate!P182</f>
        <v>0</v>
      </c>
      <c r="G178" s="247">
        <f>G177+(G184-G172)/12</f>
        <v>2265.1850076704295</v>
      </c>
      <c r="H178" s="252">
        <v>157.84228255820162</v>
      </c>
      <c r="I178" s="254">
        <v>336</v>
      </c>
      <c r="J178" s="247">
        <v>0</v>
      </c>
      <c r="K178" s="247">
        <f t="shared" si="8"/>
        <v>2836189.2980812108</v>
      </c>
      <c r="L178"/>
      <c r="M178" s="14"/>
    </row>
    <row r="179" spans="1:14" x14ac:dyDescent="0.2">
      <c r="A179" s="244">
        <v>42736</v>
      </c>
      <c r="B179" s="245"/>
      <c r="C179" s="251">
        <f>C167</f>
        <v>1023.9615384615383</v>
      </c>
      <c r="D179" s="251">
        <f>D167</f>
        <v>0</v>
      </c>
      <c r="E179" s="247">
        <v>31</v>
      </c>
      <c r="F179" s="248">
        <f>Intermediate!P183</f>
        <v>0</v>
      </c>
      <c r="G179" s="247">
        <f>G178+(G184-G172)/12</f>
        <v>2264.3106262751226</v>
      </c>
      <c r="H179" s="252">
        <v>158.15454692394951</v>
      </c>
      <c r="I179" s="254">
        <v>336</v>
      </c>
      <c r="J179" s="247">
        <v>0</v>
      </c>
      <c r="K179" s="247">
        <f t="shared" si="8"/>
        <v>2940861.5912234737</v>
      </c>
      <c r="L179"/>
      <c r="M179" s="14"/>
    </row>
    <row r="180" spans="1:14" x14ac:dyDescent="0.2">
      <c r="A180" s="244">
        <v>42767</v>
      </c>
      <c r="B180" s="245"/>
      <c r="C180" s="251">
        <f t="shared" ref="C180:D190" si="13">C168</f>
        <v>919.36153846153866</v>
      </c>
      <c r="D180" s="251">
        <f t="shared" si="13"/>
        <v>0</v>
      </c>
      <c r="E180" s="247">
        <v>28</v>
      </c>
      <c r="F180" s="248">
        <f>Intermediate!P184</f>
        <v>0</v>
      </c>
      <c r="G180" s="247">
        <f>G179+(G184-G172)/12</f>
        <v>2263.4362448798156</v>
      </c>
      <c r="H180" s="252">
        <v>158.46742905214063</v>
      </c>
      <c r="I180" s="254">
        <v>304</v>
      </c>
      <c r="J180" s="247">
        <v>0</v>
      </c>
      <c r="K180" s="247">
        <f t="shared" si="8"/>
        <v>2601697.3573206328</v>
      </c>
      <c r="L180"/>
      <c r="M180" s="14"/>
    </row>
    <row r="181" spans="1:14" x14ac:dyDescent="0.2">
      <c r="A181" s="244">
        <v>42795</v>
      </c>
      <c r="B181" s="245"/>
      <c r="C181" s="251">
        <f t="shared" si="13"/>
        <v>729.98461538461538</v>
      </c>
      <c r="D181" s="251">
        <f t="shared" si="13"/>
        <v>0</v>
      </c>
      <c r="E181" s="247">
        <v>31</v>
      </c>
      <c r="F181" s="248">
        <f>Intermediate!P185</f>
        <v>0</v>
      </c>
      <c r="G181" s="247">
        <f>G180+(G184-G172)/12</f>
        <v>2262.5618634845086</v>
      </c>
      <c r="H181" s="252">
        <v>158.78093016491388</v>
      </c>
      <c r="I181" s="254">
        <v>368</v>
      </c>
      <c r="J181" s="247">
        <v>1</v>
      </c>
      <c r="K181" s="247">
        <f t="shared" si="8"/>
        <v>2718963.4551914325</v>
      </c>
      <c r="L181"/>
      <c r="M181" s="14"/>
    </row>
    <row r="182" spans="1:14" x14ac:dyDescent="0.2">
      <c r="A182" s="244">
        <v>42826</v>
      </c>
      <c r="B182" s="245"/>
      <c r="C182" s="251">
        <f t="shared" si="13"/>
        <v>447.0846153846154</v>
      </c>
      <c r="D182" s="251">
        <f t="shared" si="13"/>
        <v>0</v>
      </c>
      <c r="E182" s="247">
        <v>30</v>
      </c>
      <c r="F182" s="248">
        <f>Intermediate!P186</f>
        <v>0</v>
      </c>
      <c r="G182" s="247">
        <f>G181+(G184-G172)/12</f>
        <v>2261.6874820892017</v>
      </c>
      <c r="H182" s="252">
        <v>159.09505148682601</v>
      </c>
      <c r="I182" s="254">
        <v>304</v>
      </c>
      <c r="J182" s="247">
        <v>1</v>
      </c>
      <c r="K182" s="247">
        <f t="shared" si="8"/>
        <v>2414380.1504542017</v>
      </c>
      <c r="L182"/>
      <c r="M182" s="14"/>
    </row>
    <row r="183" spans="1:14" x14ac:dyDescent="0.2">
      <c r="A183" s="244">
        <v>42856</v>
      </c>
      <c r="B183" s="245"/>
      <c r="C183" s="251">
        <f t="shared" si="13"/>
        <v>248.03846153846155</v>
      </c>
      <c r="D183" s="251">
        <f t="shared" si="13"/>
        <v>2.4615384615384617</v>
      </c>
      <c r="E183" s="247">
        <v>31</v>
      </c>
      <c r="F183" s="248">
        <f>Intermediate!P187</f>
        <v>0</v>
      </c>
      <c r="G183" s="247">
        <f>G182+(G184-G172)/12</f>
        <v>2260.8131006938947</v>
      </c>
      <c r="H183" s="252">
        <v>159.4097942448563</v>
      </c>
      <c r="I183" s="254">
        <v>352</v>
      </c>
      <c r="J183" s="247">
        <v>1</v>
      </c>
      <c r="K183" s="247">
        <f t="shared" si="8"/>
        <v>2357031.1386387236</v>
      </c>
      <c r="L183"/>
      <c r="M183" s="14"/>
    </row>
    <row r="184" spans="1:14" x14ac:dyDescent="0.2">
      <c r="A184" s="244">
        <v>42887</v>
      </c>
      <c r="B184" s="245"/>
      <c r="C184" s="251">
        <f t="shared" si="13"/>
        <v>88.34615384615384</v>
      </c>
      <c r="D184" s="251">
        <f t="shared" si="13"/>
        <v>12.253846153846153</v>
      </c>
      <c r="E184" s="247">
        <v>30</v>
      </c>
      <c r="F184" s="248">
        <f>Intermediate!P188</f>
        <v>0</v>
      </c>
      <c r="G184" s="247">
        <f>'Rate Class Customer Model'!G17</f>
        <v>2259.9387192985905</v>
      </c>
      <c r="H184" s="252">
        <v>159.72515966841141</v>
      </c>
      <c r="I184" s="254">
        <v>352</v>
      </c>
      <c r="J184" s="247">
        <v>0</v>
      </c>
      <c r="K184" s="247">
        <f t="shared" si="8"/>
        <v>2177710.6959882705</v>
      </c>
      <c r="L184"/>
      <c r="M184" s="14"/>
    </row>
    <row r="185" spans="1:14" x14ac:dyDescent="0.2">
      <c r="A185" s="244">
        <v>42917</v>
      </c>
      <c r="B185" s="245"/>
      <c r="C185" s="251">
        <f t="shared" si="13"/>
        <v>33.746153846153845</v>
      </c>
      <c r="D185" s="251">
        <f t="shared" si="13"/>
        <v>41.638461538461542</v>
      </c>
      <c r="E185" s="247">
        <v>31</v>
      </c>
      <c r="F185" s="248">
        <f>Intermediate!P189</f>
        <v>0</v>
      </c>
      <c r="G185" s="247">
        <f>G184+($G$184-$G$172)/12</f>
        <v>2259.0643379032836</v>
      </c>
      <c r="H185" s="252">
        <v>160.0411489893302</v>
      </c>
      <c r="I185" s="254">
        <v>320</v>
      </c>
      <c r="J185" s="247">
        <v>0</v>
      </c>
      <c r="K185" s="247">
        <f t="shared" si="8"/>
        <v>2312381.6056856606</v>
      </c>
      <c r="L185"/>
      <c r="M185" s="14"/>
    </row>
    <row r="186" spans="1:14" x14ac:dyDescent="0.2">
      <c r="A186" s="244">
        <v>42948</v>
      </c>
      <c r="B186" s="245"/>
      <c r="C186" s="251">
        <f t="shared" si="13"/>
        <v>60.553846153846166</v>
      </c>
      <c r="D186" s="251">
        <f t="shared" si="13"/>
        <v>30.238461538461539</v>
      </c>
      <c r="E186" s="247">
        <v>31</v>
      </c>
      <c r="F186" s="248">
        <f>Intermediate!P190</f>
        <v>0</v>
      </c>
      <c r="G186" s="247">
        <f t="shared" ref="G186:G190" si="14">G185+($G$184-$G$172)/12</f>
        <v>2258.1899565079766</v>
      </c>
      <c r="H186" s="252">
        <v>160.35776344188849</v>
      </c>
      <c r="I186" s="254">
        <v>352</v>
      </c>
      <c r="J186" s="247">
        <v>0</v>
      </c>
      <c r="K186" s="247">
        <f t="shared" si="8"/>
        <v>2304440.4867991367</v>
      </c>
      <c r="L186"/>
      <c r="M186" s="14"/>
    </row>
    <row r="187" spans="1:14" x14ac:dyDescent="0.2">
      <c r="A187" s="244">
        <v>42979</v>
      </c>
      <c r="B187" s="245"/>
      <c r="C187" s="251">
        <f t="shared" si="13"/>
        <v>165.12307692307692</v>
      </c>
      <c r="D187" s="251">
        <f t="shared" si="13"/>
        <v>8.3461538461538485</v>
      </c>
      <c r="E187" s="247">
        <v>30</v>
      </c>
      <c r="F187" s="248">
        <f>Intermediate!P191</f>
        <v>0</v>
      </c>
      <c r="G187" s="247">
        <f t="shared" si="14"/>
        <v>2257.3155751126696</v>
      </c>
      <c r="H187" s="252">
        <v>160.67500426280395</v>
      </c>
      <c r="I187" s="254">
        <v>320</v>
      </c>
      <c r="J187" s="247">
        <v>1</v>
      </c>
      <c r="K187" s="247">
        <f t="shared" si="8"/>
        <v>2239639.2887351504</v>
      </c>
      <c r="L187"/>
      <c r="M187" s="14"/>
    </row>
    <row r="188" spans="1:14" x14ac:dyDescent="0.2">
      <c r="A188" s="244">
        <v>43009</v>
      </c>
      <c r="B188" s="245"/>
      <c r="C188" s="251">
        <f t="shared" si="13"/>
        <v>385.59230769230766</v>
      </c>
      <c r="D188" s="251">
        <f t="shared" si="13"/>
        <v>1.1076923076923075</v>
      </c>
      <c r="E188" s="247">
        <v>31</v>
      </c>
      <c r="F188" s="248">
        <f>Intermediate!P192</f>
        <v>0</v>
      </c>
      <c r="G188" s="247">
        <f t="shared" si="14"/>
        <v>2256.4411937173627</v>
      </c>
      <c r="H188" s="252">
        <v>160.99287269124085</v>
      </c>
      <c r="I188" s="254">
        <v>336</v>
      </c>
      <c r="J188" s="247">
        <v>1</v>
      </c>
      <c r="K188" s="247">
        <f t="shared" si="8"/>
        <v>2482854.9104100196</v>
      </c>
      <c r="L188"/>
      <c r="M188" s="14"/>
    </row>
    <row r="189" spans="1:14" x14ac:dyDescent="0.2">
      <c r="A189" s="244">
        <v>43040</v>
      </c>
      <c r="B189" s="245"/>
      <c r="C189" s="251">
        <f t="shared" si="13"/>
        <v>611.06923076923078</v>
      </c>
      <c r="D189" s="251">
        <f t="shared" si="13"/>
        <v>0</v>
      </c>
      <c r="E189" s="247">
        <v>30</v>
      </c>
      <c r="F189" s="248">
        <f>Intermediate!P193</f>
        <v>0</v>
      </c>
      <c r="G189" s="247">
        <f t="shared" si="14"/>
        <v>2255.5668123220557</v>
      </c>
      <c r="H189" s="252">
        <v>161.31136996881492</v>
      </c>
      <c r="I189" s="254">
        <v>352</v>
      </c>
      <c r="J189" s="247">
        <v>1</v>
      </c>
      <c r="K189" s="247">
        <f t="shared" si="8"/>
        <v>2573668.5371157378</v>
      </c>
      <c r="L189"/>
      <c r="M189" s="14"/>
    </row>
    <row r="190" spans="1:14" x14ac:dyDescent="0.2">
      <c r="A190" s="244">
        <v>43070</v>
      </c>
      <c r="B190" s="245"/>
      <c r="C190" s="251">
        <f t="shared" si="13"/>
        <v>895.80769230769226</v>
      </c>
      <c r="D190" s="251">
        <f t="shared" si="13"/>
        <v>0</v>
      </c>
      <c r="E190" s="247">
        <v>31</v>
      </c>
      <c r="F190" s="248">
        <f>Intermediate!P194</f>
        <v>0</v>
      </c>
      <c r="G190" s="247">
        <f t="shared" si="14"/>
        <v>2254.6924309267488</v>
      </c>
      <c r="H190" s="252">
        <v>161.63049733959846</v>
      </c>
      <c r="I190" s="254">
        <v>304</v>
      </c>
      <c r="J190" s="247">
        <v>0</v>
      </c>
      <c r="K190" s="247">
        <f t="shared" si="8"/>
        <v>2888481.0573384939</v>
      </c>
      <c r="L190"/>
      <c r="M190" s="14"/>
    </row>
    <row r="191" spans="1:14" x14ac:dyDescent="0.2">
      <c r="A191" s="3"/>
      <c r="L191" s="10"/>
      <c r="M191" s="14"/>
    </row>
    <row r="192" spans="1:14" x14ac:dyDescent="0.2">
      <c r="A192" s="3"/>
      <c r="D192" s="25" t="s">
        <v>67</v>
      </c>
      <c r="E192" s="101"/>
      <c r="K192" s="91">
        <f>SUM(K3:K191)</f>
        <v>520830484.33261907</v>
      </c>
      <c r="L192" s="10"/>
      <c r="M192" s="14"/>
    </row>
    <row r="193" spans="1:16" x14ac:dyDescent="0.2">
      <c r="A193" s="3"/>
      <c r="L193" s="10"/>
      <c r="M193" s="14"/>
      <c r="N193" s="1" t="s">
        <v>67</v>
      </c>
      <c r="O193" s="378" t="s">
        <v>288</v>
      </c>
      <c r="P193" s="379"/>
    </row>
    <row r="194" spans="1:16" x14ac:dyDescent="0.2">
      <c r="A194" t="s">
        <v>132</v>
      </c>
      <c r="B194" s="29">
        <f>SUM(B3:B10)</f>
        <v>34318804</v>
      </c>
      <c r="K194" s="65">
        <f>SUM(K3:K10)</f>
        <v>34503732.95362363</v>
      </c>
      <c r="L194" s="10">
        <f t="shared" ref="L194:L207" si="15">K194-B194</f>
        <v>184928.95362363011</v>
      </c>
      <c r="M194" s="14">
        <f t="shared" ref="M194:M207" si="16">L194/B194</f>
        <v>5.3885605577522486E-3</v>
      </c>
      <c r="N194" s="6">
        <f>'Purchased Power Model  WN'!K194</f>
        <v>34104155.152089268</v>
      </c>
      <c r="O194" s="26">
        <f>N194/K194</f>
        <v>0.98841928778919563</v>
      </c>
    </row>
    <row r="195" spans="1:16" x14ac:dyDescent="0.2">
      <c r="A195" s="17">
        <v>2003</v>
      </c>
      <c r="B195" s="29">
        <f>SUM(B11:B22)</f>
        <v>41860673</v>
      </c>
      <c r="K195" s="65">
        <f>SUM(K11:K22)</f>
        <v>42054319.565060474</v>
      </c>
      <c r="L195" s="10">
        <f t="shared" si="15"/>
        <v>193646.56506047398</v>
      </c>
      <c r="M195" s="14">
        <f t="shared" si="16"/>
        <v>4.6259783033224039E-3</v>
      </c>
      <c r="N195" s="6">
        <f>'Purchased Power Model  WN'!K195</f>
        <v>41972232.933515146</v>
      </c>
      <c r="O195" s="26">
        <f t="shared" ref="O195:O207" si="17">N195/K195</f>
        <v>0.99804808085366037</v>
      </c>
    </row>
    <row r="196" spans="1:16" x14ac:dyDescent="0.2">
      <c r="A196">
        <v>2004</v>
      </c>
      <c r="B196" s="29">
        <f>SUM(B23:B34)</f>
        <v>40321018.040000007</v>
      </c>
      <c r="K196" s="65">
        <f>SUM(K23:K34)</f>
        <v>39418748.505477853</v>
      </c>
      <c r="L196" s="10">
        <f t="shared" si="15"/>
        <v>-902269.53452215344</v>
      </c>
      <c r="M196" s="14">
        <f t="shared" si="16"/>
        <v>-2.2377151629134642E-2</v>
      </c>
      <c r="N196" s="6">
        <f>'Purchased Power Model  WN'!K196</f>
        <v>39164381.995064601</v>
      </c>
      <c r="O196" s="26">
        <f t="shared" si="17"/>
        <v>0.99354706782794222</v>
      </c>
    </row>
    <row r="197" spans="1:16" x14ac:dyDescent="0.2">
      <c r="A197" s="17">
        <v>2005</v>
      </c>
      <c r="B197" s="29">
        <f>SUM(B35:B46)</f>
        <v>45911126</v>
      </c>
      <c r="K197" s="65">
        <f>SUM(K35:K46)</f>
        <v>46157876.812191114</v>
      </c>
      <c r="L197" s="10">
        <f t="shared" si="15"/>
        <v>246750.81219111383</v>
      </c>
      <c r="M197" s="14">
        <f t="shared" si="16"/>
        <v>5.3745319204567934E-3</v>
      </c>
      <c r="N197" s="6">
        <f>'Purchased Power Model  WN'!K197</f>
        <v>46030916.080432579</v>
      </c>
      <c r="O197" s="26">
        <f t="shared" si="17"/>
        <v>0.99724942435556307</v>
      </c>
    </row>
    <row r="198" spans="1:16" x14ac:dyDescent="0.2">
      <c r="A198">
        <v>2006</v>
      </c>
      <c r="B198" s="29">
        <f>SUM(B47:B58)</f>
        <v>46231560.080000013</v>
      </c>
      <c r="K198" s="65">
        <f>SUM(K47:K58)</f>
        <v>45957967.689415693</v>
      </c>
      <c r="L198" s="10">
        <f t="shared" si="15"/>
        <v>-273592.39058431983</v>
      </c>
      <c r="M198" s="14">
        <f t="shared" si="16"/>
        <v>-5.9178706085386279E-3</v>
      </c>
      <c r="N198" s="6">
        <f>'Purchased Power Model  WN'!K198</f>
        <v>46266103.875452794</v>
      </c>
      <c r="O198" s="26">
        <f t="shared" si="17"/>
        <v>1.0067047391677433</v>
      </c>
    </row>
    <row r="199" spans="1:16" x14ac:dyDescent="0.2">
      <c r="A199" s="17">
        <v>2007</v>
      </c>
      <c r="B199" s="29">
        <f>SUM(B59:B70)</f>
        <v>40722040.040000014</v>
      </c>
      <c r="K199" s="65">
        <f>SUM(K59:K70)</f>
        <v>40060455.926618196</v>
      </c>
      <c r="L199" s="10">
        <f t="shared" si="15"/>
        <v>-661584.11338181794</v>
      </c>
      <c r="M199" s="14">
        <f t="shared" si="16"/>
        <v>-1.6246340132566151E-2</v>
      </c>
      <c r="N199" s="6">
        <f>'Purchased Power Model  WN'!K199</f>
        <v>39909639.74082692</v>
      </c>
      <c r="O199" s="26">
        <f t="shared" si="17"/>
        <v>0.99623528533805161</v>
      </c>
    </row>
    <row r="200" spans="1:16" x14ac:dyDescent="0.2">
      <c r="A200">
        <v>2008</v>
      </c>
      <c r="B200" s="29">
        <f>SUM(B71:B82)</f>
        <v>27014076.149999999</v>
      </c>
      <c r="K200" s="65">
        <f>SUM(K71:K82)</f>
        <v>26845248.051850185</v>
      </c>
      <c r="L200" s="10">
        <f t="shared" si="15"/>
        <v>-168828.09814981371</v>
      </c>
      <c r="M200" s="14">
        <f t="shared" si="16"/>
        <v>-6.2496343466409351E-3</v>
      </c>
      <c r="N200" s="6">
        <f>'Purchased Power Model  WN'!K200</f>
        <v>26438899.284063853</v>
      </c>
      <c r="O200" s="26">
        <f t="shared" si="17"/>
        <v>0.9848632887652411</v>
      </c>
    </row>
    <row r="201" spans="1:16" x14ac:dyDescent="0.2">
      <c r="A201" s="17">
        <v>2009</v>
      </c>
      <c r="B201" s="29">
        <f>SUM(B83:B94)</f>
        <v>25781621.564615387</v>
      </c>
      <c r="K201" s="65">
        <f>SUM(K83:K94)</f>
        <v>25037464.386366356</v>
      </c>
      <c r="L201" s="10">
        <f t="shared" si="15"/>
        <v>-744157.17824903131</v>
      </c>
      <c r="M201" s="14">
        <f t="shared" si="16"/>
        <v>-2.8863862437200922E-2</v>
      </c>
      <c r="N201" s="6">
        <f>'Purchased Power Model  WN'!K201</f>
        <v>24925684.837626398</v>
      </c>
      <c r="O201" s="26">
        <f t="shared" si="17"/>
        <v>0.99553550842788918</v>
      </c>
    </row>
    <row r="202" spans="1:16" x14ac:dyDescent="0.2">
      <c r="A202">
        <v>2010</v>
      </c>
      <c r="B202" s="29">
        <f>SUM(B95:B106)</f>
        <v>24708723.119999997</v>
      </c>
      <c r="K202" s="65">
        <f>SUM(K95:K106)</f>
        <v>23445416.720921185</v>
      </c>
      <c r="L202" s="10">
        <f t="shared" si="15"/>
        <v>-1263306.3990788125</v>
      </c>
      <c r="M202" s="14">
        <f t="shared" si="16"/>
        <v>-5.1127951571736767E-2</v>
      </c>
      <c r="N202" s="6">
        <f>'Purchased Power Model  WN'!K202</f>
        <v>24305259.546452895</v>
      </c>
      <c r="O202" s="26">
        <f t="shared" si="17"/>
        <v>1.0366742393947062</v>
      </c>
    </row>
    <row r="203" spans="1:16" x14ac:dyDescent="0.2">
      <c r="A203" s="17">
        <v>2011</v>
      </c>
      <c r="B203" s="29">
        <f>SUM(B107:B118)</f>
        <v>24741815.289999999</v>
      </c>
      <c r="K203" s="65">
        <f>SUM(K107:K118)</f>
        <v>24918760.34155941</v>
      </c>
      <c r="L203" s="10">
        <f t="shared" si="15"/>
        <v>176945.05155941099</v>
      </c>
      <c r="M203" s="14">
        <f t="shared" si="16"/>
        <v>7.1516600332445128E-3</v>
      </c>
      <c r="N203" s="6">
        <f>'Purchased Power Model  WN'!K203</f>
        <v>25020923.569088221</v>
      </c>
      <c r="O203" s="26">
        <f t="shared" si="17"/>
        <v>1.0040998519239508</v>
      </c>
    </row>
    <row r="204" spans="1:16" x14ac:dyDescent="0.2">
      <c r="A204">
        <v>2012</v>
      </c>
      <c r="B204" s="29">
        <f>SUM(B119:B130)</f>
        <v>24288144.07</v>
      </c>
      <c r="K204" s="65">
        <f>SUM(K119:K130)</f>
        <v>26143106.94158224</v>
      </c>
      <c r="L204" s="10">
        <f t="shared" si="15"/>
        <v>1854962.8715822399</v>
      </c>
      <c r="M204" s="14">
        <f t="shared" si="16"/>
        <v>7.6373182991508817E-2</v>
      </c>
      <c r="N204" s="6">
        <f>'Purchased Power Model  WN'!K204</f>
        <v>26762736.848040104</v>
      </c>
      <c r="O204" s="26">
        <f t="shared" si="17"/>
        <v>1.0237014639400914</v>
      </c>
    </row>
    <row r="205" spans="1:16" x14ac:dyDescent="0.2">
      <c r="A205" s="17">
        <v>2013</v>
      </c>
      <c r="B205" s="29">
        <f>SUM(B131:B142)</f>
        <v>24871616.660000004</v>
      </c>
      <c r="K205" s="65">
        <f>SUM(K131:K142)</f>
        <v>28220258.103847928</v>
      </c>
      <c r="L205" s="10">
        <f t="shared" si="15"/>
        <v>3348641.4438479245</v>
      </c>
      <c r="M205" s="14">
        <f t="shared" si="16"/>
        <v>0.13463706399244271</v>
      </c>
      <c r="N205" s="6">
        <f>'Purchased Power Model  WN'!K205</f>
        <v>27790744.892839804</v>
      </c>
      <c r="O205" s="26">
        <f t="shared" si="17"/>
        <v>0.98477996872220108</v>
      </c>
    </row>
    <row r="206" spans="1:16" x14ac:dyDescent="0.2">
      <c r="A206" s="17">
        <v>2014</v>
      </c>
      <c r="B206" s="65">
        <f>SUM(B143:B154)</f>
        <v>25633173.069999997</v>
      </c>
      <c r="C206" s="59"/>
      <c r="D206" s="59"/>
      <c r="E206" s="59"/>
      <c r="F206" s="65"/>
      <c r="G206" s="59"/>
      <c r="I206" s="59"/>
      <c r="J206" s="59"/>
      <c r="K206" s="65">
        <f>SUM(K143:K154)</f>
        <v>29188104.248473953</v>
      </c>
      <c r="L206" s="10">
        <f t="shared" si="15"/>
        <v>3554931.1784739569</v>
      </c>
      <c r="M206" s="14">
        <f t="shared" si="16"/>
        <v>0.13868478821431987</v>
      </c>
      <c r="N206" s="6">
        <f>'Purchased Power Model  WN'!K206</f>
        <v>28747422.753752161</v>
      </c>
      <c r="O206" s="26">
        <f t="shared" si="17"/>
        <v>0.98490201724064241</v>
      </c>
    </row>
    <row r="207" spans="1:16" x14ac:dyDescent="0.2">
      <c r="A207">
        <v>2015</v>
      </c>
      <c r="B207" s="65">
        <f>SUM(B155:B166)</f>
        <v>34806669.239999995</v>
      </c>
      <c r="C207" s="59"/>
      <c r="D207" s="59"/>
      <c r="E207" s="59"/>
      <c r="F207" s="65"/>
      <c r="G207" s="59"/>
      <c r="I207" s="59"/>
      <c r="J207" s="59"/>
      <c r="K207" s="65">
        <f>SUM(K155:K166)</f>
        <v>29259600.077626355</v>
      </c>
      <c r="L207" s="10">
        <f t="shared" si="15"/>
        <v>-5547069.1623736396</v>
      </c>
      <c r="M207" s="14">
        <f t="shared" si="16"/>
        <v>-0.15936799709634153</v>
      </c>
      <c r="N207" s="6">
        <f>'Purchased Power Model  WN'!K207</f>
        <v>29372381.013835475</v>
      </c>
      <c r="O207" s="26">
        <f t="shared" si="17"/>
        <v>1.0038544934281368</v>
      </c>
    </row>
    <row r="208" spans="1:16" x14ac:dyDescent="0.2">
      <c r="B208" s="65"/>
      <c r="C208" s="59"/>
      <c r="D208" s="59"/>
      <c r="E208" s="59"/>
      <c r="F208" s="65"/>
      <c r="G208" s="59"/>
      <c r="I208" s="59"/>
      <c r="J208" s="59"/>
      <c r="K208" s="65">
        <f>SUM(K167:K178)</f>
        <v>29607313.733103618</v>
      </c>
      <c r="L208" s="10"/>
      <c r="M208" s="14"/>
      <c r="N208" s="6">
        <f>'Purchased Power Model  WN'!K208</f>
        <v>29607313.733103618</v>
      </c>
      <c r="O208" s="116"/>
    </row>
    <row r="209" spans="1:15" x14ac:dyDescent="0.2">
      <c r="B209" s="65"/>
      <c r="C209" s="59"/>
      <c r="D209" s="59"/>
      <c r="E209" s="59"/>
      <c r="F209" s="65"/>
      <c r="G209" s="59"/>
      <c r="I209" s="59"/>
      <c r="J209" s="59"/>
      <c r="K209" s="65">
        <f>SUM(K179:K190)</f>
        <v>30012110.274900936</v>
      </c>
      <c r="L209" s="10"/>
      <c r="M209" s="14"/>
      <c r="N209" s="6">
        <f>'Purchased Power Model  WN'!K209</f>
        <v>30012110.274900936</v>
      </c>
      <c r="O209" s="116"/>
    </row>
    <row r="210" spans="1:15" x14ac:dyDescent="0.2">
      <c r="K210" s="29"/>
    </row>
    <row r="211" spans="1:15" x14ac:dyDescent="0.2">
      <c r="A211" s="15" t="s">
        <v>139</v>
      </c>
      <c r="B211" s="29">
        <f>SUM(B194:B207)</f>
        <v>461211060.32461548</v>
      </c>
      <c r="K211" s="65">
        <f>SUM(K194:K207)</f>
        <v>461211060.32461452</v>
      </c>
      <c r="L211" s="6">
        <f>B211-K211</f>
        <v>9.5367431640625E-7</v>
      </c>
    </row>
    <row r="213" spans="1:15" x14ac:dyDescent="0.2">
      <c r="K213" s="29">
        <f>SUM(K194:K209)</f>
        <v>520830484.33261907</v>
      </c>
      <c r="L213" s="52">
        <f>K192-K213</f>
        <v>0</v>
      </c>
    </row>
    <row r="216" spans="1:15" x14ac:dyDescent="0.2">
      <c r="C216" s="25" t="s">
        <v>138</v>
      </c>
    </row>
    <row r="217" spans="1:15" x14ac:dyDescent="0.2">
      <c r="L217" s="58"/>
      <c r="M217" s="59"/>
    </row>
    <row r="218" spans="1:15" x14ac:dyDescent="0.2">
      <c r="A218" s="3">
        <v>40909</v>
      </c>
      <c r="C218" s="19">
        <f>'Weather Analysis'!AA8</f>
        <v>1001.04</v>
      </c>
      <c r="D218" s="19">
        <f>'Weather Analysis'!AA28</f>
        <v>0</v>
      </c>
      <c r="E218" s="102">
        <f>E179</f>
        <v>31</v>
      </c>
      <c r="F218" s="72">
        <v>0</v>
      </c>
      <c r="G218" s="72">
        <f>G179</f>
        <v>2264.3106262751226</v>
      </c>
      <c r="H218" s="103">
        <v>158.15454692394951</v>
      </c>
      <c r="I218" s="104"/>
      <c r="J218" s="102"/>
      <c r="K218" s="18">
        <f t="shared" ref="K218:K229" si="18">$O$18+C218*$O$19+D218*$O$20+E218*$O$21+F218*$O$22+G218*$O$23+H218*$O$24</f>
        <v>2922895.6227538651</v>
      </c>
      <c r="L218" s="52"/>
    </row>
    <row r="219" spans="1:15" x14ac:dyDescent="0.2">
      <c r="A219" s="3">
        <v>40940</v>
      </c>
      <c r="C219" s="19">
        <f>'Weather Analysis'!AA9</f>
        <v>933.28000000000009</v>
      </c>
      <c r="D219" s="19">
        <f>'Weather Analysis'!AA29</f>
        <v>0</v>
      </c>
      <c r="E219" s="102">
        <f t="shared" ref="E219:E229" si="19">E180</f>
        <v>28</v>
      </c>
      <c r="F219" s="72">
        <v>0</v>
      </c>
      <c r="G219" s="72">
        <f t="shared" ref="G219:G229" si="20">G180</f>
        <v>2263.4362448798156</v>
      </c>
      <c r="H219" s="103">
        <v>158.46742905214063</v>
      </c>
      <c r="I219" s="104"/>
      <c r="J219" s="102"/>
      <c r="K219" s="18">
        <f t="shared" si="18"/>
        <v>2612606.6879297048</v>
      </c>
      <c r="L219" s="52"/>
    </row>
    <row r="220" spans="1:15" x14ac:dyDescent="0.2">
      <c r="A220" s="3">
        <v>40969</v>
      </c>
      <c r="C220" s="19">
        <f>'Weather Analysis'!AA10</f>
        <v>718.8</v>
      </c>
      <c r="D220" s="19">
        <f>'Weather Analysis'!AA30</f>
        <v>0</v>
      </c>
      <c r="E220" s="102">
        <f t="shared" si="19"/>
        <v>31</v>
      </c>
      <c r="F220" s="72">
        <v>0</v>
      </c>
      <c r="G220" s="72">
        <f t="shared" si="20"/>
        <v>2262.5618634845086</v>
      </c>
      <c r="H220" s="103">
        <v>158.78093016491388</v>
      </c>
      <c r="I220" s="104"/>
      <c r="J220" s="102"/>
      <c r="K220" s="18">
        <f t="shared" si="18"/>
        <v>2710196.9211439071</v>
      </c>
      <c r="L220" s="52"/>
    </row>
    <row r="221" spans="1:15" x14ac:dyDescent="0.2">
      <c r="A221" s="3">
        <v>41000</v>
      </c>
      <c r="C221" s="19">
        <f>'Weather Analysis'!AA11</f>
        <v>455.37999999999994</v>
      </c>
      <c r="D221" s="19">
        <f>'Weather Analysis'!AA31</f>
        <v>0</v>
      </c>
      <c r="E221" s="102">
        <f t="shared" si="19"/>
        <v>30</v>
      </c>
      <c r="F221" s="72">
        <v>0</v>
      </c>
      <c r="G221" s="72">
        <f t="shared" si="20"/>
        <v>2261.6874820892017</v>
      </c>
      <c r="H221" s="103">
        <v>159.09505148682601</v>
      </c>
      <c r="I221" s="104"/>
      <c r="J221" s="102"/>
      <c r="K221" s="18">
        <f t="shared" si="18"/>
        <v>2420882.097027001</v>
      </c>
      <c r="L221" s="52"/>
      <c r="M221" s="52"/>
    </row>
    <row r="222" spans="1:15" x14ac:dyDescent="0.2">
      <c r="A222" s="3">
        <v>41030</v>
      </c>
      <c r="C222" s="19">
        <f>'Weather Analysis'!AA12</f>
        <v>240</v>
      </c>
      <c r="D222" s="19">
        <f>'Weather Analysis'!AA32</f>
        <v>5.1899999999999995</v>
      </c>
      <c r="E222" s="102">
        <f t="shared" si="19"/>
        <v>31</v>
      </c>
      <c r="F222" s="72">
        <v>0</v>
      </c>
      <c r="G222" s="72">
        <f t="shared" si="20"/>
        <v>2260.8131006938947</v>
      </c>
      <c r="H222" s="103">
        <v>159.4097942448563</v>
      </c>
      <c r="I222" s="104"/>
      <c r="J222" s="102"/>
      <c r="K222" s="18">
        <f t="shared" si="18"/>
        <v>2358711.7485255264</v>
      </c>
      <c r="L222" s="52"/>
    </row>
    <row r="223" spans="1:15" x14ac:dyDescent="0.2">
      <c r="A223" s="3">
        <v>41061</v>
      </c>
      <c r="C223" s="19">
        <f>'Weather Analysis'!AA13</f>
        <v>86.890000000000015</v>
      </c>
      <c r="D223" s="19">
        <f>'Weather Analysis'!AA33</f>
        <v>13.55</v>
      </c>
      <c r="E223" s="102">
        <f t="shared" si="19"/>
        <v>30</v>
      </c>
      <c r="F223" s="72">
        <v>0</v>
      </c>
      <c r="G223" s="72">
        <f t="shared" si="20"/>
        <v>2259.9387192985905</v>
      </c>
      <c r="H223" s="103">
        <v>159.72515966841141</v>
      </c>
      <c r="I223" s="104"/>
      <c r="J223" s="102"/>
      <c r="K223" s="18">
        <f t="shared" si="18"/>
        <v>2180360.8123598425</v>
      </c>
      <c r="L223" s="52"/>
    </row>
    <row r="224" spans="1:15" x14ac:dyDescent="0.2">
      <c r="A224" s="3">
        <v>41091</v>
      </c>
      <c r="C224" s="19">
        <f>'Weather Analysis'!AA14</f>
        <v>34.47</v>
      </c>
      <c r="D224" s="19">
        <f>'Weather Analysis'!AA34</f>
        <v>46.3</v>
      </c>
      <c r="E224" s="102">
        <f t="shared" si="19"/>
        <v>31</v>
      </c>
      <c r="F224" s="72">
        <v>0</v>
      </c>
      <c r="G224" s="72">
        <f t="shared" si="20"/>
        <v>2259.0643379032836</v>
      </c>
      <c r="H224" s="103">
        <v>160.0411489893302</v>
      </c>
      <c r="I224" s="104"/>
      <c r="J224" s="102"/>
      <c r="K224" s="18">
        <f t="shared" si="18"/>
        <v>2326584.6920376476</v>
      </c>
      <c r="L224" s="52"/>
    </row>
    <row r="225" spans="1:12" x14ac:dyDescent="0.2">
      <c r="A225" s="3">
        <v>41122</v>
      </c>
      <c r="C225" s="19">
        <f>'Weather Analysis'!AA15</f>
        <v>54.75</v>
      </c>
      <c r="D225" s="19">
        <f>'Weather Analysis'!AA35</f>
        <v>31.379999999999995</v>
      </c>
      <c r="E225" s="102">
        <f t="shared" si="19"/>
        <v>31</v>
      </c>
      <c r="F225" s="72">
        <v>0</v>
      </c>
      <c r="G225" s="72">
        <f t="shared" si="20"/>
        <v>2258.1899565079766</v>
      </c>
      <c r="H225" s="103">
        <v>160.35776344188849</v>
      </c>
      <c r="I225" s="104"/>
      <c r="J225" s="102"/>
      <c r="K225" s="18">
        <f t="shared" si="18"/>
        <v>2303230.5949696312</v>
      </c>
      <c r="L225" s="52"/>
    </row>
    <row r="226" spans="1:12" x14ac:dyDescent="0.2">
      <c r="A226" s="3">
        <v>41153</v>
      </c>
      <c r="C226" s="19">
        <f>'Weather Analysis'!AA16</f>
        <v>169.98999999999998</v>
      </c>
      <c r="D226" s="19">
        <f>'Weather Analysis'!AA36</f>
        <v>6.7700000000000005</v>
      </c>
      <c r="E226" s="102">
        <f t="shared" si="19"/>
        <v>30</v>
      </c>
      <c r="F226" s="72">
        <v>0</v>
      </c>
      <c r="G226" s="72">
        <f t="shared" si="20"/>
        <v>2257.3155751126696</v>
      </c>
      <c r="H226" s="103">
        <v>160.67500426280395</v>
      </c>
      <c r="I226" s="104"/>
      <c r="J226" s="102"/>
      <c r="K226" s="18">
        <f t="shared" si="18"/>
        <v>2238843.4991339697</v>
      </c>
      <c r="L226" s="52"/>
    </row>
    <row r="227" spans="1:12" x14ac:dyDescent="0.2">
      <c r="A227" s="3">
        <v>41183</v>
      </c>
      <c r="C227" s="19">
        <f>'Weather Analysis'!AA17</f>
        <v>385.78</v>
      </c>
      <c r="D227" s="19">
        <f>'Weather Analysis'!AA37</f>
        <v>0.53</v>
      </c>
      <c r="E227" s="102">
        <f t="shared" si="19"/>
        <v>31</v>
      </c>
      <c r="F227" s="72">
        <v>0</v>
      </c>
      <c r="G227" s="72">
        <f t="shared" si="20"/>
        <v>2256.4411937173627</v>
      </c>
      <c r="H227" s="103">
        <v>160.99287269124085</v>
      </c>
      <c r="I227" s="104"/>
      <c r="J227" s="102"/>
      <c r="K227" s="18">
        <f t="shared" si="18"/>
        <v>2481312.1832691496</v>
      </c>
      <c r="L227" s="52"/>
    </row>
    <row r="228" spans="1:12" x14ac:dyDescent="0.2">
      <c r="A228" s="3">
        <v>41214</v>
      </c>
      <c r="C228" s="19">
        <f>'Weather Analysis'!AA18</f>
        <v>607.36</v>
      </c>
      <c r="D228" s="19">
        <f>'Weather Analysis'!AA38</f>
        <v>0</v>
      </c>
      <c r="E228" s="102">
        <f t="shared" si="19"/>
        <v>30</v>
      </c>
      <c r="F228" s="72">
        <v>0</v>
      </c>
      <c r="G228" s="72">
        <f t="shared" si="20"/>
        <v>2255.5668123220557</v>
      </c>
      <c r="H228" s="103">
        <v>161.31136996881492</v>
      </c>
      <c r="I228" s="104"/>
      <c r="J228" s="102"/>
      <c r="K228" s="18">
        <f t="shared" si="18"/>
        <v>2570761.23125761</v>
      </c>
      <c r="L228" s="52"/>
    </row>
    <row r="229" spans="1:12" x14ac:dyDescent="0.2">
      <c r="A229" s="3">
        <v>41244</v>
      </c>
      <c r="C229" s="19">
        <f>'Weather Analysis'!AA19</f>
        <v>896.75999999999988</v>
      </c>
      <c r="D229" s="19">
        <f>'Weather Analysis'!AA39</f>
        <v>0</v>
      </c>
      <c r="E229" s="102">
        <f t="shared" si="19"/>
        <v>31</v>
      </c>
      <c r="F229" s="72">
        <v>0</v>
      </c>
      <c r="G229" s="72">
        <f t="shared" si="20"/>
        <v>2254.6924309267488</v>
      </c>
      <c r="H229" s="103">
        <v>161.63049733959846</v>
      </c>
      <c r="I229" s="104"/>
      <c r="J229" s="102"/>
      <c r="K229" s="18">
        <f t="shared" si="18"/>
        <v>2889227.4788756883</v>
      </c>
      <c r="L229" s="52">
        <f>SUM(K218:K229)</f>
        <v>30015613.569283549</v>
      </c>
    </row>
    <row r="230" spans="1:12" x14ac:dyDescent="0.2">
      <c r="L230" s="52"/>
    </row>
    <row r="231" spans="1:12" x14ac:dyDescent="0.2">
      <c r="L231" s="52"/>
    </row>
    <row r="232" spans="1:12" x14ac:dyDescent="0.2">
      <c r="C232" s="25" t="s">
        <v>91</v>
      </c>
    </row>
    <row r="233" spans="1:12" x14ac:dyDescent="0.2">
      <c r="L233" s="58"/>
    </row>
    <row r="234" spans="1:12" x14ac:dyDescent="0.2">
      <c r="A234" s="3">
        <v>40909</v>
      </c>
      <c r="C234" s="19">
        <f>'Weather Analysis'!AB8</f>
        <v>1026.6188721804506</v>
      </c>
      <c r="D234" s="19">
        <f>'Weather Analysis'!AB28</f>
        <v>0</v>
      </c>
      <c r="E234" s="102">
        <f t="shared" ref="E234:H234" si="21">E218</f>
        <v>31</v>
      </c>
      <c r="F234" s="72">
        <f t="shared" si="21"/>
        <v>0</v>
      </c>
      <c r="G234" s="72">
        <f t="shared" si="21"/>
        <v>2264.3106262751226</v>
      </c>
      <c r="H234" s="103">
        <f t="shared" si="21"/>
        <v>158.15454692394951</v>
      </c>
      <c r="I234" s="104"/>
      <c r="J234" s="102"/>
      <c r="K234" s="18">
        <f>$O$18+C234*$O$19+D234*$O$20+E234*$O$21+F234*$O$22+G234*$O$23+H234*$O$24</f>
        <v>2942944.4171161307</v>
      </c>
      <c r="L234" s="52"/>
    </row>
    <row r="235" spans="1:12" x14ac:dyDescent="0.2">
      <c r="A235" s="3">
        <v>40940</v>
      </c>
      <c r="C235" s="19">
        <f>'Weather Analysis'!AB9</f>
        <v>1025.2289473684214</v>
      </c>
      <c r="D235" s="19">
        <f>'Weather Analysis'!AB29</f>
        <v>0</v>
      </c>
      <c r="E235" s="102">
        <f t="shared" ref="E235:H235" si="22">E219</f>
        <v>28</v>
      </c>
      <c r="F235" s="72">
        <f t="shared" si="22"/>
        <v>0</v>
      </c>
      <c r="G235" s="72">
        <f t="shared" si="22"/>
        <v>2263.4362448798156</v>
      </c>
      <c r="H235" s="103">
        <f t="shared" si="22"/>
        <v>158.46742905214063</v>
      </c>
      <c r="I235" s="104"/>
      <c r="J235" s="102"/>
      <c r="K235" s="18">
        <f t="shared" ref="K235:K245" si="23">$O$18+C235*$O$19+D235*$O$20+E235*$O$21+F235*$O$22+G235*$O$23+H235*$O$24</f>
        <v>2684676.5401347317</v>
      </c>
      <c r="L235" s="52"/>
    </row>
    <row r="236" spans="1:12" x14ac:dyDescent="0.2">
      <c r="A236" s="3">
        <v>40969</v>
      </c>
      <c r="C236" s="19">
        <f>'Weather Analysis'!AB10</f>
        <v>761.27729323308358</v>
      </c>
      <c r="D236" s="19">
        <f>'Weather Analysis'!AB30</f>
        <v>0</v>
      </c>
      <c r="E236" s="102">
        <f t="shared" ref="E236:H236" si="24">E220</f>
        <v>31</v>
      </c>
      <c r="F236" s="72">
        <f t="shared" si="24"/>
        <v>0</v>
      </c>
      <c r="G236" s="72">
        <f t="shared" si="24"/>
        <v>2262.5618634845086</v>
      </c>
      <c r="H236" s="103">
        <f t="shared" si="24"/>
        <v>158.78093016491388</v>
      </c>
      <c r="I236" s="104"/>
      <c r="J236" s="102"/>
      <c r="K236" s="18">
        <f t="shared" si="23"/>
        <v>2743490.7470439663</v>
      </c>
      <c r="L236" s="52"/>
    </row>
    <row r="237" spans="1:12" x14ac:dyDescent="0.2">
      <c r="A237" s="3">
        <v>41000</v>
      </c>
      <c r="C237" s="19">
        <f>'Weather Analysis'!AB11</f>
        <v>497.2080451127822</v>
      </c>
      <c r="D237" s="19">
        <f>'Weather Analysis'!AB31</f>
        <v>-1.669172932330909E-2</v>
      </c>
      <c r="E237" s="102">
        <f t="shared" ref="E237:H237" si="25">E221</f>
        <v>30</v>
      </c>
      <c r="F237" s="72">
        <f t="shared" si="25"/>
        <v>0</v>
      </c>
      <c r="G237" s="72">
        <f t="shared" si="25"/>
        <v>2261.6874820892017</v>
      </c>
      <c r="H237" s="103">
        <f t="shared" si="25"/>
        <v>159.09505148682601</v>
      </c>
      <c r="I237" s="104"/>
      <c r="J237" s="102"/>
      <c r="K237" s="18">
        <f t="shared" si="23"/>
        <v>2453618.214428057</v>
      </c>
      <c r="L237" s="52"/>
    </row>
    <row r="238" spans="1:12" x14ac:dyDescent="0.2">
      <c r="A238" s="3">
        <v>41030</v>
      </c>
      <c r="C238" s="19">
        <f>'Weather Analysis'!AB12</f>
        <v>247.2008270676692</v>
      </c>
      <c r="D238" s="19">
        <f>'Weather Analysis'!AB32</f>
        <v>5.1970676691729523</v>
      </c>
      <c r="E238" s="102">
        <f t="shared" ref="E238:H238" si="26">E222</f>
        <v>31</v>
      </c>
      <c r="F238" s="72">
        <f t="shared" si="26"/>
        <v>0</v>
      </c>
      <c r="G238" s="72">
        <f t="shared" si="26"/>
        <v>2260.8131006938947</v>
      </c>
      <c r="H238" s="103">
        <f t="shared" si="26"/>
        <v>159.4097942448563</v>
      </c>
      <c r="I238" s="104"/>
      <c r="J238" s="102"/>
      <c r="K238" s="18">
        <f t="shared" si="23"/>
        <v>2364376.4517556354</v>
      </c>
      <c r="L238" s="52"/>
    </row>
    <row r="239" spans="1:12" x14ac:dyDescent="0.2">
      <c r="A239" s="3">
        <v>41061</v>
      </c>
      <c r="C239" s="19">
        <f>'Weather Analysis'!AB13</f>
        <v>94.15541353383469</v>
      </c>
      <c r="D239" s="19">
        <f>'Weather Analysis'!AB33</f>
        <v>4.2117293233086457</v>
      </c>
      <c r="E239" s="102">
        <f t="shared" ref="E239:H239" si="27">E223</f>
        <v>30</v>
      </c>
      <c r="F239" s="72">
        <f t="shared" si="27"/>
        <v>0</v>
      </c>
      <c r="G239" s="72">
        <f t="shared" si="27"/>
        <v>2259.9387192985905</v>
      </c>
      <c r="H239" s="103">
        <f t="shared" si="27"/>
        <v>159.72515966841141</v>
      </c>
      <c r="I239" s="104"/>
      <c r="J239" s="102"/>
      <c r="K239" s="18">
        <f t="shared" si="23"/>
        <v>2158739.5532193473</v>
      </c>
      <c r="L239" s="52"/>
    </row>
    <row r="240" spans="1:12" x14ac:dyDescent="0.2">
      <c r="A240" s="3">
        <v>41091</v>
      </c>
      <c r="C240" s="19">
        <f>'Weather Analysis'!AB14</f>
        <v>35.863082706766932</v>
      </c>
      <c r="D240" s="19">
        <f>'Weather Analysis'!AB34</f>
        <v>46.118120300751912</v>
      </c>
      <c r="E240" s="102">
        <f t="shared" ref="E240:H240" si="28">E224</f>
        <v>31</v>
      </c>
      <c r="F240" s="72">
        <f t="shared" si="28"/>
        <v>0</v>
      </c>
      <c r="G240" s="72">
        <f t="shared" si="28"/>
        <v>2259.0643379032836</v>
      </c>
      <c r="H240" s="103">
        <f t="shared" si="28"/>
        <v>160.0411489893302</v>
      </c>
      <c r="I240" s="104"/>
      <c r="J240" s="102"/>
      <c r="K240" s="18">
        <f t="shared" si="23"/>
        <v>2327144.5675678123</v>
      </c>
      <c r="L240" s="52"/>
    </row>
    <row r="241" spans="1:12" x14ac:dyDescent="0.2">
      <c r="A241" s="3">
        <v>41122</v>
      </c>
      <c r="C241" s="19">
        <f>'Weather Analysis'!AB15</f>
        <v>67.240451127819597</v>
      </c>
      <c r="D241" s="19">
        <f>'Weather Analysis'!AB35</f>
        <v>29.443684210526271</v>
      </c>
      <c r="E241" s="102">
        <f t="shared" ref="E241:H241" si="29">E225</f>
        <v>31</v>
      </c>
      <c r="F241" s="72">
        <f t="shared" si="29"/>
        <v>0</v>
      </c>
      <c r="G241" s="72">
        <f t="shared" si="29"/>
        <v>2258.1899565079766</v>
      </c>
      <c r="H241" s="103">
        <f t="shared" si="29"/>
        <v>160.35776344188849</v>
      </c>
      <c r="I241" s="104"/>
      <c r="J241" s="102"/>
      <c r="K241" s="18">
        <f t="shared" si="23"/>
        <v>2307356.6184467124</v>
      </c>
      <c r="L241" s="52"/>
    </row>
    <row r="242" spans="1:12" x14ac:dyDescent="0.2">
      <c r="A242" s="3">
        <v>41153</v>
      </c>
      <c r="C242" s="19">
        <f>'Weather Analysis'!AB16</f>
        <v>172.98646616541373</v>
      </c>
      <c r="D242" s="19">
        <f>'Weather Analysis'!AB36</f>
        <v>7.6337593984962382</v>
      </c>
      <c r="E242" s="102">
        <f t="shared" ref="E242:H242" si="30">E226</f>
        <v>30</v>
      </c>
      <c r="F242" s="72">
        <f t="shared" si="30"/>
        <v>0</v>
      </c>
      <c r="G242" s="72">
        <f t="shared" si="30"/>
        <v>2257.3155751126696</v>
      </c>
      <c r="H242" s="103">
        <f t="shared" si="30"/>
        <v>160.67500426280395</v>
      </c>
      <c r="I242" s="104"/>
      <c r="J242" s="102"/>
      <c r="K242" s="18">
        <f t="shared" si="23"/>
        <v>2243718.7702029226</v>
      </c>
      <c r="L242" s="52"/>
    </row>
    <row r="243" spans="1:12" x14ac:dyDescent="0.2">
      <c r="A243" s="3">
        <v>41183</v>
      </c>
      <c r="C243" s="19">
        <f>'Weather Analysis'!AB17</f>
        <v>383.54451127819561</v>
      </c>
      <c r="D243" s="19">
        <f>'Weather Analysis'!AB37</f>
        <v>0.81992481203008083</v>
      </c>
      <c r="E243" s="102">
        <f t="shared" ref="E243:H243" si="31">E227</f>
        <v>31</v>
      </c>
      <c r="F243" s="72">
        <f t="shared" si="31"/>
        <v>0</v>
      </c>
      <c r="G243" s="72">
        <f t="shared" si="31"/>
        <v>2256.4411937173627</v>
      </c>
      <c r="H243" s="103">
        <f t="shared" si="31"/>
        <v>160.99287269124085</v>
      </c>
      <c r="I243" s="104"/>
      <c r="J243" s="102"/>
      <c r="K243" s="18">
        <f t="shared" si="23"/>
        <v>2480408.0764148934</v>
      </c>
      <c r="L243" s="52"/>
    </row>
    <row r="244" spans="1:12" x14ac:dyDescent="0.2">
      <c r="A244" s="3">
        <v>41214</v>
      </c>
      <c r="C244" s="19">
        <f>'Weather Analysis'!AB18</f>
        <v>616.40157894736853</v>
      </c>
      <c r="D244" s="19">
        <f>'Weather Analysis'!AB38</f>
        <v>0</v>
      </c>
      <c r="E244" s="102">
        <f t="shared" ref="E244:H244" si="32">E228</f>
        <v>30</v>
      </c>
      <c r="F244" s="72">
        <f t="shared" si="32"/>
        <v>0</v>
      </c>
      <c r="G244" s="72">
        <f t="shared" si="32"/>
        <v>2255.5668123220557</v>
      </c>
      <c r="H244" s="103">
        <f t="shared" si="32"/>
        <v>161.31136996881492</v>
      </c>
      <c r="I244" s="104"/>
      <c r="J244" s="102"/>
      <c r="K244" s="18">
        <f t="shared" si="23"/>
        <v>2577848.0471166968</v>
      </c>
      <c r="L244" s="52"/>
    </row>
    <row r="245" spans="1:12" x14ac:dyDescent="0.2">
      <c r="A245" s="3">
        <v>41244</v>
      </c>
      <c r="C245" s="19">
        <f>'Weather Analysis'!AB19</f>
        <v>945.61375939849677</v>
      </c>
      <c r="D245" s="19">
        <f>'Weather Analysis'!AB39</f>
        <v>0</v>
      </c>
      <c r="E245" s="102">
        <f t="shared" ref="E245:H245" si="33">E229</f>
        <v>31</v>
      </c>
      <c r="F245" s="72">
        <f t="shared" si="33"/>
        <v>0</v>
      </c>
      <c r="G245" s="72">
        <f t="shared" si="33"/>
        <v>2254.6924309267488</v>
      </c>
      <c r="H245" s="103">
        <f t="shared" si="33"/>
        <v>161.63049733959846</v>
      </c>
      <c r="I245" s="104"/>
      <c r="J245" s="102"/>
      <c r="K245" s="18">
        <f t="shared" si="23"/>
        <v>2927519.1974899573</v>
      </c>
      <c r="L245" s="52">
        <f>SUM(K234:K245)</f>
        <v>30211841.200936869</v>
      </c>
    </row>
    <row r="246" spans="1:12" x14ac:dyDescent="0.2">
      <c r="C246" s="59"/>
      <c r="D246" s="59"/>
      <c r="E246" s="59"/>
      <c r="F246" s="65"/>
      <c r="G246" s="59"/>
    </row>
    <row r="269" spans="12:13" x14ac:dyDescent="0.2">
      <c r="L269" s="39" t="e">
        <f>#REF!-#REF!</f>
        <v>#REF!</v>
      </c>
      <c r="M269" s="5" t="e">
        <f>L269/#REF!</f>
        <v>#REF!</v>
      </c>
    </row>
    <row r="270" spans="12:13" x14ac:dyDescent="0.2">
      <c r="L270" s="39" t="e">
        <f>#REF!-#REF!</f>
        <v>#REF!</v>
      </c>
      <c r="M270" s="5" t="e">
        <f>L270/#REF!</f>
        <v>#REF!</v>
      </c>
    </row>
    <row r="271" spans="12:13" x14ac:dyDescent="0.2">
      <c r="L271" s="39" t="e">
        <f>#REF!-#REF!</f>
        <v>#REF!</v>
      </c>
      <c r="M271" s="5" t="e">
        <f>L271/#REF!</f>
        <v>#REF!</v>
      </c>
    </row>
    <row r="272" spans="12:13" x14ac:dyDescent="0.2">
      <c r="L272" s="39" t="e">
        <f>#REF!-#REF!</f>
        <v>#REF!</v>
      </c>
      <c r="M272" s="5" t="e">
        <f>L272/#REF!</f>
        <v>#REF!</v>
      </c>
    </row>
    <row r="273" spans="12:13" x14ac:dyDescent="0.2">
      <c r="L273" s="39" t="e">
        <f>#REF!-#REF!</f>
        <v>#REF!</v>
      </c>
      <c r="M273" s="5" t="e">
        <f>L273/#REF!</f>
        <v>#REF!</v>
      </c>
    </row>
    <row r="274" spans="12:13" x14ac:dyDescent="0.2">
      <c r="L274" s="39" t="e">
        <f>#REF!-#REF!</f>
        <v>#REF!</v>
      </c>
      <c r="M274" s="5" t="e">
        <f>L274/#REF!</f>
        <v>#REF!</v>
      </c>
    </row>
    <row r="275" spans="12:13" x14ac:dyDescent="0.2">
      <c r="L275" s="39">
        <f t="shared" ref="L275:L283" si="34">K194-B194</f>
        <v>184928.95362363011</v>
      </c>
      <c r="M275" s="5">
        <f t="shared" ref="M275:M283" si="35">L275/B194</f>
        <v>5.3885605577522486E-3</v>
      </c>
    </row>
    <row r="276" spans="12:13" x14ac:dyDescent="0.2">
      <c r="L276" s="39">
        <f t="shared" si="34"/>
        <v>193646.56506047398</v>
      </c>
      <c r="M276" s="5">
        <f t="shared" si="35"/>
        <v>4.6259783033224039E-3</v>
      </c>
    </row>
    <row r="277" spans="12:13" x14ac:dyDescent="0.2">
      <c r="L277" s="39">
        <f t="shared" si="34"/>
        <v>-902269.53452215344</v>
      </c>
      <c r="M277" s="5">
        <f t="shared" si="35"/>
        <v>-2.2377151629134642E-2</v>
      </c>
    </row>
    <row r="278" spans="12:13" x14ac:dyDescent="0.2">
      <c r="L278" s="39">
        <f t="shared" si="34"/>
        <v>246750.81219111383</v>
      </c>
      <c r="M278" s="5">
        <f t="shared" si="35"/>
        <v>5.3745319204567934E-3</v>
      </c>
    </row>
    <row r="279" spans="12:13" x14ac:dyDescent="0.2">
      <c r="L279" s="39">
        <f t="shared" si="34"/>
        <v>-273592.39058431983</v>
      </c>
      <c r="M279" s="5">
        <f t="shared" si="35"/>
        <v>-5.9178706085386279E-3</v>
      </c>
    </row>
    <row r="280" spans="12:13" x14ac:dyDescent="0.2">
      <c r="L280" s="39">
        <f t="shared" si="34"/>
        <v>-661584.11338181794</v>
      </c>
      <c r="M280" s="5">
        <f t="shared" si="35"/>
        <v>-1.6246340132566151E-2</v>
      </c>
    </row>
    <row r="281" spans="12:13" x14ac:dyDescent="0.2">
      <c r="L281" s="39">
        <f t="shared" si="34"/>
        <v>-168828.09814981371</v>
      </c>
      <c r="M281" s="5">
        <f t="shared" si="35"/>
        <v>-6.2496343466409351E-3</v>
      </c>
    </row>
    <row r="282" spans="12:13" x14ac:dyDescent="0.2">
      <c r="L282" s="39">
        <f t="shared" si="34"/>
        <v>-744157.17824903131</v>
      </c>
      <c r="M282" s="5">
        <f t="shared" si="35"/>
        <v>-2.8863862437200922E-2</v>
      </c>
    </row>
    <row r="283" spans="12:13" x14ac:dyDescent="0.2">
      <c r="L283" s="39">
        <f t="shared" si="34"/>
        <v>-1263306.3990788125</v>
      </c>
      <c r="M283" s="5">
        <f t="shared" si="35"/>
        <v>-5.1127951571736767E-2</v>
      </c>
    </row>
    <row r="287" spans="12:13" x14ac:dyDescent="0.2">
      <c r="L287" s="6">
        <f>K211-B211</f>
        <v>-9.5367431640625E-7</v>
      </c>
    </row>
    <row r="289" spans="12:13" x14ac:dyDescent="0.2">
      <c r="L289" s="52">
        <f>K192-K213</f>
        <v>0</v>
      </c>
    </row>
    <row r="290" spans="12:13" x14ac:dyDescent="0.2">
      <c r="L290" s="20" t="s">
        <v>64</v>
      </c>
      <c r="M290" s="20"/>
    </row>
  </sheetData>
  <mergeCells count="1">
    <mergeCell ref="O193:P193"/>
  </mergeCells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290"/>
  <sheetViews>
    <sheetView topLeftCell="E31" workbookViewId="0">
      <selection activeCell="P50" sqref="P50"/>
    </sheetView>
  </sheetViews>
  <sheetFormatPr defaultRowHeight="12.75" x14ac:dyDescent="0.2"/>
  <cols>
    <col min="1" max="1" width="14.140625" bestFit="1" customWidth="1"/>
    <col min="2" max="2" width="18" style="65" customWidth="1"/>
    <col min="3" max="3" width="11.7109375" style="59" customWidth="1"/>
    <col min="4" max="4" width="15.140625" style="59" customWidth="1"/>
    <col min="5" max="5" width="10.140625" style="59" customWidth="1"/>
    <col min="6" max="6" width="12.42578125" style="65" customWidth="1"/>
    <col min="7" max="7" width="11.42578125" style="59" customWidth="1"/>
    <col min="8" max="8" width="14.42578125" style="37" customWidth="1"/>
    <col min="9" max="9" width="13" style="59" hidden="1" customWidth="1"/>
    <col min="10" max="10" width="12.42578125" style="59" hidden="1" customWidth="1"/>
    <col min="11" max="11" width="15.42578125" style="59" bestFit="1" customWidth="1"/>
    <col min="12" max="12" width="17" style="1" customWidth="1"/>
    <col min="13" max="13" width="12.42578125" style="1" customWidth="1"/>
    <col min="14" max="14" width="30.5703125" bestFit="1" customWidth="1"/>
    <col min="15" max="16" width="15.7109375" customWidth="1"/>
    <col min="17" max="17" width="16.28515625" customWidth="1"/>
    <col min="18" max="18" width="19.85546875" customWidth="1"/>
    <col min="19" max="19" width="14" customWidth="1"/>
    <col min="20" max="20" width="16.42578125" customWidth="1"/>
    <col min="21" max="21" width="21.7109375" bestFit="1" customWidth="1"/>
    <col min="22" max="22" width="31.42578125" bestFit="1" customWidth="1"/>
  </cols>
  <sheetData>
    <row r="2" spans="1:19" ht="42" customHeight="1" x14ac:dyDescent="0.2">
      <c r="B2" s="88" t="s">
        <v>134</v>
      </c>
      <c r="C2" s="89" t="s">
        <v>2</v>
      </c>
      <c r="D2" s="89" t="s">
        <v>3</v>
      </c>
      <c r="E2" s="89" t="s">
        <v>4</v>
      </c>
      <c r="F2" s="88" t="s">
        <v>131</v>
      </c>
      <c r="G2" s="89" t="s">
        <v>135</v>
      </c>
      <c r="H2" s="90" t="s">
        <v>6</v>
      </c>
      <c r="I2" s="89" t="s">
        <v>5</v>
      </c>
      <c r="J2" s="89" t="s">
        <v>19</v>
      </c>
      <c r="K2" s="89" t="s">
        <v>11</v>
      </c>
      <c r="L2" s="12" t="s">
        <v>12</v>
      </c>
      <c r="M2" s="12" t="s">
        <v>13</v>
      </c>
      <c r="N2" t="s">
        <v>20</v>
      </c>
    </row>
    <row r="3" spans="1:19" ht="13.5" thickBot="1" x14ac:dyDescent="0.25">
      <c r="A3" s="3">
        <v>37407</v>
      </c>
      <c r="B3" s="65">
        <f>'[13]Data Input'!B81</f>
        <v>4573576.75</v>
      </c>
      <c r="C3" s="115">
        <f t="shared" ref="C3:D9" si="0">C15</f>
        <v>248.03846153846155</v>
      </c>
      <c r="D3" s="115">
        <f t="shared" si="0"/>
        <v>2.4615384615384617</v>
      </c>
      <c r="E3" s="18">
        <v>31</v>
      </c>
      <c r="F3" s="66">
        <f>[14]Intermediate!P7</f>
        <v>1</v>
      </c>
      <c r="G3" s="18">
        <f t="shared" ref="G3:G14" si="1">G4-($G$28-$G$16)/12</f>
        <v>2459.875</v>
      </c>
      <c r="H3" s="37">
        <v>122.9477313822845</v>
      </c>
      <c r="I3" s="18">
        <v>351.91199999999998</v>
      </c>
      <c r="J3" s="18">
        <v>1</v>
      </c>
      <c r="K3" s="18">
        <f>$O$18+C3*$O$19+D3*$O$20+E3*$O$21+F3*$O$22+G3*$O$23+H3*$O$24</f>
        <v>4275358.4523677072</v>
      </c>
      <c r="L3" s="210"/>
      <c r="M3" s="212"/>
    </row>
    <row r="4" spans="1:19" x14ac:dyDescent="0.2">
      <c r="A4" s="3">
        <v>37408</v>
      </c>
      <c r="B4" s="65">
        <f>'[13]Data Input'!B82</f>
        <v>4260626.75</v>
      </c>
      <c r="C4" s="115">
        <f t="shared" si="0"/>
        <v>88.34615384615384</v>
      </c>
      <c r="D4" s="115">
        <f t="shared" si="0"/>
        <v>12.253846153846153</v>
      </c>
      <c r="E4" s="18">
        <v>30</v>
      </c>
      <c r="F4" s="66">
        <f>[14]Intermediate!P8</f>
        <v>1</v>
      </c>
      <c r="G4" s="18">
        <f t="shared" si="1"/>
        <v>2456.5</v>
      </c>
      <c r="H4" s="37">
        <v>123.31120824213403</v>
      </c>
      <c r="I4" s="18">
        <v>319.68</v>
      </c>
      <c r="J4" s="18">
        <v>0</v>
      </c>
      <c r="K4" s="18">
        <f t="shared" ref="K4:K67" si="2">$O$18+C4*$O$19+D4*$O$20+E4*$O$21+F4*$O$22+G4*$O$23+H4*$O$24</f>
        <v>4075336.0228408799</v>
      </c>
      <c r="L4" s="210"/>
      <c r="M4" s="212"/>
      <c r="N4" s="57" t="s">
        <v>21</v>
      </c>
      <c r="O4" s="57"/>
    </row>
    <row r="5" spans="1:19" x14ac:dyDescent="0.2">
      <c r="A5" s="3">
        <v>37440</v>
      </c>
      <c r="B5" s="65">
        <f>'[13]Data Input'!B83</f>
        <v>4562116.75</v>
      </c>
      <c r="C5" s="115">
        <f t="shared" si="0"/>
        <v>33.746153846153845</v>
      </c>
      <c r="D5" s="115">
        <f t="shared" si="0"/>
        <v>41.638461538461542</v>
      </c>
      <c r="E5" s="18">
        <v>31</v>
      </c>
      <c r="F5" s="66">
        <f>[14]Intermediate!P9</f>
        <v>1</v>
      </c>
      <c r="G5" s="18">
        <f t="shared" si="1"/>
        <v>2453.125</v>
      </c>
      <c r="H5" s="37">
        <v>123.67575966778612</v>
      </c>
      <c r="I5" s="18">
        <v>351.91199999999998</v>
      </c>
      <c r="J5" s="18">
        <v>0</v>
      </c>
      <c r="K5" s="18">
        <f t="shared" si="2"/>
        <v>4189322.4324976793</v>
      </c>
      <c r="L5" s="210"/>
      <c r="M5" s="212"/>
      <c r="N5" s="38" t="s">
        <v>22</v>
      </c>
      <c r="O5" s="71">
        <v>0.95879188971131935</v>
      </c>
    </row>
    <row r="6" spans="1:19" x14ac:dyDescent="0.2">
      <c r="A6" s="3">
        <v>37473</v>
      </c>
      <c r="B6" s="65">
        <f>'[13]Data Input'!B84</f>
        <v>4203236.75</v>
      </c>
      <c r="C6" s="115">
        <f t="shared" si="0"/>
        <v>60.553846153846166</v>
      </c>
      <c r="D6" s="115">
        <f t="shared" si="0"/>
        <v>30.238461538461539</v>
      </c>
      <c r="E6" s="18">
        <v>31</v>
      </c>
      <c r="F6" s="66">
        <f>[14]Intermediate!P10</f>
        <v>1</v>
      </c>
      <c r="G6" s="18">
        <f t="shared" si="1"/>
        <v>2449.75</v>
      </c>
      <c r="H6" s="37">
        <v>124.04138883603632</v>
      </c>
      <c r="I6" s="18">
        <v>336.28800000000001</v>
      </c>
      <c r="J6" s="18">
        <v>0</v>
      </c>
      <c r="K6" s="18">
        <f t="shared" si="2"/>
        <v>4160714.3757799743</v>
      </c>
      <c r="L6" s="210"/>
      <c r="M6" s="212"/>
      <c r="N6" s="38" t="s">
        <v>23</v>
      </c>
      <c r="O6" s="71">
        <v>0.91928188777620279</v>
      </c>
    </row>
    <row r="7" spans="1:19" x14ac:dyDescent="0.2">
      <c r="A7" s="3">
        <v>37506</v>
      </c>
      <c r="B7" s="65">
        <f>'[13]Data Input'!B85</f>
        <v>3873916.75</v>
      </c>
      <c r="C7" s="115">
        <f t="shared" si="0"/>
        <v>165.12307692307692</v>
      </c>
      <c r="D7" s="115">
        <f t="shared" si="0"/>
        <v>8.3461538461538485</v>
      </c>
      <c r="E7" s="18">
        <v>30</v>
      </c>
      <c r="F7" s="66">
        <f>[14]Intermediate!P11</f>
        <v>1</v>
      </c>
      <c r="G7" s="18">
        <f t="shared" si="1"/>
        <v>2446.375</v>
      </c>
      <c r="H7" s="37">
        <v>124.40809893307186</v>
      </c>
      <c r="I7" s="18">
        <v>319.68</v>
      </c>
      <c r="J7" s="18">
        <v>1</v>
      </c>
      <c r="K7" s="18">
        <f t="shared" si="2"/>
        <v>4075263.877737524</v>
      </c>
      <c r="L7" s="210"/>
      <c r="M7" s="212"/>
      <c r="N7" s="38" t="s">
        <v>24</v>
      </c>
      <c r="O7" s="71">
        <v>0.91619711915618507</v>
      </c>
    </row>
    <row r="8" spans="1:19" x14ac:dyDescent="0.2">
      <c r="A8" s="3">
        <v>37539</v>
      </c>
      <c r="B8" s="65">
        <f>'[13]Data Input'!B86</f>
        <v>4274056.75</v>
      </c>
      <c r="C8" s="115">
        <f t="shared" si="0"/>
        <v>385.59230769230766</v>
      </c>
      <c r="D8" s="115">
        <f t="shared" si="0"/>
        <v>1.1076923076923075</v>
      </c>
      <c r="E8" s="18">
        <v>31</v>
      </c>
      <c r="F8" s="66">
        <f>[14]Intermediate!P12</f>
        <v>1</v>
      </c>
      <c r="G8" s="18">
        <f t="shared" si="1"/>
        <v>2443</v>
      </c>
      <c r="H8" s="37">
        <v>124.7758931544995</v>
      </c>
      <c r="I8" s="18">
        <v>351.91199999999998</v>
      </c>
      <c r="J8" s="18">
        <v>1</v>
      </c>
      <c r="K8" s="18">
        <f t="shared" si="2"/>
        <v>4297847.91320052</v>
      </c>
      <c r="L8" s="210"/>
      <c r="M8" s="212"/>
      <c r="N8" s="38" t="s">
        <v>25</v>
      </c>
      <c r="O8" s="69">
        <v>259642.66553949946</v>
      </c>
    </row>
    <row r="9" spans="1:19" ht="13.5" thickBot="1" x14ac:dyDescent="0.25">
      <c r="A9" s="3">
        <v>37572</v>
      </c>
      <c r="B9" s="65">
        <f>'[13]Data Input'!B87</f>
        <v>4161566.75</v>
      </c>
      <c r="C9" s="115">
        <f t="shared" si="0"/>
        <v>611.06923076923078</v>
      </c>
      <c r="D9" s="115">
        <f t="shared" si="0"/>
        <v>0</v>
      </c>
      <c r="E9" s="18">
        <v>30</v>
      </c>
      <c r="F9" s="66">
        <f>[14]Intermediate!P13</f>
        <v>1</v>
      </c>
      <c r="G9" s="18">
        <f t="shared" si="1"/>
        <v>2439.625</v>
      </c>
      <c r="H9" s="37">
        <v>125.14477470537335</v>
      </c>
      <c r="I9" s="18">
        <v>336.24</v>
      </c>
      <c r="J9" s="18">
        <v>1</v>
      </c>
      <c r="K9" s="18">
        <f t="shared" si="2"/>
        <v>4368047.7436462929</v>
      </c>
      <c r="L9" s="210"/>
      <c r="M9" s="212"/>
      <c r="N9" s="55" t="s">
        <v>26</v>
      </c>
      <c r="O9" s="70">
        <v>164</v>
      </c>
    </row>
    <row r="10" spans="1:19" x14ac:dyDescent="0.2">
      <c r="A10" s="34">
        <v>37605</v>
      </c>
      <c r="B10" s="65">
        <f>'[13]Data Input'!B88</f>
        <v>4409706.75</v>
      </c>
      <c r="C10" s="115">
        <f>C22</f>
        <v>895.80769230769226</v>
      </c>
      <c r="D10" s="115">
        <f>D22</f>
        <v>0</v>
      </c>
      <c r="E10" s="18">
        <v>31</v>
      </c>
      <c r="F10" s="66">
        <f>[14]Intermediate!P14</f>
        <v>1</v>
      </c>
      <c r="G10" s="18">
        <f t="shared" si="1"/>
        <v>2436.25</v>
      </c>
      <c r="H10" s="37">
        <v>125.51474680022261</v>
      </c>
      <c r="I10" s="18">
        <v>319.92</v>
      </c>
      <c r="J10" s="18">
        <v>0</v>
      </c>
      <c r="K10" s="18">
        <f t="shared" si="2"/>
        <v>4662264.3340186942</v>
      </c>
      <c r="L10" s="210"/>
      <c r="M10" s="212"/>
    </row>
    <row r="11" spans="1:19" ht="13.5" thickBot="1" x14ac:dyDescent="0.25">
      <c r="A11" s="3">
        <v>37622</v>
      </c>
      <c r="B11" s="65">
        <f>'[13]Data Input'!B89</f>
        <v>5097790.25</v>
      </c>
      <c r="C11" s="115">
        <f>'Purchased Power Model '!C167</f>
        <v>1023.9615384615383</v>
      </c>
      <c r="D11" s="115">
        <f>'Purchased Power Model '!D167</f>
        <v>0</v>
      </c>
      <c r="E11" s="18">
        <v>31</v>
      </c>
      <c r="F11" s="66">
        <f>[14]Intermediate!P15</f>
        <v>1</v>
      </c>
      <c r="G11" s="18">
        <f t="shared" si="1"/>
        <v>2432.875</v>
      </c>
      <c r="H11" s="37">
        <v>125.66024937363977</v>
      </c>
      <c r="I11" s="18">
        <v>351.91199999999998</v>
      </c>
      <c r="J11" s="18">
        <v>0</v>
      </c>
      <c r="K11" s="18">
        <f t="shared" si="2"/>
        <v>4737897.1297477456</v>
      </c>
      <c r="L11" s="210"/>
      <c r="M11" s="212"/>
      <c r="N11" t="s">
        <v>27</v>
      </c>
    </row>
    <row r="12" spans="1:19" x14ac:dyDescent="0.2">
      <c r="A12" s="3">
        <v>37653</v>
      </c>
      <c r="B12" s="65">
        <f>'[13]Data Input'!B90</f>
        <v>4717710.25</v>
      </c>
      <c r="C12" s="115">
        <f>'Purchased Power Model '!C168</f>
        <v>919.36153846153866</v>
      </c>
      <c r="D12" s="115">
        <f>'Purchased Power Model '!D168</f>
        <v>0</v>
      </c>
      <c r="E12" s="18">
        <v>28</v>
      </c>
      <c r="F12" s="66">
        <f>[14]Intermediate!P16</f>
        <v>1</v>
      </c>
      <c r="G12" s="18">
        <f t="shared" si="1"/>
        <v>2429.5</v>
      </c>
      <c r="H12" s="37">
        <v>125.80592062045517</v>
      </c>
      <c r="I12" s="18">
        <v>319.87200000000001</v>
      </c>
      <c r="J12" s="18">
        <v>0</v>
      </c>
      <c r="K12" s="18">
        <f t="shared" si="2"/>
        <v>4369675.972879569</v>
      </c>
      <c r="L12" s="210"/>
      <c r="M12" s="212"/>
      <c r="N12" s="56"/>
      <c r="O12" s="56" t="s">
        <v>31</v>
      </c>
      <c r="P12" s="56" t="s">
        <v>32</v>
      </c>
      <c r="Q12" s="56" t="s">
        <v>33</v>
      </c>
      <c r="R12" s="56" t="s">
        <v>34</v>
      </c>
      <c r="S12" s="56" t="s">
        <v>35</v>
      </c>
    </row>
    <row r="13" spans="1:19" x14ac:dyDescent="0.2">
      <c r="A13" s="3">
        <v>37681</v>
      </c>
      <c r="B13" s="65">
        <f>'[13]Data Input'!B91</f>
        <v>4446570.25</v>
      </c>
      <c r="C13" s="115">
        <f>'Purchased Power Model '!C169</f>
        <v>729.98461538461538</v>
      </c>
      <c r="D13" s="115">
        <f>'Purchased Power Model '!D169</f>
        <v>0</v>
      </c>
      <c r="E13" s="18">
        <v>31</v>
      </c>
      <c r="F13" s="66">
        <f>[14]Intermediate!P17</f>
        <v>1</v>
      </c>
      <c r="G13" s="18">
        <f t="shared" si="1"/>
        <v>2426.125</v>
      </c>
      <c r="H13" s="37">
        <v>125.9517607362029</v>
      </c>
      <c r="I13" s="18">
        <v>336.28800000000001</v>
      </c>
      <c r="J13" s="18">
        <v>1</v>
      </c>
      <c r="K13" s="18">
        <f t="shared" si="2"/>
        <v>4457867.6823985968</v>
      </c>
      <c r="L13" s="210"/>
      <c r="M13" s="212"/>
      <c r="N13" s="38" t="s">
        <v>28</v>
      </c>
      <c r="O13" s="38">
        <v>6</v>
      </c>
      <c r="P13" s="38">
        <v>120539525503564.86</v>
      </c>
      <c r="Q13" s="38">
        <v>20089920917260.809</v>
      </c>
      <c r="R13" s="38">
        <v>298.00675545348383</v>
      </c>
      <c r="S13" s="38">
        <v>4.2678874295141745E-83</v>
      </c>
    </row>
    <row r="14" spans="1:19" x14ac:dyDescent="0.2">
      <c r="A14" s="3">
        <v>37712</v>
      </c>
      <c r="B14" s="65">
        <f>'[13]Data Input'!B92</f>
        <v>3975240.25</v>
      </c>
      <c r="C14" s="115">
        <f>'Purchased Power Model '!C170</f>
        <v>447.0846153846154</v>
      </c>
      <c r="D14" s="115">
        <f>'Purchased Power Model '!D170</f>
        <v>0</v>
      </c>
      <c r="E14" s="18">
        <v>30</v>
      </c>
      <c r="F14" s="66">
        <f>[14]Intermediate!P18</f>
        <v>1</v>
      </c>
      <c r="G14" s="18">
        <f t="shared" si="1"/>
        <v>2422.75</v>
      </c>
      <c r="H14" s="37">
        <v>126.09776991664374</v>
      </c>
      <c r="I14" s="18">
        <v>336.24</v>
      </c>
      <c r="J14" s="18">
        <v>1</v>
      </c>
      <c r="K14" s="18">
        <f t="shared" si="2"/>
        <v>4124192.4840038177</v>
      </c>
      <c r="L14" s="210"/>
      <c r="M14" s="212"/>
      <c r="N14" s="38" t="s">
        <v>29</v>
      </c>
      <c r="O14" s="38">
        <v>157</v>
      </c>
      <c r="P14" s="38">
        <v>10584047261647.65</v>
      </c>
      <c r="Q14" s="38">
        <v>67414313768.456375</v>
      </c>
      <c r="R14" s="38"/>
      <c r="S14" s="38"/>
    </row>
    <row r="15" spans="1:19" ht="13.5" thickBot="1" x14ac:dyDescent="0.25">
      <c r="A15" s="3">
        <v>37742</v>
      </c>
      <c r="B15" s="65">
        <f>'[13]Data Input'!B93</f>
        <v>3844650.25</v>
      </c>
      <c r="C15" s="115">
        <f>'Purchased Power Model '!C171</f>
        <v>248.03846153846155</v>
      </c>
      <c r="D15" s="115">
        <f>'Purchased Power Model '!D171</f>
        <v>2.4615384615384617</v>
      </c>
      <c r="E15" s="18">
        <v>31</v>
      </c>
      <c r="F15" s="66">
        <f>[14]Intermediate!P19</f>
        <v>1</v>
      </c>
      <c r="G15" s="18">
        <f>G16-($G$28-$G$16)/12</f>
        <v>2419.375</v>
      </c>
      <c r="H15" s="37">
        <v>126.2439483577654</v>
      </c>
      <c r="I15" s="18">
        <v>336.28800000000001</v>
      </c>
      <c r="J15" s="18">
        <v>1</v>
      </c>
      <c r="K15" s="18">
        <f t="shared" si="2"/>
        <v>4037734.0332204849</v>
      </c>
      <c r="L15" s="210"/>
      <c r="M15" s="212"/>
      <c r="N15" s="55" t="s">
        <v>10</v>
      </c>
      <c r="O15" s="55">
        <v>163</v>
      </c>
      <c r="P15" s="55">
        <v>131123572765212.52</v>
      </c>
      <c r="Q15" s="55"/>
      <c r="R15" s="55"/>
      <c r="S15" s="55"/>
    </row>
    <row r="16" spans="1:19" ht="13.5" thickBot="1" x14ac:dyDescent="0.25">
      <c r="A16" s="3">
        <v>37773</v>
      </c>
      <c r="B16" s="65">
        <f>'[13]Data Input'!B94</f>
        <v>3428880.25</v>
      </c>
      <c r="C16" s="115">
        <f>'Purchased Power Model '!C172</f>
        <v>88.34615384615384</v>
      </c>
      <c r="D16" s="115">
        <f>'Purchased Power Model '!D172</f>
        <v>12.253846153846153</v>
      </c>
      <c r="E16" s="18">
        <v>30</v>
      </c>
      <c r="F16" s="66">
        <f>[14]Intermediate!P20</f>
        <v>1</v>
      </c>
      <c r="G16" s="18">
        <f>'Rate Class Customer Model'!G3</f>
        <v>2416</v>
      </c>
      <c r="H16" s="37">
        <v>126.3902962557828</v>
      </c>
      <c r="I16" s="18">
        <v>336.24</v>
      </c>
      <c r="J16" s="18">
        <v>0</v>
      </c>
      <c r="K16" s="18">
        <f t="shared" si="2"/>
        <v>3829286.5662019355</v>
      </c>
      <c r="L16" s="210"/>
      <c r="M16" s="212"/>
    </row>
    <row r="17" spans="1:20" x14ac:dyDescent="0.2">
      <c r="A17" s="3">
        <v>37803</v>
      </c>
      <c r="B17" s="65">
        <f>'[13]Data Input'!B95</f>
        <v>3846460.25</v>
      </c>
      <c r="C17" s="115">
        <f>'Purchased Power Model '!C173</f>
        <v>33.746153846153845</v>
      </c>
      <c r="D17" s="115">
        <f>'Purchased Power Model '!D173</f>
        <v>41.638461538461542</v>
      </c>
      <c r="E17" s="18">
        <v>31</v>
      </c>
      <c r="F17" s="66">
        <f>[14]Intermediate!P21</f>
        <v>1</v>
      </c>
      <c r="G17" s="18">
        <f>G16+($G$28-$G$16)/12</f>
        <v>2412.625</v>
      </c>
      <c r="H17" s="37">
        <v>126.5368138071383</v>
      </c>
      <c r="I17" s="18">
        <v>351.91199999999998</v>
      </c>
      <c r="J17" s="18">
        <v>0</v>
      </c>
      <c r="K17" s="18">
        <f t="shared" si="2"/>
        <v>3934812.8259555893</v>
      </c>
      <c r="L17" s="210"/>
      <c r="M17" s="212"/>
      <c r="N17" s="56"/>
      <c r="O17" s="56" t="s">
        <v>36</v>
      </c>
      <c r="P17" s="56" t="s">
        <v>25</v>
      </c>
      <c r="Q17" s="56" t="s">
        <v>37</v>
      </c>
      <c r="R17" s="56" t="s">
        <v>38</v>
      </c>
      <c r="S17" s="56" t="s">
        <v>39</v>
      </c>
      <c r="T17" s="56" t="s">
        <v>40</v>
      </c>
    </row>
    <row r="18" spans="1:20" x14ac:dyDescent="0.2">
      <c r="A18" s="3">
        <v>37834</v>
      </c>
      <c r="B18" s="65">
        <f>'[13]Data Input'!B96</f>
        <v>2891760.25</v>
      </c>
      <c r="C18" s="115">
        <f>'Purchased Power Model '!C174</f>
        <v>60.553846153846166</v>
      </c>
      <c r="D18" s="115">
        <f>'Purchased Power Model '!D174</f>
        <v>30.238461538461539</v>
      </c>
      <c r="E18" s="18">
        <v>31</v>
      </c>
      <c r="F18" s="66">
        <v>0</v>
      </c>
      <c r="G18" s="18">
        <f>G17+(G28-G16)/12</f>
        <v>2409.25</v>
      </c>
      <c r="H18" s="37">
        <v>126.68350120850199</v>
      </c>
      <c r="I18" s="18">
        <v>319.92</v>
      </c>
      <c r="J18" s="18">
        <v>0</v>
      </c>
      <c r="K18" s="18">
        <f t="shared" si="2"/>
        <v>2361172.4562407322</v>
      </c>
      <c r="L18" s="210"/>
      <c r="M18" s="212"/>
      <c r="N18" s="38" t="s">
        <v>30</v>
      </c>
      <c r="O18" s="69">
        <v>-27135909.64504575</v>
      </c>
      <c r="P18" s="69">
        <v>3264911.0472920542</v>
      </c>
      <c r="Q18" s="67">
        <v>-8.3113779370964824</v>
      </c>
      <c r="R18" s="38">
        <v>4.2019169367170927E-14</v>
      </c>
      <c r="S18" s="69">
        <v>-33584726.564066075</v>
      </c>
      <c r="T18" s="69">
        <v>-20687092.726025425</v>
      </c>
    </row>
    <row r="19" spans="1:20" x14ac:dyDescent="0.2">
      <c r="A19" s="3">
        <v>37865</v>
      </c>
      <c r="B19" s="65">
        <f>'[13]Data Input'!B97</f>
        <v>1967640.25</v>
      </c>
      <c r="C19" s="115">
        <f>'Purchased Power Model '!C175</f>
        <v>165.12307692307692</v>
      </c>
      <c r="D19" s="115">
        <f>'Purchased Power Model '!D175</f>
        <v>8.3461538461538485</v>
      </c>
      <c r="E19" s="18">
        <v>30</v>
      </c>
      <c r="F19" s="66">
        <f>[14]Intermediate!P23</f>
        <v>0</v>
      </c>
      <c r="G19" s="18">
        <f>G18+(G28-G16)/12</f>
        <v>2405.875</v>
      </c>
      <c r="H19" s="37">
        <v>126.83035865677196</v>
      </c>
      <c r="I19" s="18">
        <v>336.24</v>
      </c>
      <c r="J19" s="18">
        <v>1</v>
      </c>
      <c r="K19" s="18">
        <f t="shared" si="2"/>
        <v>2267191.2362122554</v>
      </c>
      <c r="L19" s="210"/>
      <c r="M19" s="212"/>
      <c r="N19" s="38" t="s">
        <v>2</v>
      </c>
      <c r="O19" s="69">
        <v>783.80290658748186</v>
      </c>
      <c r="P19" s="69">
        <v>70.272478779477936</v>
      </c>
      <c r="Q19" s="67">
        <v>11.153767736685847</v>
      </c>
      <c r="R19" s="38">
        <v>1.2093494908721994E-21</v>
      </c>
      <c r="S19" s="69">
        <v>645.001468039727</v>
      </c>
      <c r="T19" s="69">
        <v>922.60434513523671</v>
      </c>
    </row>
    <row r="20" spans="1:20" x14ac:dyDescent="0.2">
      <c r="A20" s="3">
        <v>37895</v>
      </c>
      <c r="B20" s="65">
        <f>'[13]Data Input'!B98</f>
        <v>2417070.25</v>
      </c>
      <c r="C20" s="115">
        <f>'Purchased Power Model '!C176</f>
        <v>385.59230769230766</v>
      </c>
      <c r="D20" s="115">
        <f>'Purchased Power Model '!D176</f>
        <v>1.1076923076923075</v>
      </c>
      <c r="E20" s="18">
        <v>31</v>
      </c>
      <c r="F20" s="66">
        <f>[14]Intermediate!P24</f>
        <v>0</v>
      </c>
      <c r="G20" s="18">
        <f>G19+(G28-G16)/12</f>
        <v>2402.5</v>
      </c>
      <c r="H20" s="37">
        <v>126.97738634907456</v>
      </c>
      <c r="I20" s="18">
        <v>351.91199999999998</v>
      </c>
      <c r="J20" s="18">
        <v>1</v>
      </c>
      <c r="K20" s="18">
        <f t="shared" si="2"/>
        <v>2481209.089305561</v>
      </c>
      <c r="L20" s="210"/>
      <c r="M20" s="212"/>
      <c r="N20" s="38" t="s">
        <v>3</v>
      </c>
      <c r="O20" s="69">
        <v>2925.1573799480211</v>
      </c>
      <c r="P20" s="69">
        <v>1495.1243804512651</v>
      </c>
      <c r="Q20" s="67">
        <v>1.9564642368183021</v>
      </c>
      <c r="R20" s="38">
        <v>5.2184778660174888E-2</v>
      </c>
      <c r="S20" s="69">
        <v>-27.996093770927018</v>
      </c>
      <c r="T20" s="69">
        <v>5878.3108536669697</v>
      </c>
    </row>
    <row r="21" spans="1:20" x14ac:dyDescent="0.2">
      <c r="A21" s="3">
        <v>37926</v>
      </c>
      <c r="B21" s="65">
        <f>'[13]Data Input'!B99</f>
        <v>2458490.25</v>
      </c>
      <c r="C21" s="115">
        <f>'Purchased Power Model '!C177</f>
        <v>611.06923076923078</v>
      </c>
      <c r="D21" s="115">
        <f>'Purchased Power Model '!D177</f>
        <v>0</v>
      </c>
      <c r="E21" s="18">
        <v>30</v>
      </c>
      <c r="F21" s="66">
        <f>[14]Intermediate!P25</f>
        <v>0</v>
      </c>
      <c r="G21" s="18">
        <f>G20+(G28-G16)/12</f>
        <v>2399.125</v>
      </c>
      <c r="H21" s="37">
        <v>127.12458448276465</v>
      </c>
      <c r="I21" s="18">
        <v>319.68</v>
      </c>
      <c r="J21" s="18">
        <v>1</v>
      </c>
      <c r="K21" s="18">
        <f t="shared" si="2"/>
        <v>2542807.1602932354</v>
      </c>
      <c r="L21" s="210"/>
      <c r="M21" s="212"/>
      <c r="N21" s="38" t="s">
        <v>4</v>
      </c>
      <c r="O21" s="69">
        <v>87142.45210908445</v>
      </c>
      <c r="P21" s="69">
        <v>25866.313308846038</v>
      </c>
      <c r="Q21" s="67">
        <v>3.3689552534447396</v>
      </c>
      <c r="R21" s="38">
        <v>9.4940527238532909E-4</v>
      </c>
      <c r="S21" s="69">
        <v>36051.590372707833</v>
      </c>
      <c r="T21" s="69">
        <v>138233.31384546106</v>
      </c>
    </row>
    <row r="22" spans="1:20" x14ac:dyDescent="0.2">
      <c r="A22" s="3">
        <v>37956</v>
      </c>
      <c r="B22" s="65">
        <f>'[13]Data Input'!B100</f>
        <v>2768410.25</v>
      </c>
      <c r="C22" s="115">
        <f>'Purchased Power Model '!C178</f>
        <v>895.80769230769226</v>
      </c>
      <c r="D22" s="115">
        <f>'Purchased Power Model '!D178</f>
        <v>0</v>
      </c>
      <c r="E22" s="18">
        <v>31</v>
      </c>
      <c r="F22" s="66">
        <f>[14]Intermediate!P26</f>
        <v>0</v>
      </c>
      <c r="G22" s="18">
        <f>G21+(G28-G16)/12</f>
        <v>2395.75</v>
      </c>
      <c r="H22" s="37">
        <v>127.27195325542573</v>
      </c>
      <c r="I22" s="18">
        <v>336.28800000000001</v>
      </c>
      <c r="J22" s="18">
        <v>0</v>
      </c>
      <c r="K22" s="18">
        <f t="shared" si="2"/>
        <v>2828386.2970556142</v>
      </c>
      <c r="L22" s="210"/>
      <c r="M22" s="212"/>
      <c r="N22" s="38" t="s">
        <v>131</v>
      </c>
      <c r="O22" s="69">
        <v>1536536.935047759</v>
      </c>
      <c r="P22" s="69">
        <v>58520.438836784568</v>
      </c>
      <c r="Q22" s="67">
        <v>26.256415119052868</v>
      </c>
      <c r="R22" s="38">
        <v>2.5744927177388442E-59</v>
      </c>
      <c r="S22" s="69">
        <v>1420947.9984388554</v>
      </c>
      <c r="T22" s="69">
        <v>1652125.8716566626</v>
      </c>
    </row>
    <row r="23" spans="1:20" x14ac:dyDescent="0.2">
      <c r="A23" s="3">
        <v>37987</v>
      </c>
      <c r="B23" s="65">
        <f>'[13]Data Input'!B101</f>
        <v>3085313.17</v>
      </c>
      <c r="C23" s="115">
        <f>C11</f>
        <v>1023.9615384615383</v>
      </c>
      <c r="D23" s="115">
        <f>D11</f>
        <v>0</v>
      </c>
      <c r="E23" s="18">
        <v>31</v>
      </c>
      <c r="F23" s="66">
        <f>[14]Intermediate!P27</f>
        <v>0</v>
      </c>
      <c r="G23" s="18">
        <f>G22+(G28-G16)/12</f>
        <v>2392.375</v>
      </c>
      <c r="H23" s="37">
        <v>127.53411264087498</v>
      </c>
      <c r="I23" s="18">
        <v>336.28800000000001</v>
      </c>
      <c r="J23" s="18">
        <v>0</v>
      </c>
      <c r="K23" s="18">
        <f t="shared" si="2"/>
        <v>2908545.6101444038</v>
      </c>
      <c r="L23" s="210"/>
      <c r="M23" s="212"/>
      <c r="N23" s="213" t="s">
        <v>135</v>
      </c>
      <c r="O23" s="69">
        <v>9025.2894534004135</v>
      </c>
      <c r="P23" s="69">
        <v>1074.8886748540403</v>
      </c>
      <c r="Q23" s="67">
        <v>8.3964876219632352</v>
      </c>
      <c r="R23" s="38">
        <v>2.5511688371053111E-14</v>
      </c>
      <c r="S23" s="69">
        <v>6902.18099131495</v>
      </c>
      <c r="T23" s="69">
        <v>11148.397915485877</v>
      </c>
    </row>
    <row r="24" spans="1:20" ht="13.5" thickBot="1" x14ac:dyDescent="0.25">
      <c r="A24" s="3">
        <v>38018</v>
      </c>
      <c r="B24" s="65">
        <f>'[13]Data Input'!B102</f>
        <v>2532523.17</v>
      </c>
      <c r="C24" s="115">
        <f t="shared" ref="C24:D87" si="3">C12</f>
        <v>919.36153846153866</v>
      </c>
      <c r="D24" s="115">
        <f t="shared" si="3"/>
        <v>0</v>
      </c>
      <c r="E24" s="18">
        <v>29</v>
      </c>
      <c r="F24" s="66">
        <f>[14]Intermediate!P28</f>
        <v>0</v>
      </c>
      <c r="G24" s="18">
        <f>G23+(G28-G16)/12</f>
        <v>2389</v>
      </c>
      <c r="H24" s="37">
        <v>127.79681203173486</v>
      </c>
      <c r="I24" s="18">
        <v>320.16000000000003</v>
      </c>
      <c r="J24" s="18">
        <v>0</v>
      </c>
      <c r="K24" s="18">
        <f t="shared" si="2"/>
        <v>2632007.8311689654</v>
      </c>
      <c r="L24" s="210"/>
      <c r="M24" s="212"/>
      <c r="N24" s="211" t="s">
        <v>6</v>
      </c>
      <c r="O24" s="70">
        <v>38801.99776497874</v>
      </c>
      <c r="P24" s="70">
        <v>5698.844602003509</v>
      </c>
      <c r="Q24" s="68">
        <v>6.8087481717499987</v>
      </c>
      <c r="R24" s="55">
        <v>1.9723866415437153E-10</v>
      </c>
      <c r="S24" s="70">
        <v>27545.701665043853</v>
      </c>
      <c r="T24" s="70">
        <v>50058.293864913627</v>
      </c>
    </row>
    <row r="25" spans="1:20" x14ac:dyDescent="0.2">
      <c r="A25" s="3">
        <v>38047</v>
      </c>
      <c r="B25" s="65">
        <f>'[13]Data Input'!B103</f>
        <v>2474943.17</v>
      </c>
      <c r="C25" s="115">
        <f t="shared" si="3"/>
        <v>729.98461538461538</v>
      </c>
      <c r="D25" s="115">
        <f t="shared" si="3"/>
        <v>0</v>
      </c>
      <c r="E25" s="18">
        <v>31</v>
      </c>
      <c r="F25" s="66">
        <f>[14]Intermediate!P29</f>
        <v>0</v>
      </c>
      <c r="G25" s="18">
        <f>G24+(G28-G16)/12</f>
        <v>2385.625</v>
      </c>
      <c r="H25" s="37">
        <v>128.06005254032812</v>
      </c>
      <c r="I25" s="18">
        <v>368.28</v>
      </c>
      <c r="J25" s="18">
        <v>1</v>
      </c>
      <c r="K25" s="18">
        <f t="shared" si="2"/>
        <v>2637612.458359709</v>
      </c>
      <c r="L25" s="210"/>
      <c r="M25" s="212"/>
    </row>
    <row r="26" spans="1:20" x14ac:dyDescent="0.2">
      <c r="A26" s="3">
        <v>38078</v>
      </c>
      <c r="B26" s="65">
        <f>'[13]Data Input'!B104</f>
        <v>2400573.17</v>
      </c>
      <c r="C26" s="115">
        <f t="shared" si="3"/>
        <v>447.0846153846154</v>
      </c>
      <c r="D26" s="115">
        <f t="shared" si="3"/>
        <v>0</v>
      </c>
      <c r="E26" s="18">
        <v>30</v>
      </c>
      <c r="F26" s="66">
        <f>[14]Intermediate!P30</f>
        <v>0</v>
      </c>
      <c r="G26" s="18">
        <f>G25+(G28-G16)/12</f>
        <v>2382.25</v>
      </c>
      <c r="H26" s="37">
        <v>128.32383528126866</v>
      </c>
      <c r="I26" s="18">
        <v>336.24</v>
      </c>
      <c r="J26" s="18">
        <v>1</v>
      </c>
      <c r="K26" s="18">
        <f t="shared" si="2"/>
        <v>2308507.1093962127</v>
      </c>
      <c r="L26" s="210"/>
      <c r="M26" s="212"/>
    </row>
    <row r="27" spans="1:20" x14ac:dyDescent="0.2">
      <c r="A27" s="3">
        <v>38108</v>
      </c>
      <c r="B27" s="65">
        <f>'[13]Data Input'!B105</f>
        <v>2303903.17</v>
      </c>
      <c r="C27" s="115">
        <f t="shared" si="3"/>
        <v>248.03846153846155</v>
      </c>
      <c r="D27" s="115">
        <f t="shared" si="3"/>
        <v>2.4615384615384617</v>
      </c>
      <c r="E27" s="18">
        <v>31</v>
      </c>
      <c r="F27" s="66">
        <f>[14]Intermediate!P31</f>
        <v>0</v>
      </c>
      <c r="G27" s="18">
        <f>G26+(G28-G16)/12</f>
        <v>2378.875</v>
      </c>
      <c r="H27" s="37">
        <v>128.58816137146633</v>
      </c>
      <c r="I27" s="18">
        <v>319.92</v>
      </c>
      <c r="J27" s="18">
        <v>1</v>
      </c>
      <c r="K27" s="18">
        <f t="shared" si="2"/>
        <v>2226633.023428265</v>
      </c>
      <c r="L27" s="210"/>
      <c r="M27" s="212"/>
    </row>
    <row r="28" spans="1:20" x14ac:dyDescent="0.2">
      <c r="A28" s="3">
        <v>38139</v>
      </c>
      <c r="B28" s="65">
        <f>'[13]Data Input'!B106</f>
        <v>3164823.17</v>
      </c>
      <c r="C28" s="115">
        <f t="shared" si="3"/>
        <v>88.34615384615384</v>
      </c>
      <c r="D28" s="115">
        <f t="shared" si="3"/>
        <v>12.253846153846153</v>
      </c>
      <c r="E28" s="18">
        <v>30</v>
      </c>
      <c r="F28" s="66">
        <f>[14]Intermediate!P32</f>
        <v>1</v>
      </c>
      <c r="G28" s="18">
        <f>'Rate Class Customer Model'!G4</f>
        <v>2375.5</v>
      </c>
      <c r="H28" s="37">
        <v>128.85303193013166</v>
      </c>
      <c r="I28" s="18">
        <v>352.08</v>
      </c>
      <c r="J28" s="18">
        <v>0</v>
      </c>
      <c r="K28" s="18">
        <f t="shared" si="2"/>
        <v>3559321.4074710365</v>
      </c>
      <c r="L28" s="210"/>
      <c r="M28" s="212"/>
    </row>
    <row r="29" spans="1:20" x14ac:dyDescent="0.2">
      <c r="A29" s="3">
        <v>38169</v>
      </c>
      <c r="B29" s="65">
        <f>'[13]Data Input'!B107</f>
        <v>4224053.17</v>
      </c>
      <c r="C29" s="115">
        <f t="shared" si="3"/>
        <v>33.746153846153845</v>
      </c>
      <c r="D29" s="115">
        <f t="shared" si="3"/>
        <v>41.638461538461542</v>
      </c>
      <c r="E29" s="18">
        <v>31</v>
      </c>
      <c r="F29" s="66">
        <f>[14]Intermediate!P33</f>
        <v>1</v>
      </c>
      <c r="G29" s="18">
        <f>G28+(G40-G28)/12</f>
        <v>2373.7916666666665</v>
      </c>
      <c r="H29" s="37">
        <v>129.11844807878055</v>
      </c>
      <c r="I29" s="18">
        <v>336.28800000000001</v>
      </c>
      <c r="J29" s="18">
        <v>0</v>
      </c>
      <c r="K29" s="18">
        <f t="shared" si="2"/>
        <v>3684503.3194201281</v>
      </c>
      <c r="L29" s="210"/>
      <c r="M29" s="212"/>
    </row>
    <row r="30" spans="1:20" x14ac:dyDescent="0.2">
      <c r="A30" s="3">
        <v>38200</v>
      </c>
      <c r="B30" s="65">
        <f>'[13]Data Input'!B108</f>
        <v>3844613.17</v>
      </c>
      <c r="C30" s="115">
        <f t="shared" si="3"/>
        <v>60.553846153846166</v>
      </c>
      <c r="D30" s="115">
        <f t="shared" si="3"/>
        <v>30.238461538461539</v>
      </c>
      <c r="E30" s="18">
        <v>31</v>
      </c>
      <c r="F30" s="66">
        <f>[14]Intermediate!P34</f>
        <v>1</v>
      </c>
      <c r="G30" s="18">
        <f>G29+(G40-G28)/12</f>
        <v>2372.083333333333</v>
      </c>
      <c r="H30" s="37">
        <v>129.38441094123903</v>
      </c>
      <c r="I30" s="18">
        <v>336.28800000000001</v>
      </c>
      <c r="J30" s="18">
        <v>0</v>
      </c>
      <c r="K30" s="18">
        <f t="shared" si="2"/>
        <v>3667070.1600168506</v>
      </c>
      <c r="L30" s="210"/>
      <c r="M30" s="212"/>
    </row>
    <row r="31" spans="1:20" x14ac:dyDescent="0.2">
      <c r="A31" s="3">
        <v>38231</v>
      </c>
      <c r="B31" s="65">
        <f>'[13]Data Input'!B109</f>
        <v>3855953.17</v>
      </c>
      <c r="C31" s="115">
        <f t="shared" si="3"/>
        <v>165.12307692307692</v>
      </c>
      <c r="D31" s="115">
        <f t="shared" si="3"/>
        <v>8.3461538461538485</v>
      </c>
      <c r="E31" s="18">
        <v>30</v>
      </c>
      <c r="F31" s="66">
        <f>[14]Intermediate!P35</f>
        <v>1</v>
      </c>
      <c r="G31" s="18">
        <f>G30+(G40-G28)/12</f>
        <v>2370.3749999999995</v>
      </c>
      <c r="H31" s="37">
        <v>129.65092164364802</v>
      </c>
      <c r="I31" s="18">
        <v>336.24</v>
      </c>
      <c r="J31" s="18">
        <v>1</v>
      </c>
      <c r="K31" s="18">
        <f t="shared" si="2"/>
        <v>3592773.8743770421</v>
      </c>
      <c r="L31" s="210"/>
      <c r="M31" s="212"/>
    </row>
    <row r="32" spans="1:20" x14ac:dyDescent="0.2">
      <c r="A32" s="3">
        <v>38261</v>
      </c>
      <c r="B32" s="65">
        <f>'[13]Data Input'!B110</f>
        <v>4054133.17</v>
      </c>
      <c r="C32" s="115">
        <f t="shared" si="3"/>
        <v>385.59230769230766</v>
      </c>
      <c r="D32" s="115">
        <f t="shared" si="3"/>
        <v>1.1076923076923075</v>
      </c>
      <c r="E32" s="18">
        <v>31</v>
      </c>
      <c r="F32" s="66">
        <f>[14]Intermediate!P36</f>
        <v>1</v>
      </c>
      <c r="G32" s="18">
        <f>G31+(G40-G28)/12</f>
        <v>2368.6666666666661</v>
      </c>
      <c r="H32" s="37">
        <v>129.91798131446814</v>
      </c>
      <c r="I32" s="18">
        <v>319.92</v>
      </c>
      <c r="J32" s="18">
        <v>1</v>
      </c>
      <c r="K32" s="18">
        <f t="shared" si="2"/>
        <v>3826491.3571215104</v>
      </c>
      <c r="L32" s="210"/>
      <c r="M32" s="212"/>
    </row>
    <row r="33" spans="1:13" x14ac:dyDescent="0.2">
      <c r="A33" s="3">
        <v>38292</v>
      </c>
      <c r="B33" s="65">
        <f>'[13]Data Input'!B111</f>
        <v>3939313.17</v>
      </c>
      <c r="C33" s="115">
        <f t="shared" si="3"/>
        <v>611.06923076923078</v>
      </c>
      <c r="D33" s="115">
        <f t="shared" si="3"/>
        <v>0</v>
      </c>
      <c r="E33" s="18">
        <v>30</v>
      </c>
      <c r="F33" s="66">
        <f>[14]Intermediate!P37</f>
        <v>1</v>
      </c>
      <c r="G33" s="18">
        <f>G32+(G40-G28)/12</f>
        <v>2366.9583333333326</v>
      </c>
      <c r="H33" s="37">
        <v>130.18559108448443</v>
      </c>
      <c r="I33" s="18">
        <v>352.08</v>
      </c>
      <c r="J33" s="18">
        <v>1</v>
      </c>
      <c r="K33" s="18">
        <f t="shared" si="2"/>
        <v>3907803.7892417898</v>
      </c>
      <c r="L33" s="210"/>
      <c r="M33" s="212"/>
    </row>
    <row r="34" spans="1:13" x14ac:dyDescent="0.2">
      <c r="A34" s="3">
        <v>38322</v>
      </c>
      <c r="B34" s="65">
        <f>'[13]Data Input'!B112</f>
        <v>4440873.17</v>
      </c>
      <c r="C34" s="115">
        <f t="shared" si="3"/>
        <v>895.80769230769226</v>
      </c>
      <c r="D34" s="115">
        <f t="shared" si="3"/>
        <v>0</v>
      </c>
      <c r="E34" s="18">
        <v>31</v>
      </c>
      <c r="F34" s="66">
        <f>[14]Intermediate!P38</f>
        <v>1</v>
      </c>
      <c r="G34" s="18">
        <f>G33+(G40-G28)/12</f>
        <v>2365.2499999999991</v>
      </c>
      <c r="H34" s="37">
        <v>130.45375208681136</v>
      </c>
      <c r="I34" s="18">
        <v>336.28800000000001</v>
      </c>
      <c r="J34" s="18">
        <v>0</v>
      </c>
      <c r="K34" s="18">
        <f t="shared" si="2"/>
        <v>4213112.0549186906</v>
      </c>
      <c r="L34" s="210"/>
      <c r="M34" s="212"/>
    </row>
    <row r="35" spans="1:13" x14ac:dyDescent="0.2">
      <c r="A35" s="3">
        <v>38353</v>
      </c>
      <c r="B35" s="65">
        <f>'[13]Data Input'!B113</f>
        <v>4722183</v>
      </c>
      <c r="C35" s="115">
        <f t="shared" si="3"/>
        <v>1023.9615384615383</v>
      </c>
      <c r="D35" s="115">
        <f t="shared" si="3"/>
        <v>0</v>
      </c>
      <c r="E35" s="18">
        <v>31</v>
      </c>
      <c r="F35" s="66">
        <f>[14]Intermediate!P39</f>
        <v>1</v>
      </c>
      <c r="G35" s="18">
        <f>G34+(G40-G28)/12</f>
        <v>2363.5416666666656</v>
      </c>
      <c r="H35" s="37">
        <v>130.74370215685079</v>
      </c>
      <c r="I35" s="18">
        <v>319.92</v>
      </c>
      <c r="J35" s="18">
        <v>0</v>
      </c>
      <c r="K35" s="18">
        <f t="shared" si="2"/>
        <v>4309391.8511778368</v>
      </c>
      <c r="L35" s="210"/>
      <c r="M35" s="212"/>
    </row>
    <row r="36" spans="1:13" x14ac:dyDescent="0.2">
      <c r="A36" s="3">
        <v>38384</v>
      </c>
      <c r="B36" s="65">
        <f>'[13]Data Input'!B114</f>
        <v>3915913</v>
      </c>
      <c r="C36" s="115">
        <f t="shared" si="3"/>
        <v>919.36153846153866</v>
      </c>
      <c r="D36" s="115">
        <f t="shared" si="3"/>
        <v>0</v>
      </c>
      <c r="E36" s="18">
        <v>28</v>
      </c>
      <c r="F36" s="66">
        <f>[14]Intermediate!P40</f>
        <v>1</v>
      </c>
      <c r="G36" s="18">
        <f>G35+(G40-G28)/12</f>
        <v>2361.8333333333321</v>
      </c>
      <c r="H36" s="37">
        <v>131.0342966778299</v>
      </c>
      <c r="I36" s="18">
        <v>319.87200000000001</v>
      </c>
      <c r="J36" s="18">
        <v>0</v>
      </c>
      <c r="K36" s="18">
        <f t="shared" si="2"/>
        <v>3961836.1559588518</v>
      </c>
      <c r="L36" s="210"/>
      <c r="M36" s="212"/>
    </row>
    <row r="37" spans="1:13" x14ac:dyDescent="0.2">
      <c r="A37" s="3">
        <v>38412</v>
      </c>
      <c r="B37" s="65">
        <f>'[13]Data Input'!B115</f>
        <v>4024213</v>
      </c>
      <c r="C37" s="115">
        <f t="shared" si="3"/>
        <v>729.98461538461538</v>
      </c>
      <c r="D37" s="115">
        <f t="shared" si="3"/>
        <v>0</v>
      </c>
      <c r="E37" s="18">
        <v>31</v>
      </c>
      <c r="F37" s="66">
        <f>[14]Intermediate!P41</f>
        <v>1</v>
      </c>
      <c r="G37" s="18">
        <f>G36+(G40-G28)/12</f>
        <v>2360.1249999999986</v>
      </c>
      <c r="H37" s="37">
        <v>131.32553708212293</v>
      </c>
      <c r="I37" s="18">
        <v>351.91199999999998</v>
      </c>
      <c r="J37" s="18">
        <v>1</v>
      </c>
      <c r="K37" s="18">
        <f t="shared" si="2"/>
        <v>4070711.8362380425</v>
      </c>
      <c r="L37" s="210"/>
      <c r="M37" s="212"/>
    </row>
    <row r="38" spans="1:13" x14ac:dyDescent="0.2">
      <c r="A38" s="3">
        <v>38443</v>
      </c>
      <c r="B38" s="65">
        <f>'[13]Data Input'!B116</f>
        <v>3705613</v>
      </c>
      <c r="C38" s="115">
        <f t="shared" si="3"/>
        <v>447.0846153846154</v>
      </c>
      <c r="D38" s="115">
        <f t="shared" si="3"/>
        <v>0</v>
      </c>
      <c r="E38" s="18">
        <v>30</v>
      </c>
      <c r="F38" s="66">
        <f>[14]Intermediate!P42</f>
        <v>1</v>
      </c>
      <c r="G38" s="18">
        <f>G37+(G40-G28)/12</f>
        <v>2358.4166666666652</v>
      </c>
      <c r="H38" s="37">
        <v>131.61742480528775</v>
      </c>
      <c r="I38" s="18">
        <v>336.24</v>
      </c>
      <c r="J38" s="18">
        <v>1</v>
      </c>
      <c r="K38" s="18">
        <f t="shared" si="2"/>
        <v>3757739.1658209953</v>
      </c>
      <c r="L38" s="210"/>
      <c r="M38" s="212"/>
    </row>
    <row r="39" spans="1:13" x14ac:dyDescent="0.2">
      <c r="A39" s="3">
        <v>38473</v>
      </c>
      <c r="B39" s="65">
        <f>'[13]Data Input'!B117</f>
        <v>3726493</v>
      </c>
      <c r="C39" s="115">
        <f t="shared" si="3"/>
        <v>248.03846153846155</v>
      </c>
      <c r="D39" s="115">
        <f t="shared" si="3"/>
        <v>2.4615384615384617</v>
      </c>
      <c r="E39" s="18">
        <v>31</v>
      </c>
      <c r="F39" s="66">
        <f>[14]Intermediate!P43</f>
        <v>1</v>
      </c>
      <c r="G39" s="18">
        <f>G38+(G40-G28)/12</f>
        <v>2356.7083333333317</v>
      </c>
      <c r="H39" s="37">
        <v>131.90996128607298</v>
      </c>
      <c r="I39" s="18">
        <v>336.28800000000001</v>
      </c>
      <c r="J39" s="18">
        <v>1</v>
      </c>
      <c r="K39" s="18">
        <f t="shared" si="2"/>
        <v>3692001.8484545769</v>
      </c>
      <c r="L39" s="210"/>
      <c r="M39" s="212"/>
    </row>
    <row r="40" spans="1:13" x14ac:dyDescent="0.2">
      <c r="A40" s="3">
        <v>38504</v>
      </c>
      <c r="B40" s="65">
        <f>'[13]Data Input'!B118</f>
        <v>3486993</v>
      </c>
      <c r="C40" s="115">
        <f t="shared" si="3"/>
        <v>88.34615384615384</v>
      </c>
      <c r="D40" s="115">
        <f t="shared" si="3"/>
        <v>12.253846153846153</v>
      </c>
      <c r="E40" s="18">
        <v>30</v>
      </c>
      <c r="F40" s="66">
        <f>[14]Intermediate!P44</f>
        <v>1</v>
      </c>
      <c r="G40" s="18">
        <f>'Rate Class Customer Model'!G5</f>
        <v>2355</v>
      </c>
      <c r="H40" s="37">
        <v>132.20314796642501</v>
      </c>
      <c r="I40" s="18">
        <v>352.08</v>
      </c>
      <c r="J40" s="18">
        <v>0</v>
      </c>
      <c r="K40" s="18">
        <f t="shared" si="2"/>
        <v>3504294.1686290037</v>
      </c>
      <c r="L40" s="210"/>
      <c r="M40" s="212"/>
    </row>
    <row r="41" spans="1:13" x14ac:dyDescent="0.2">
      <c r="A41" s="3">
        <v>38534</v>
      </c>
      <c r="B41" s="65">
        <f>'[13]Data Input'!B119</f>
        <v>3654493</v>
      </c>
      <c r="C41" s="115">
        <f t="shared" si="3"/>
        <v>33.746153846153845</v>
      </c>
      <c r="D41" s="115">
        <f t="shared" si="3"/>
        <v>41.638461538461542</v>
      </c>
      <c r="E41" s="18">
        <v>31</v>
      </c>
      <c r="F41" s="66">
        <f>[14]Intermediate!P45</f>
        <v>1</v>
      </c>
      <c r="G41" s="18">
        <f>G40+(G52-G40)/12</f>
        <v>2354.0833333333335</v>
      </c>
      <c r="H41" s="37">
        <v>132.49698629149512</v>
      </c>
      <c r="I41" s="18">
        <v>319.92</v>
      </c>
      <c r="J41" s="18">
        <v>0</v>
      </c>
      <c r="K41" s="18">
        <f t="shared" si="2"/>
        <v>3637723.938621344</v>
      </c>
      <c r="L41" s="210"/>
      <c r="M41" s="212"/>
    </row>
    <row r="42" spans="1:13" x14ac:dyDescent="0.2">
      <c r="A42" s="3">
        <v>38565</v>
      </c>
      <c r="B42" s="65">
        <f>'[13]Data Input'!B120</f>
        <v>3331013</v>
      </c>
      <c r="C42" s="115">
        <f t="shared" si="3"/>
        <v>60.553846153846166</v>
      </c>
      <c r="D42" s="115">
        <f t="shared" si="3"/>
        <v>30.238461538461539</v>
      </c>
      <c r="E42" s="18">
        <v>31</v>
      </c>
      <c r="F42" s="66">
        <f>[14]Intermediate!P46</f>
        <v>1</v>
      </c>
      <c r="G42" s="18">
        <f>G41+(G52-G40)/12</f>
        <v>2353.166666666667</v>
      </c>
      <c r="H42" s="37">
        <v>132.79147770964664</v>
      </c>
      <c r="I42" s="18">
        <v>351.91199999999998</v>
      </c>
      <c r="J42" s="18">
        <v>0</v>
      </c>
      <c r="K42" s="18">
        <f t="shared" si="2"/>
        <v>3628542.764989581</v>
      </c>
      <c r="L42" s="210"/>
      <c r="M42" s="212"/>
    </row>
    <row r="43" spans="1:13" x14ac:dyDescent="0.2">
      <c r="A43" s="3">
        <v>38596</v>
      </c>
      <c r="B43" s="65">
        <f>'[13]Data Input'!B121</f>
        <v>3350603</v>
      </c>
      <c r="C43" s="115">
        <f t="shared" si="3"/>
        <v>165.12307692307692</v>
      </c>
      <c r="D43" s="115">
        <f t="shared" si="3"/>
        <v>8.3461538461538485</v>
      </c>
      <c r="E43" s="18">
        <v>30</v>
      </c>
      <c r="F43" s="66">
        <f>[14]Intermediate!P47</f>
        <v>1</v>
      </c>
      <c r="G43" s="18">
        <f>G42+(G52-G40)/12</f>
        <v>2352.2500000000005</v>
      </c>
      <c r="H43" s="37">
        <v>133.08662367246211</v>
      </c>
      <c r="I43" s="18">
        <v>336.24</v>
      </c>
      <c r="J43" s="18">
        <v>1</v>
      </c>
      <c r="K43" s="18">
        <f t="shared" si="2"/>
        <v>3562502.6054773442</v>
      </c>
      <c r="L43" s="210"/>
      <c r="M43" s="212"/>
    </row>
    <row r="44" spans="1:13" x14ac:dyDescent="0.2">
      <c r="A44" s="3">
        <v>38626</v>
      </c>
      <c r="B44" s="65">
        <f>'[13]Data Input'!B122</f>
        <v>3965603</v>
      </c>
      <c r="C44" s="115">
        <f t="shared" si="3"/>
        <v>385.59230769230766</v>
      </c>
      <c r="D44" s="115">
        <f t="shared" si="3"/>
        <v>1.1076923076923075</v>
      </c>
      <c r="E44" s="18">
        <v>31</v>
      </c>
      <c r="F44" s="66">
        <f>[14]Intermediate!P48</f>
        <v>1</v>
      </c>
      <c r="G44" s="18">
        <f>G43+(G52-G40)/12</f>
        <v>2351.3333333333339</v>
      </c>
      <c r="H44" s="37">
        <v>133.38242563475035</v>
      </c>
      <c r="I44" s="18">
        <v>319.92</v>
      </c>
      <c r="J44" s="18">
        <v>1</v>
      </c>
      <c r="K44" s="18">
        <f t="shared" si="2"/>
        <v>3804480.3673683954</v>
      </c>
      <c r="L44" s="210"/>
      <c r="M44" s="212"/>
    </row>
    <row r="45" spans="1:13" x14ac:dyDescent="0.2">
      <c r="A45" s="3">
        <v>38657</v>
      </c>
      <c r="B45" s="65">
        <f>'[13]Data Input'!B123</f>
        <v>3975733</v>
      </c>
      <c r="C45" s="115">
        <f t="shared" si="3"/>
        <v>611.06923076923078</v>
      </c>
      <c r="D45" s="115">
        <f t="shared" si="3"/>
        <v>0</v>
      </c>
      <c r="E45" s="18">
        <v>30</v>
      </c>
      <c r="F45" s="66">
        <f>[14]Intermediate!P49</f>
        <v>1</v>
      </c>
      <c r="G45" s="18">
        <f>G44+(G52-G40)/12</f>
        <v>2350.4166666666674</v>
      </c>
      <c r="H45" s="37">
        <v>133.67888505455369</v>
      </c>
      <c r="I45" s="18">
        <v>352.08</v>
      </c>
      <c r="J45" s="18">
        <v>1</v>
      </c>
      <c r="K45" s="18">
        <f t="shared" si="2"/>
        <v>3894057.2443525158</v>
      </c>
      <c r="L45" s="210"/>
      <c r="M45" s="212"/>
    </row>
    <row r="46" spans="1:13" x14ac:dyDescent="0.2">
      <c r="A46" s="3">
        <v>38687</v>
      </c>
      <c r="B46" s="65">
        <f>'[13]Data Input'!B124</f>
        <v>4052273</v>
      </c>
      <c r="C46" s="115">
        <f t="shared" si="3"/>
        <v>895.80769230769226</v>
      </c>
      <c r="D46" s="115">
        <f t="shared" si="3"/>
        <v>0</v>
      </c>
      <c r="E46" s="18">
        <v>31</v>
      </c>
      <c r="F46" s="66">
        <f>[14]Intermediate!P50</f>
        <v>1</v>
      </c>
      <c r="G46" s="18">
        <f>G45+(G52-G40)/12</f>
        <v>2349.5000000000009</v>
      </c>
      <c r="H46" s="37">
        <v>133.97600339315525</v>
      </c>
      <c r="I46" s="18">
        <v>319.92</v>
      </c>
      <c r="J46" s="18">
        <v>0</v>
      </c>
      <c r="K46" s="18">
        <f t="shared" si="2"/>
        <v>4207634.1333441008</v>
      </c>
      <c r="L46" s="210"/>
      <c r="M46" s="212"/>
    </row>
    <row r="47" spans="1:13" x14ac:dyDescent="0.2">
      <c r="A47" s="3">
        <v>38718</v>
      </c>
      <c r="B47" s="65">
        <f>'[13]Data Input'!B125</f>
        <v>3921263.34</v>
      </c>
      <c r="C47" s="115">
        <f t="shared" si="3"/>
        <v>1023.9615384615383</v>
      </c>
      <c r="D47" s="115">
        <f t="shared" si="3"/>
        <v>0</v>
      </c>
      <c r="E47" s="18">
        <v>31</v>
      </c>
      <c r="F47" s="66">
        <f>[14]Intermediate!P51</f>
        <v>1</v>
      </c>
      <c r="G47" s="18">
        <f>G46+(G52-G40)/12</f>
        <v>2348.5833333333344</v>
      </c>
      <c r="H47" s="37">
        <v>134.25197202423305</v>
      </c>
      <c r="I47" s="18">
        <v>336.28800000000001</v>
      </c>
      <c r="J47" s="18">
        <v>0</v>
      </c>
      <c r="K47" s="18">
        <f t="shared" si="2"/>
        <v>4310516.4426571829</v>
      </c>
      <c r="L47" s="210"/>
      <c r="M47" s="212"/>
    </row>
    <row r="48" spans="1:13" x14ac:dyDescent="0.2">
      <c r="A48" s="3">
        <v>38749</v>
      </c>
      <c r="B48" s="65">
        <f>'[13]Data Input'!B126</f>
        <v>3835713.34</v>
      </c>
      <c r="C48" s="115">
        <f t="shared" si="3"/>
        <v>919.36153846153866</v>
      </c>
      <c r="D48" s="115">
        <f t="shared" si="3"/>
        <v>0</v>
      </c>
      <c r="E48" s="18">
        <v>28</v>
      </c>
      <c r="F48" s="66">
        <f>[14]Intermediate!P52</f>
        <v>1</v>
      </c>
      <c r="G48" s="18">
        <f>G47+(G52-G40)/12</f>
        <v>2347.6666666666679</v>
      </c>
      <c r="H48" s="37">
        <v>134.52850910550649</v>
      </c>
      <c r="I48" s="18">
        <v>319.87200000000001</v>
      </c>
      <c r="J48" s="18">
        <v>0</v>
      </c>
      <c r="K48" s="18">
        <f t="shared" si="2"/>
        <v>3969560.3115114365</v>
      </c>
      <c r="L48" s="210"/>
      <c r="M48" s="212"/>
    </row>
    <row r="49" spans="1:13" x14ac:dyDescent="0.2">
      <c r="A49" s="3">
        <v>38777</v>
      </c>
      <c r="B49" s="65">
        <f>'[13]Data Input'!B127</f>
        <v>4038473.34</v>
      </c>
      <c r="C49" s="115">
        <f t="shared" si="3"/>
        <v>729.98461538461538</v>
      </c>
      <c r="D49" s="115">
        <f t="shared" si="3"/>
        <v>0</v>
      </c>
      <c r="E49" s="18">
        <v>31</v>
      </c>
      <c r="F49" s="66">
        <f>[14]Intermediate!P53</f>
        <v>1</v>
      </c>
      <c r="G49" s="18">
        <f>G48+(G52-G40)/12</f>
        <v>2346.7500000000014</v>
      </c>
      <c r="H49" s="37">
        <v>134.80561580788986</v>
      </c>
      <c r="I49" s="18">
        <v>368.28</v>
      </c>
      <c r="J49" s="18">
        <v>1</v>
      </c>
      <c r="K49" s="18">
        <f t="shared" si="2"/>
        <v>4085032.5967379939</v>
      </c>
      <c r="L49" s="210"/>
      <c r="M49" s="212"/>
    </row>
    <row r="50" spans="1:13" x14ac:dyDescent="0.2">
      <c r="A50" s="3">
        <v>38808</v>
      </c>
      <c r="B50" s="65">
        <f>'[13]Data Input'!B128</f>
        <v>3709953.34</v>
      </c>
      <c r="C50" s="115">
        <f t="shared" si="3"/>
        <v>447.0846153846154</v>
      </c>
      <c r="D50" s="115">
        <f t="shared" si="3"/>
        <v>0</v>
      </c>
      <c r="E50" s="18">
        <v>30</v>
      </c>
      <c r="F50" s="66">
        <f>[14]Intermediate!P54</f>
        <v>1</v>
      </c>
      <c r="G50" s="18">
        <f>G49+(G52-G40)/12</f>
        <v>2345.8333333333348</v>
      </c>
      <c r="H50" s="37">
        <v>135.08329330470943</v>
      </c>
      <c r="I50" s="18">
        <v>303.83999999999997</v>
      </c>
      <c r="J50" s="18">
        <v>1</v>
      </c>
      <c r="K50" s="18">
        <f t="shared" si="2"/>
        <v>3778653.5619673384</v>
      </c>
      <c r="L50" s="210"/>
      <c r="M50" s="212"/>
    </row>
    <row r="51" spans="1:13" x14ac:dyDescent="0.2">
      <c r="A51" s="3">
        <v>38838</v>
      </c>
      <c r="B51" s="65">
        <f>'[13]Data Input'!B129</f>
        <v>3886953.34</v>
      </c>
      <c r="C51" s="115">
        <f t="shared" si="3"/>
        <v>248.03846153846155</v>
      </c>
      <c r="D51" s="115">
        <f t="shared" si="3"/>
        <v>2.4615384615384617</v>
      </c>
      <c r="E51" s="18">
        <v>31</v>
      </c>
      <c r="F51" s="66">
        <f>[14]Intermediate!P55</f>
        <v>1</v>
      </c>
      <c r="G51" s="18">
        <f>G50+(G52-G40)/12</f>
        <v>2344.9166666666683</v>
      </c>
      <c r="H51" s="37">
        <v>135.36154277170829</v>
      </c>
      <c r="I51" s="18">
        <v>351.91199999999998</v>
      </c>
      <c r="J51" s="18">
        <v>1</v>
      </c>
      <c r="K51" s="18">
        <f t="shared" si="2"/>
        <v>3719506.9007411888</v>
      </c>
      <c r="L51" s="210"/>
      <c r="M51" s="212"/>
    </row>
    <row r="52" spans="1:13" x14ac:dyDescent="0.2">
      <c r="A52" s="3">
        <v>38869</v>
      </c>
      <c r="B52" s="65">
        <f>'[13]Data Input'!B130</f>
        <v>3562953.34</v>
      </c>
      <c r="C52" s="115">
        <f t="shared" si="3"/>
        <v>88.34615384615384</v>
      </c>
      <c r="D52" s="115">
        <f t="shared" si="3"/>
        <v>12.253846153846153</v>
      </c>
      <c r="E52" s="18">
        <v>30</v>
      </c>
      <c r="F52" s="66">
        <f>[14]Intermediate!P56</f>
        <v>1</v>
      </c>
      <c r="G52" s="18">
        <f>'Rate Class Customer Model'!G6</f>
        <v>2344</v>
      </c>
      <c r="H52" s="37">
        <v>135.64036538705133</v>
      </c>
      <c r="I52" s="18">
        <v>352.08</v>
      </c>
      <c r="J52" s="18">
        <v>0</v>
      </c>
      <c r="K52" s="18">
        <f t="shared" si="2"/>
        <v>3538386.8873144872</v>
      </c>
      <c r="L52" s="210"/>
      <c r="M52" s="212"/>
    </row>
    <row r="53" spans="1:13" x14ac:dyDescent="0.2">
      <c r="A53" s="3">
        <v>38899</v>
      </c>
      <c r="B53" s="65">
        <f>'[13]Data Input'!B131</f>
        <v>3884013.34</v>
      </c>
      <c r="C53" s="115">
        <f t="shared" si="3"/>
        <v>33.746153846153845</v>
      </c>
      <c r="D53" s="115">
        <f t="shared" si="3"/>
        <v>41.638461538461542</v>
      </c>
      <c r="E53" s="18">
        <v>31</v>
      </c>
      <c r="F53" s="66">
        <f>[14]Intermediate!P57</f>
        <v>1</v>
      </c>
      <c r="G53" s="18">
        <f>G52+(G64-G52)/12</f>
        <v>2342.75</v>
      </c>
      <c r="H53" s="37">
        <v>135.9197623313303</v>
      </c>
      <c r="I53" s="18">
        <v>319.92</v>
      </c>
      <c r="J53" s="18">
        <v>0</v>
      </c>
      <c r="K53" s="18">
        <f t="shared" si="2"/>
        <v>3668247.8730638465</v>
      </c>
      <c r="L53" s="210"/>
      <c r="M53" s="212"/>
    </row>
    <row r="54" spans="1:13" x14ac:dyDescent="0.2">
      <c r="A54" s="3">
        <v>38930</v>
      </c>
      <c r="B54" s="65">
        <f>'[13]Data Input'!B132</f>
        <v>3680103.34</v>
      </c>
      <c r="C54" s="115">
        <f t="shared" si="3"/>
        <v>60.553846153846166</v>
      </c>
      <c r="D54" s="115">
        <f t="shared" si="3"/>
        <v>30.238461538461539</v>
      </c>
      <c r="E54" s="18">
        <v>31</v>
      </c>
      <c r="F54" s="66">
        <f>[14]Intermediate!P58</f>
        <v>1</v>
      </c>
      <c r="G54" s="18">
        <f>G53+(G64-G52)/12</f>
        <v>2341.5</v>
      </c>
      <c r="H54" s="37">
        <v>136.19973478756879</v>
      </c>
      <c r="I54" s="18">
        <v>351.91199999999998</v>
      </c>
      <c r="J54" s="18">
        <v>0</v>
      </c>
      <c r="K54" s="18">
        <f t="shared" si="2"/>
        <v>3655494.904886581</v>
      </c>
      <c r="L54" s="210"/>
      <c r="M54" s="212"/>
    </row>
    <row r="55" spans="1:13" x14ac:dyDescent="0.2">
      <c r="A55" s="3">
        <v>38961</v>
      </c>
      <c r="B55" s="65">
        <f>'[13]Data Input'!B133</f>
        <v>3526943.34</v>
      </c>
      <c r="C55" s="115">
        <f t="shared" si="3"/>
        <v>165.12307692307692</v>
      </c>
      <c r="D55" s="115">
        <f t="shared" si="3"/>
        <v>8.3461538461538485</v>
      </c>
      <c r="E55" s="18">
        <v>30</v>
      </c>
      <c r="F55" s="66">
        <f>[14]Intermediate!P59</f>
        <v>1</v>
      </c>
      <c r="G55" s="18">
        <f>G54+(G64-G52)/12</f>
        <v>2340.25</v>
      </c>
      <c r="H55" s="37">
        <v>136.48028394122719</v>
      </c>
      <c r="I55" s="18">
        <v>319.68</v>
      </c>
      <c r="J55" s="18">
        <v>1</v>
      </c>
      <c r="K55" s="18">
        <f t="shared" si="2"/>
        <v>3585879.9302002564</v>
      </c>
      <c r="L55" s="210"/>
      <c r="M55" s="212"/>
    </row>
    <row r="56" spans="1:13" x14ac:dyDescent="0.2">
      <c r="A56" s="3">
        <v>38991</v>
      </c>
      <c r="B56" s="65">
        <f>'[13]Data Input'!B134</f>
        <v>3974403.34</v>
      </c>
      <c r="C56" s="115">
        <f t="shared" si="3"/>
        <v>385.59230769230766</v>
      </c>
      <c r="D56" s="115">
        <f t="shared" si="3"/>
        <v>1.1076923076923075</v>
      </c>
      <c r="E56" s="18">
        <v>31</v>
      </c>
      <c r="F56" s="66">
        <f>[14]Intermediate!P60</f>
        <v>1</v>
      </c>
      <c r="G56" s="18">
        <f>G55+(G64-G52)/12</f>
        <v>2339</v>
      </c>
      <c r="H56" s="37">
        <v>136.76141098020776</v>
      </c>
      <c r="I56" s="18">
        <v>336.28800000000001</v>
      </c>
      <c r="J56" s="18">
        <v>1</v>
      </c>
      <c r="K56" s="18">
        <f t="shared" si="2"/>
        <v>3824279.8459321195</v>
      </c>
      <c r="L56" s="210"/>
      <c r="M56" s="212"/>
    </row>
    <row r="57" spans="1:13" x14ac:dyDescent="0.2">
      <c r="A57" s="3">
        <v>39022</v>
      </c>
      <c r="B57" s="65">
        <f>'[13]Data Input'!B135</f>
        <v>3963533.34</v>
      </c>
      <c r="C57" s="115">
        <f t="shared" si="3"/>
        <v>611.06923076923078</v>
      </c>
      <c r="D57" s="115">
        <f t="shared" si="3"/>
        <v>0</v>
      </c>
      <c r="E57" s="18">
        <v>30</v>
      </c>
      <c r="F57" s="66">
        <f>[14]Intermediate!P61</f>
        <v>1</v>
      </c>
      <c r="G57" s="18">
        <f>G56+(G64-G52)/12</f>
        <v>2337.75</v>
      </c>
      <c r="H57" s="37">
        <v>137.04311709485967</v>
      </c>
      <c r="I57" s="18">
        <v>352.08</v>
      </c>
      <c r="J57" s="18">
        <v>1</v>
      </c>
      <c r="K57" s="18">
        <f t="shared" si="2"/>
        <v>3910275.8353849249</v>
      </c>
      <c r="L57" s="210"/>
      <c r="M57" s="212"/>
    </row>
    <row r="58" spans="1:13" x14ac:dyDescent="0.2">
      <c r="A58" s="3">
        <v>39052</v>
      </c>
      <c r="B58" s="65">
        <f>'[13]Data Input'!B136</f>
        <v>4247253.34</v>
      </c>
      <c r="C58" s="115">
        <f t="shared" si="3"/>
        <v>895.80769230769226</v>
      </c>
      <c r="D58" s="115">
        <f t="shared" si="3"/>
        <v>0</v>
      </c>
      <c r="E58" s="18">
        <v>31</v>
      </c>
      <c r="F58" s="66">
        <f>[14]Intermediate!P62</f>
        <v>1</v>
      </c>
      <c r="G58" s="18">
        <f>G57+(G64-G52)/12</f>
        <v>2336.5</v>
      </c>
      <c r="H58" s="37">
        <v>137.32540347798411</v>
      </c>
      <c r="I58" s="18">
        <v>304.29599999999999</v>
      </c>
      <c r="J58" s="18">
        <v>0</v>
      </c>
      <c r="K58" s="18">
        <f t="shared" si="2"/>
        <v>4220268.7850554362</v>
      </c>
      <c r="L58" s="210"/>
      <c r="M58" s="212"/>
    </row>
    <row r="59" spans="1:13" x14ac:dyDescent="0.2">
      <c r="A59" s="3">
        <v>39083</v>
      </c>
      <c r="B59" s="65">
        <f>'[13]Data Input'!B137</f>
        <v>4446736.67</v>
      </c>
      <c r="C59" s="115">
        <f t="shared" si="3"/>
        <v>1023.9615384615383</v>
      </c>
      <c r="D59" s="115">
        <f t="shared" si="3"/>
        <v>0</v>
      </c>
      <c r="E59" s="18">
        <v>31</v>
      </c>
      <c r="F59" s="66">
        <f>[14]Intermediate!P63</f>
        <v>1</v>
      </c>
      <c r="G59" s="18">
        <f>G58+(G64-G52)/12</f>
        <v>2335.25</v>
      </c>
      <c r="H59" s="37">
        <v>137.552207546647</v>
      </c>
      <c r="I59" s="18">
        <v>351.91199999999998</v>
      </c>
      <c r="J59" s="18">
        <v>0</v>
      </c>
      <c r="K59" s="18">
        <f t="shared" si="2"/>
        <v>4318234.9813097762</v>
      </c>
      <c r="L59" s="210"/>
      <c r="M59" s="212"/>
    </row>
    <row r="60" spans="1:13" x14ac:dyDescent="0.2">
      <c r="A60" s="3">
        <v>39114</v>
      </c>
      <c r="B60" s="65">
        <f>'[13]Data Input'!B138</f>
        <v>4162836.67</v>
      </c>
      <c r="C60" s="115">
        <f t="shared" si="3"/>
        <v>919.36153846153866</v>
      </c>
      <c r="D60" s="115">
        <f t="shared" si="3"/>
        <v>0</v>
      </c>
      <c r="E60" s="18">
        <v>28</v>
      </c>
      <c r="F60" s="66">
        <f>[14]Intermediate!P64</f>
        <v>1</v>
      </c>
      <c r="G60" s="18">
        <f>G59+(G64-G52)/12</f>
        <v>2334</v>
      </c>
      <c r="H60" s="37">
        <v>137.77938620066888</v>
      </c>
      <c r="I60" s="18">
        <v>319.87200000000001</v>
      </c>
      <c r="J60" s="18">
        <v>0</v>
      </c>
      <c r="K60" s="18">
        <f t="shared" si="2"/>
        <v>3972355.2147623328</v>
      </c>
      <c r="L60" s="210"/>
      <c r="M60" s="212"/>
    </row>
    <row r="61" spans="1:13" x14ac:dyDescent="0.2">
      <c r="A61" s="3">
        <v>39142</v>
      </c>
      <c r="B61" s="65">
        <f>'[13]Data Input'!B139</f>
        <v>4047316.67</v>
      </c>
      <c r="C61" s="115">
        <f t="shared" si="3"/>
        <v>729.98461538461538</v>
      </c>
      <c r="D61" s="115">
        <f t="shared" si="3"/>
        <v>0</v>
      </c>
      <c r="E61" s="18">
        <v>31</v>
      </c>
      <c r="F61" s="66">
        <f>[14]Intermediate!P65</f>
        <v>1</v>
      </c>
      <c r="G61" s="18">
        <f>G60+(G64-G52)/12</f>
        <v>2332.75</v>
      </c>
      <c r="H61" s="37">
        <v>138.00694005870795</v>
      </c>
      <c r="I61" s="18">
        <v>351.91199999999998</v>
      </c>
      <c r="J61" s="18">
        <v>1</v>
      </c>
      <c r="K61" s="18">
        <f t="shared" si="2"/>
        <v>4082896.3208155902</v>
      </c>
      <c r="L61" s="210"/>
      <c r="M61" s="212"/>
    </row>
    <row r="62" spans="1:13" x14ac:dyDescent="0.2">
      <c r="A62" s="3">
        <v>39173</v>
      </c>
      <c r="B62" s="65">
        <f>'[13]Data Input'!B140</f>
        <v>3649476.67</v>
      </c>
      <c r="C62" s="115">
        <f t="shared" si="3"/>
        <v>447.0846153846154</v>
      </c>
      <c r="D62" s="115">
        <f t="shared" si="3"/>
        <v>0</v>
      </c>
      <c r="E62" s="18">
        <v>30</v>
      </c>
      <c r="F62" s="66">
        <f>[14]Intermediate!P66</f>
        <v>1</v>
      </c>
      <c r="G62" s="18">
        <f>G61+(G64-G52)/12</f>
        <v>2331.5</v>
      </c>
      <c r="H62" s="37">
        <v>138.23486974044414</v>
      </c>
      <c r="I62" s="18">
        <v>319.68</v>
      </c>
      <c r="J62" s="18">
        <v>1</v>
      </c>
      <c r="K62" s="18">
        <f t="shared" si="2"/>
        <v>3771578.5416174578</v>
      </c>
      <c r="L62" s="210"/>
      <c r="M62" s="212"/>
    </row>
    <row r="63" spans="1:13" x14ac:dyDescent="0.2">
      <c r="A63" s="3">
        <v>39203</v>
      </c>
      <c r="B63" s="65">
        <f>'[13]Data Input'!B141</f>
        <v>3822616.67</v>
      </c>
      <c r="C63" s="115">
        <f t="shared" si="3"/>
        <v>248.03846153846155</v>
      </c>
      <c r="D63" s="115">
        <f t="shared" si="3"/>
        <v>2.4615384615384617</v>
      </c>
      <c r="E63" s="18">
        <v>31</v>
      </c>
      <c r="F63" s="66">
        <f>[14]Intermediate!P67</f>
        <v>1</v>
      </c>
      <c r="G63" s="18">
        <f>G62+(G64-G52)/12</f>
        <v>2330.25</v>
      </c>
      <c r="H63" s="37">
        <v>138.46317586658083</v>
      </c>
      <c r="I63" s="18">
        <v>351.91199999999998</v>
      </c>
      <c r="J63" s="18">
        <v>1</v>
      </c>
      <c r="K63" s="18">
        <f t="shared" si="2"/>
        <v>3707485.5491729984</v>
      </c>
      <c r="L63" s="210"/>
      <c r="M63" s="212"/>
    </row>
    <row r="64" spans="1:13" x14ac:dyDescent="0.2">
      <c r="A64" s="3">
        <v>39234</v>
      </c>
      <c r="B64" s="65">
        <f>'[13]Data Input'!B142</f>
        <v>3322416.67</v>
      </c>
      <c r="C64" s="115">
        <f t="shared" si="3"/>
        <v>88.34615384615384</v>
      </c>
      <c r="D64" s="115">
        <f t="shared" si="3"/>
        <v>12.253846153846153</v>
      </c>
      <c r="E64" s="18">
        <v>30</v>
      </c>
      <c r="F64" s="66">
        <f>[14]Intermediate!P68</f>
        <v>1</v>
      </c>
      <c r="G64" s="18">
        <f>'Rate Class Customer Model'!G7</f>
        <v>2329</v>
      </c>
      <c r="H64" s="37">
        <v>138.69185905884657</v>
      </c>
      <c r="I64" s="18">
        <v>336.24</v>
      </c>
      <c r="J64" s="18">
        <v>0</v>
      </c>
      <c r="K64" s="18">
        <f t="shared" si="2"/>
        <v>3521411.5961463265</v>
      </c>
      <c r="L64" s="210"/>
      <c r="M64" s="212"/>
    </row>
    <row r="65" spans="1:30" x14ac:dyDescent="0.2">
      <c r="A65" s="3">
        <v>39264</v>
      </c>
      <c r="B65" s="65">
        <f>'[13]Data Input'!B143</f>
        <v>3434016.67</v>
      </c>
      <c r="C65" s="115">
        <f t="shared" si="3"/>
        <v>33.746153846153845</v>
      </c>
      <c r="D65" s="115">
        <f t="shared" si="3"/>
        <v>41.638461538461542</v>
      </c>
      <c r="E65" s="18">
        <v>31</v>
      </c>
      <c r="F65" s="66">
        <f>[14]Intermediate!P69</f>
        <v>1</v>
      </c>
      <c r="G65" s="18">
        <f>G64+(G76-G64)/12</f>
        <v>2327.5416666666665</v>
      </c>
      <c r="H65" s="37">
        <v>138.92091993999671</v>
      </c>
      <c r="I65" s="18">
        <v>336.28800000000001</v>
      </c>
      <c r="J65" s="18">
        <v>0</v>
      </c>
      <c r="K65" s="18">
        <f t="shared" si="2"/>
        <v>3647439.173450537</v>
      </c>
      <c r="L65" s="210"/>
      <c r="M65" s="212"/>
    </row>
    <row r="66" spans="1:30" x14ac:dyDescent="0.2">
      <c r="A66" s="3">
        <v>39295</v>
      </c>
      <c r="B66" s="65">
        <f>'[13]Data Input'!B144</f>
        <v>3216536.67</v>
      </c>
      <c r="C66" s="115">
        <f t="shared" si="3"/>
        <v>60.553846153846166</v>
      </c>
      <c r="D66" s="115">
        <f t="shared" si="3"/>
        <v>30.238461538461539</v>
      </c>
      <c r="E66" s="18">
        <v>31</v>
      </c>
      <c r="F66" s="66">
        <f>[14]Intermediate!P70</f>
        <v>1</v>
      </c>
      <c r="G66" s="18">
        <f>G65+(G76-G64)/12</f>
        <v>2326.083333333333</v>
      </c>
      <c r="H66" s="37">
        <v>139.15035913381516</v>
      </c>
      <c r="I66" s="18">
        <v>351.91199999999998</v>
      </c>
      <c r="J66" s="18">
        <v>0</v>
      </c>
      <c r="K66" s="18">
        <f t="shared" si="2"/>
        <v>3630845.1451016665</v>
      </c>
      <c r="L66" s="210"/>
      <c r="M66" s="212"/>
    </row>
    <row r="67" spans="1:30" x14ac:dyDescent="0.2">
      <c r="A67" s="3">
        <v>39326</v>
      </c>
      <c r="B67" s="65">
        <f>'[13]Data Input'!B145</f>
        <v>2797976.67</v>
      </c>
      <c r="C67" s="115">
        <f t="shared" si="3"/>
        <v>165.12307692307692</v>
      </c>
      <c r="D67" s="115">
        <f t="shared" si="3"/>
        <v>8.3461538461538485</v>
      </c>
      <c r="E67" s="18">
        <v>30</v>
      </c>
      <c r="F67" s="66">
        <v>0</v>
      </c>
      <c r="G67" s="18">
        <f>G66+(G76-G64)/12</f>
        <v>2324.6249999999995</v>
      </c>
      <c r="H67" s="37">
        <v>139.38017726511606</v>
      </c>
      <c r="I67" s="18">
        <v>303.83999999999997</v>
      </c>
      <c r="J67" s="18">
        <v>1</v>
      </c>
      <c r="K67" s="18">
        <f t="shared" si="2"/>
        <v>2020844.5017153239</v>
      </c>
      <c r="L67" s="210"/>
      <c r="M67" s="212"/>
    </row>
    <row r="68" spans="1:30" x14ac:dyDescent="0.2">
      <c r="A68" s="3">
        <v>39356</v>
      </c>
      <c r="B68" s="65">
        <f>'[13]Data Input'!B146</f>
        <v>2739436.67</v>
      </c>
      <c r="C68" s="115">
        <f t="shared" si="3"/>
        <v>385.59230769230766</v>
      </c>
      <c r="D68" s="115">
        <f t="shared" si="3"/>
        <v>1.1076923076923075</v>
      </c>
      <c r="E68" s="18">
        <v>31</v>
      </c>
      <c r="F68" s="66">
        <v>0</v>
      </c>
      <c r="G68" s="18">
        <f>G67+(G76-G64)/12</f>
        <v>2323.1666666666661</v>
      </c>
      <c r="H68" s="37">
        <v>139.61037495974546</v>
      </c>
      <c r="I68" s="18">
        <v>351.91199999999998</v>
      </c>
      <c r="J68" s="18">
        <v>1</v>
      </c>
      <c r="K68" s="18">
        <f t="shared" ref="K68:K131" si="4">$O$18+C68*$O$19+D68*$O$20+E68*$O$21+F68*$O$22+G68*$O$23+H68*$O$24</f>
        <v>2255387.9885053746</v>
      </c>
      <c r="L68" s="210"/>
      <c r="M68" s="212"/>
    </row>
    <row r="69" spans="1:30" x14ac:dyDescent="0.2">
      <c r="A69" s="3">
        <v>39387</v>
      </c>
      <c r="B69" s="65">
        <f>'[13]Data Input'!B147</f>
        <v>2340336.67</v>
      </c>
      <c r="C69" s="115">
        <f t="shared" si="3"/>
        <v>611.06923076923078</v>
      </c>
      <c r="D69" s="115">
        <f t="shared" si="3"/>
        <v>0</v>
      </c>
      <c r="E69" s="18">
        <v>30</v>
      </c>
      <c r="F69" s="66">
        <v>0</v>
      </c>
      <c r="G69" s="18">
        <f>G68+(G76-G64)/12</f>
        <v>2321.7083333333326</v>
      </c>
      <c r="H69" s="37">
        <v>139.84095284458306</v>
      </c>
      <c r="I69" s="18">
        <v>352.08</v>
      </c>
      <c r="J69" s="18">
        <v>1</v>
      </c>
      <c r="K69" s="18">
        <f t="shared" si="4"/>
        <v>2337519.8318630718</v>
      </c>
      <c r="L69" s="210"/>
      <c r="M69" s="212"/>
    </row>
    <row r="70" spans="1:30" x14ac:dyDescent="0.2">
      <c r="A70" s="3">
        <v>39417</v>
      </c>
      <c r="B70" s="65">
        <f>'[13]Data Input'!B148</f>
        <v>2742336.67</v>
      </c>
      <c r="C70" s="115">
        <f t="shared" si="3"/>
        <v>895.80769230769226</v>
      </c>
      <c r="D70" s="115">
        <f t="shared" si="3"/>
        <v>0</v>
      </c>
      <c r="E70" s="18">
        <v>31</v>
      </c>
      <c r="F70" s="66">
        <f>[14]Intermediate!P74</f>
        <v>0</v>
      </c>
      <c r="G70" s="18">
        <f>G69+(G76-G64)/12</f>
        <v>2320.2499999999991</v>
      </c>
      <c r="H70" s="37">
        <v>140.07191154754381</v>
      </c>
      <c r="I70" s="18">
        <v>304.29599999999999</v>
      </c>
      <c r="J70" s="18">
        <v>0</v>
      </c>
      <c r="K70" s="18">
        <f t="shared" si="4"/>
        <v>2643640.8963664602</v>
      </c>
      <c r="L70" s="210"/>
      <c r="M70" s="212"/>
    </row>
    <row r="71" spans="1:30" x14ac:dyDescent="0.2">
      <c r="A71" s="3">
        <v>39448</v>
      </c>
      <c r="B71" s="65">
        <f>'[13]Data Input'!B149</f>
        <v>2748532.05</v>
      </c>
      <c r="C71" s="115">
        <f t="shared" si="3"/>
        <v>1023.9615384615383</v>
      </c>
      <c r="D71" s="115">
        <f t="shared" si="3"/>
        <v>0</v>
      </c>
      <c r="E71" s="18">
        <v>31</v>
      </c>
      <c r="F71" s="66">
        <f>[14]Intermediate!P75</f>
        <v>0</v>
      </c>
      <c r="G71" s="18">
        <f>G70+(G76-G64)/12</f>
        <v>2318.7916666666656</v>
      </c>
      <c r="H71" s="36">
        <v>139.96642175819056</v>
      </c>
      <c r="I71" s="59">
        <v>352</v>
      </c>
      <c r="J71" s="18">
        <v>0</v>
      </c>
      <c r="K71" s="18">
        <f t="shared" si="4"/>
        <v>2726833.1584486198</v>
      </c>
      <c r="L71" s="210"/>
      <c r="M71" s="212"/>
    </row>
    <row r="72" spans="1:30" x14ac:dyDescent="0.2">
      <c r="A72" s="3">
        <v>39479</v>
      </c>
      <c r="B72" s="65">
        <f>'[13]Data Input'!B150</f>
        <v>2586142.0499999998</v>
      </c>
      <c r="C72" s="115">
        <f t="shared" si="3"/>
        <v>919.36153846153866</v>
      </c>
      <c r="D72" s="115">
        <f t="shared" si="3"/>
        <v>0</v>
      </c>
      <c r="E72" s="18">
        <v>29</v>
      </c>
      <c r="F72" s="66">
        <f>[14]Intermediate!P76</f>
        <v>0</v>
      </c>
      <c r="G72" s="18">
        <f>G71+(G76-G64)/12</f>
        <v>2317.3333333333321</v>
      </c>
      <c r="H72" s="36">
        <v>139.86101141442734</v>
      </c>
      <c r="I72" s="59">
        <v>320</v>
      </c>
      <c r="J72" s="18">
        <v>0</v>
      </c>
      <c r="K72" s="18">
        <f t="shared" si="4"/>
        <v>2453310.4578254158</v>
      </c>
      <c r="L72" s="210"/>
      <c r="M72" s="212"/>
    </row>
    <row r="73" spans="1:30" x14ac:dyDescent="0.2">
      <c r="A73" s="3">
        <v>39508</v>
      </c>
      <c r="B73" s="65">
        <f>'[13]Data Input'!B151</f>
        <v>2452042.0499999998</v>
      </c>
      <c r="C73" s="115">
        <f t="shared" si="3"/>
        <v>729.98461538461538</v>
      </c>
      <c r="D73" s="115">
        <f t="shared" si="3"/>
        <v>0</v>
      </c>
      <c r="E73" s="18">
        <v>31</v>
      </c>
      <c r="F73" s="66">
        <f>[14]Intermediate!P77</f>
        <v>0</v>
      </c>
      <c r="G73" s="18">
        <f>G72+(G76-G64)/12</f>
        <v>2315.8749999999986</v>
      </c>
      <c r="H73" s="36">
        <v>139.75568045642274</v>
      </c>
      <c r="I73" s="59">
        <v>304</v>
      </c>
      <c r="J73" s="18">
        <v>1</v>
      </c>
      <c r="K73" s="18">
        <f t="shared" si="4"/>
        <v>2461912.2472453425</v>
      </c>
      <c r="L73" s="210"/>
      <c r="M73" s="212"/>
    </row>
    <row r="74" spans="1:30" x14ac:dyDescent="0.2">
      <c r="A74" s="3">
        <v>39539</v>
      </c>
      <c r="B74" s="65">
        <f>'[13]Data Input'!B152</f>
        <v>2152630</v>
      </c>
      <c r="C74" s="115">
        <f t="shared" si="3"/>
        <v>447.0846153846154</v>
      </c>
      <c r="D74" s="115">
        <f t="shared" si="3"/>
        <v>0</v>
      </c>
      <c r="E74" s="18">
        <v>30</v>
      </c>
      <c r="F74" s="66">
        <f>[14]Intermediate!P78</f>
        <v>0</v>
      </c>
      <c r="G74" s="18">
        <f>G73+(G76-G64)/12</f>
        <v>2314.4166666666652</v>
      </c>
      <c r="H74" s="36">
        <v>139.65042882439042</v>
      </c>
      <c r="I74" s="59">
        <v>352</v>
      </c>
      <c r="J74" s="18">
        <v>1</v>
      </c>
      <c r="K74" s="18">
        <f t="shared" si="4"/>
        <v>2135786.0988189047</v>
      </c>
      <c r="L74" s="210"/>
      <c r="M74" s="212"/>
    </row>
    <row r="75" spans="1:30" s="15" customFormat="1" x14ac:dyDescent="0.2">
      <c r="A75" s="3">
        <v>39569</v>
      </c>
      <c r="B75" s="65">
        <f>'[13]Data Input'!B153</f>
        <v>2293140</v>
      </c>
      <c r="C75" s="115">
        <f t="shared" si="3"/>
        <v>248.03846153846155</v>
      </c>
      <c r="D75" s="115">
        <f t="shared" si="3"/>
        <v>2.4615384615384617</v>
      </c>
      <c r="E75" s="18">
        <v>31</v>
      </c>
      <c r="F75" s="66">
        <f>[14]Intermediate!P79</f>
        <v>0</v>
      </c>
      <c r="G75" s="18">
        <f>G74+(G76-G64)/12</f>
        <v>2312.9583333333317</v>
      </c>
      <c r="H75" s="36">
        <v>139.54525645858905</v>
      </c>
      <c r="I75" s="59">
        <v>336</v>
      </c>
      <c r="J75" s="18">
        <v>1</v>
      </c>
      <c r="K75" s="18">
        <f t="shared" si="4"/>
        <v>2056873.2060394678</v>
      </c>
      <c r="L75" s="210"/>
      <c r="M75" s="212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x14ac:dyDescent="0.2">
      <c r="A76" s="3">
        <v>39600</v>
      </c>
      <c r="B76" s="65">
        <f>'[13]Data Input'!B154</f>
        <v>1988380</v>
      </c>
      <c r="C76" s="115">
        <f t="shared" si="3"/>
        <v>88.34615384615384</v>
      </c>
      <c r="D76" s="115">
        <f t="shared" si="3"/>
        <v>12.253846153846153</v>
      </c>
      <c r="E76" s="18">
        <v>30</v>
      </c>
      <c r="F76" s="66">
        <f>[14]Intermediate!P80</f>
        <v>0</v>
      </c>
      <c r="G76" s="18">
        <f>'Rate Class Customer Model'!G8</f>
        <v>2311.5</v>
      </c>
      <c r="H76" s="36">
        <v>139.44016329932234</v>
      </c>
      <c r="I76" s="59">
        <v>336</v>
      </c>
      <c r="J76" s="18">
        <v>0</v>
      </c>
      <c r="K76" s="18">
        <f t="shared" si="4"/>
        <v>1855967.795130522</v>
      </c>
      <c r="L76" s="210"/>
      <c r="M76" s="212"/>
    </row>
    <row r="77" spans="1:30" x14ac:dyDescent="0.2">
      <c r="A77" s="3">
        <v>39630</v>
      </c>
      <c r="B77" s="65">
        <f>'[13]Data Input'!B155</f>
        <v>1874560</v>
      </c>
      <c r="C77" s="115">
        <f t="shared" si="3"/>
        <v>33.746153846153845</v>
      </c>
      <c r="D77" s="115">
        <f t="shared" si="3"/>
        <v>41.638461538461542</v>
      </c>
      <c r="E77" s="18">
        <v>31</v>
      </c>
      <c r="F77" s="66">
        <f>[14]Intermediate!P81</f>
        <v>0</v>
      </c>
      <c r="G77" s="18">
        <f>G76+(G88-G76)/12</f>
        <v>2311.7916666666665</v>
      </c>
      <c r="H77" s="36">
        <v>139.3351492869389</v>
      </c>
      <c r="I77" s="59">
        <v>352</v>
      </c>
      <c r="J77" s="18">
        <v>0</v>
      </c>
      <c r="K77" s="18">
        <f t="shared" si="4"/>
        <v>1984826.8557059579</v>
      </c>
      <c r="L77" s="210"/>
      <c r="M77" s="212"/>
    </row>
    <row r="78" spans="1:30" x14ac:dyDescent="0.2">
      <c r="A78" s="3">
        <v>39661</v>
      </c>
      <c r="B78" s="65">
        <f>'[13]Data Input'!B156</f>
        <v>1864830</v>
      </c>
      <c r="C78" s="115">
        <f t="shared" si="3"/>
        <v>60.553846153846166</v>
      </c>
      <c r="D78" s="115">
        <f t="shared" si="3"/>
        <v>30.238461538461539</v>
      </c>
      <c r="E78" s="18">
        <v>31</v>
      </c>
      <c r="F78" s="66">
        <f>[14]Intermediate!P82</f>
        <v>0</v>
      </c>
      <c r="G78" s="18">
        <f>G77+(G88-G76)/12</f>
        <v>2312.083333333333</v>
      </c>
      <c r="H78" s="36">
        <v>139.23021436183228</v>
      </c>
      <c r="I78" s="59">
        <v>320</v>
      </c>
      <c r="J78" s="18">
        <v>0</v>
      </c>
      <c r="K78" s="18">
        <f t="shared" si="4"/>
        <v>1971052.7000853438</v>
      </c>
      <c r="L78" s="210"/>
      <c r="M78" s="212"/>
    </row>
    <row r="79" spans="1:30" x14ac:dyDescent="0.2">
      <c r="A79" s="3">
        <v>39692</v>
      </c>
      <c r="B79" s="65">
        <f>'[13]Data Input'!B157</f>
        <v>1761190</v>
      </c>
      <c r="C79" s="115">
        <f t="shared" si="3"/>
        <v>165.12307692307692</v>
      </c>
      <c r="D79" s="115">
        <f t="shared" si="3"/>
        <v>8.3461538461538485</v>
      </c>
      <c r="E79" s="18">
        <v>30</v>
      </c>
      <c r="F79" s="66">
        <f>[14]Intermediate!P83</f>
        <v>0</v>
      </c>
      <c r="G79" s="18">
        <f>G78+(G88-G76)/12</f>
        <v>2312.3749999999995</v>
      </c>
      <c r="H79" s="36">
        <v>139.12535846444095</v>
      </c>
      <c r="I79" s="59">
        <v>336</v>
      </c>
      <c r="J79" s="18">
        <v>1</v>
      </c>
      <c r="K79" s="18">
        <f t="shared" si="4"/>
        <v>1900397.227376896</v>
      </c>
      <c r="L79" s="210"/>
      <c r="M79" s="212"/>
    </row>
    <row r="80" spans="1:30" x14ac:dyDescent="0.2">
      <c r="A80" s="3">
        <v>39722</v>
      </c>
      <c r="B80" s="65">
        <f>'[13]Data Input'!B158</f>
        <v>2282500</v>
      </c>
      <c r="C80" s="115">
        <f t="shared" si="3"/>
        <v>385.59230769230766</v>
      </c>
      <c r="D80" s="115">
        <f t="shared" si="3"/>
        <v>1.1076923076923075</v>
      </c>
      <c r="E80" s="18">
        <v>31</v>
      </c>
      <c r="F80" s="66">
        <f>[14]Intermediate!P84</f>
        <v>0</v>
      </c>
      <c r="G80" s="18">
        <f>G79+(G88-G76)/12</f>
        <v>2312.6666666666661</v>
      </c>
      <c r="H80" s="36">
        <v>139.02058153524823</v>
      </c>
      <c r="I80" s="59">
        <v>352</v>
      </c>
      <c r="J80" s="18">
        <v>1</v>
      </c>
      <c r="K80" s="18">
        <f t="shared" si="4"/>
        <v>2137737.2861055294</v>
      </c>
      <c r="L80" s="210"/>
      <c r="M80" s="212"/>
    </row>
    <row r="81" spans="1:30" x14ac:dyDescent="0.2">
      <c r="A81" s="3">
        <v>39753</v>
      </c>
      <c r="B81" s="65">
        <f>'[13]Data Input'!B159</f>
        <v>2212490</v>
      </c>
      <c r="C81" s="115">
        <f t="shared" si="3"/>
        <v>611.06923076923078</v>
      </c>
      <c r="D81" s="115">
        <f t="shared" si="3"/>
        <v>0</v>
      </c>
      <c r="E81" s="18">
        <v>30</v>
      </c>
      <c r="F81" s="66">
        <f>[14]Intermediate!P85</f>
        <v>0</v>
      </c>
      <c r="G81" s="18">
        <f>G80+(G88-G76)/12</f>
        <v>2312.9583333333326</v>
      </c>
      <c r="H81" s="36">
        <v>138.91588351478222</v>
      </c>
      <c r="I81" s="59">
        <v>304</v>
      </c>
      <c r="J81" s="18">
        <v>1</v>
      </c>
      <c r="K81" s="18">
        <f t="shared" si="4"/>
        <v>2222654.0110784359</v>
      </c>
      <c r="L81" s="210"/>
      <c r="M81" s="212"/>
    </row>
    <row r="82" spans="1:30" x14ac:dyDescent="0.2">
      <c r="A82" s="3">
        <v>39783</v>
      </c>
      <c r="B82" s="65">
        <f>'[13]Data Input'!B160</f>
        <v>2797640</v>
      </c>
      <c r="C82" s="115">
        <f t="shared" si="3"/>
        <v>895.80769230769226</v>
      </c>
      <c r="D82" s="115">
        <f t="shared" si="3"/>
        <v>0</v>
      </c>
      <c r="E82" s="18">
        <v>31</v>
      </c>
      <c r="F82" s="66">
        <f>[14]Intermediate!P86</f>
        <v>0</v>
      </c>
      <c r="G82" s="18">
        <f>G81+(G88-G76)/12</f>
        <v>2313.2499999999991</v>
      </c>
      <c r="H82" s="36">
        <v>138.8112643436159</v>
      </c>
      <c r="I82" s="59">
        <v>336</v>
      </c>
      <c r="J82" s="18">
        <v>0</v>
      </c>
      <c r="K82" s="18">
        <f t="shared" si="4"/>
        <v>2531548.2402034197</v>
      </c>
      <c r="L82" s="210"/>
      <c r="M82" s="212"/>
    </row>
    <row r="83" spans="1:30" x14ac:dyDescent="0.2">
      <c r="A83" s="3">
        <v>39814</v>
      </c>
      <c r="B83" s="65">
        <f>'[13]Data Input'!B161</f>
        <v>2785280</v>
      </c>
      <c r="C83" s="115">
        <f t="shared" si="3"/>
        <v>1023.9615384615383</v>
      </c>
      <c r="D83" s="115">
        <f t="shared" si="3"/>
        <v>0</v>
      </c>
      <c r="E83" s="18">
        <v>31</v>
      </c>
      <c r="F83" s="66">
        <f>[14]Intermediate!P87</f>
        <v>0</v>
      </c>
      <c r="G83" s="18">
        <f>G82+(G88-G76)/12</f>
        <v>2313.5416666666656</v>
      </c>
      <c r="H83" s="36">
        <v>138.43555825854429</v>
      </c>
      <c r="I83" s="59">
        <v>336</v>
      </c>
      <c r="J83" s="18">
        <v>0</v>
      </c>
      <c r="K83" s="18">
        <f t="shared" si="4"/>
        <v>2620049.8267265037</v>
      </c>
      <c r="L83" s="210"/>
      <c r="M83" s="212"/>
    </row>
    <row r="84" spans="1:30" x14ac:dyDescent="0.2">
      <c r="A84" s="3">
        <v>39845</v>
      </c>
      <c r="B84" s="65">
        <f>'[13]Data Input'!B162</f>
        <v>2237810</v>
      </c>
      <c r="C84" s="115">
        <f t="shared" si="3"/>
        <v>919.36153846153866</v>
      </c>
      <c r="D84" s="115">
        <f t="shared" si="3"/>
        <v>0</v>
      </c>
      <c r="E84" s="18">
        <v>28</v>
      </c>
      <c r="F84" s="66">
        <f>[14]Intermediate!P88</f>
        <v>0</v>
      </c>
      <c r="G84" s="18">
        <f>G83+(G88-G76)/12</f>
        <v>2313.8333333333321</v>
      </c>
      <c r="H84" s="36">
        <v>138.06086905825526</v>
      </c>
      <c r="I84" s="59">
        <v>304</v>
      </c>
      <c r="J84" s="18">
        <v>0</v>
      </c>
      <c r="K84" s="18">
        <f t="shared" si="4"/>
        <v>2264730.3729486</v>
      </c>
      <c r="L84" s="210"/>
      <c r="M84" s="212"/>
    </row>
    <row r="85" spans="1:30" x14ac:dyDescent="0.2">
      <c r="A85" s="3">
        <v>39873</v>
      </c>
      <c r="B85" s="65">
        <f>'[13]Data Input'!B163</f>
        <v>2270800</v>
      </c>
      <c r="C85" s="115">
        <f t="shared" si="3"/>
        <v>729.98461538461538</v>
      </c>
      <c r="D85" s="115">
        <f t="shared" si="3"/>
        <v>0</v>
      </c>
      <c r="E85" s="18">
        <v>31</v>
      </c>
      <c r="F85" s="66">
        <f>[14]Intermediate!P89</f>
        <v>0</v>
      </c>
      <c r="G85" s="18">
        <f>G84+(G88-G76)/12</f>
        <v>2314.1249999999986</v>
      </c>
      <c r="H85" s="36">
        <v>137.68719399045199</v>
      </c>
      <c r="I85" s="59">
        <v>352</v>
      </c>
      <c r="J85" s="18">
        <v>1</v>
      </c>
      <c r="K85" s="18">
        <f t="shared" si="4"/>
        <v>2365856.5834724065</v>
      </c>
      <c r="L85" s="210"/>
      <c r="M85" s="212"/>
    </row>
    <row r="86" spans="1:30" s="35" customFormat="1" x14ac:dyDescent="0.2">
      <c r="A86" s="3">
        <v>39904</v>
      </c>
      <c r="B86" s="65">
        <f>'[13]Data Input'!B164</f>
        <v>2176770</v>
      </c>
      <c r="C86" s="115">
        <f t="shared" si="3"/>
        <v>447.0846153846154</v>
      </c>
      <c r="D86" s="115">
        <f t="shared" si="3"/>
        <v>0</v>
      </c>
      <c r="E86" s="18">
        <v>30</v>
      </c>
      <c r="F86" s="66">
        <f>[14]Intermediate!P90</f>
        <v>0</v>
      </c>
      <c r="G86" s="18">
        <f>G85+(G88-G76)/12</f>
        <v>2314.4166666666652</v>
      </c>
      <c r="H86" s="36">
        <v>137.31453031028698</v>
      </c>
      <c r="I86" s="59">
        <v>320</v>
      </c>
      <c r="J86" s="18">
        <v>1</v>
      </c>
      <c r="K86" s="18">
        <f t="shared" si="4"/>
        <v>2045148.5698954463</v>
      </c>
      <c r="L86" s="210"/>
      <c r="M86" s="212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x14ac:dyDescent="0.2">
      <c r="A87" s="3">
        <v>39934</v>
      </c>
      <c r="B87" s="65">
        <f>'[13]Data Input'!B165</f>
        <v>2177130.7692307695</v>
      </c>
      <c r="C87" s="115">
        <f t="shared" si="3"/>
        <v>248.03846153846155</v>
      </c>
      <c r="D87" s="115">
        <f t="shared" si="3"/>
        <v>2.4615384615384617</v>
      </c>
      <c r="E87" s="18">
        <v>31</v>
      </c>
      <c r="F87" s="66">
        <f>[14]Intermediate!P91</f>
        <v>0</v>
      </c>
      <c r="G87" s="18">
        <f>G86+(G88-G76)/12</f>
        <v>2314.7083333333317</v>
      </c>
      <c r="H87" s="36">
        <v>136.94287528034204</v>
      </c>
      <c r="I87" s="59">
        <v>320</v>
      </c>
      <c r="J87" s="18">
        <v>1</v>
      </c>
      <c r="K87" s="18">
        <f t="shared" si="4"/>
        <v>1971689.8739209576</v>
      </c>
      <c r="L87" s="210"/>
      <c r="M87" s="212"/>
    </row>
    <row r="88" spans="1:30" x14ac:dyDescent="0.2">
      <c r="A88" s="3">
        <v>39965</v>
      </c>
      <c r="B88" s="65">
        <f>'[13]Data Input'!B166</f>
        <v>2055084.6153846155</v>
      </c>
      <c r="C88" s="115">
        <f t="shared" ref="C88:D151" si="5">C76</f>
        <v>88.34615384615384</v>
      </c>
      <c r="D88" s="115">
        <f t="shared" si="5"/>
        <v>12.253846153846153</v>
      </c>
      <c r="E88" s="18">
        <v>30</v>
      </c>
      <c r="F88" s="66">
        <f>[14]Intermediate!P92</f>
        <v>0</v>
      </c>
      <c r="G88" s="18">
        <f>'Rate Class Customer Model'!G9</f>
        <v>2315</v>
      </c>
      <c r="H88" s="36">
        <v>136.57222617060793</v>
      </c>
      <c r="I88" s="59">
        <v>352</v>
      </c>
      <c r="J88" s="18">
        <v>0</v>
      </c>
      <c r="K88" s="18">
        <f t="shared" si="4"/>
        <v>1776274.6181589505</v>
      </c>
      <c r="L88" s="210"/>
      <c r="M88" s="212"/>
    </row>
    <row r="89" spans="1:30" x14ac:dyDescent="0.2">
      <c r="A89" s="3">
        <v>39995</v>
      </c>
      <c r="B89" s="65">
        <f>'[13]Data Input'!B167</f>
        <v>1699676.93</v>
      </c>
      <c r="C89" s="115">
        <f t="shared" si="5"/>
        <v>33.746153846153845</v>
      </c>
      <c r="D89" s="115">
        <f t="shared" si="5"/>
        <v>41.638461538461542</v>
      </c>
      <c r="E89" s="18">
        <v>31</v>
      </c>
      <c r="F89" s="66">
        <f>[14]Intermediate!P93</f>
        <v>0</v>
      </c>
      <c r="G89" s="18">
        <f>G88+(G100-G88)/12</f>
        <v>2314.3750000083332</v>
      </c>
      <c r="H89" s="36">
        <v>136.20258025846454</v>
      </c>
      <c r="I89" s="59">
        <v>352</v>
      </c>
      <c r="J89" s="18">
        <v>0</v>
      </c>
      <c r="K89" s="18">
        <f t="shared" si="4"/>
        <v>1886592.2504276186</v>
      </c>
      <c r="L89" s="210"/>
      <c r="M89" s="212"/>
    </row>
    <row r="90" spans="1:30" x14ac:dyDescent="0.2">
      <c r="A90" s="3">
        <v>40026</v>
      </c>
      <c r="B90" s="65">
        <f>'[13]Data Input'!B168</f>
        <v>1764407.7</v>
      </c>
      <c r="C90" s="115">
        <f t="shared" si="5"/>
        <v>60.553846153846166</v>
      </c>
      <c r="D90" s="115">
        <f t="shared" si="5"/>
        <v>30.238461538461539</v>
      </c>
      <c r="E90" s="18">
        <v>31</v>
      </c>
      <c r="F90" s="66">
        <f>[14]Intermediate!P94</f>
        <v>0</v>
      </c>
      <c r="G90" s="18">
        <f>G89+(G100-G88)/12</f>
        <v>2313.7500000166665</v>
      </c>
      <c r="H90" s="36">
        <v>135.83393482866074</v>
      </c>
      <c r="I90" s="59">
        <v>320</v>
      </c>
      <c r="J90" s="18">
        <v>0</v>
      </c>
      <c r="K90" s="18">
        <f t="shared" si="4"/>
        <v>1854312.4184693992</v>
      </c>
      <c r="L90" s="210"/>
      <c r="M90" s="212"/>
    </row>
    <row r="91" spans="1:30" x14ac:dyDescent="0.2">
      <c r="A91" s="3">
        <v>40057</v>
      </c>
      <c r="B91" s="65">
        <f>'[13]Data Input'!B169</f>
        <v>1670261.54</v>
      </c>
      <c r="C91" s="115">
        <f t="shared" si="5"/>
        <v>165.12307692307692</v>
      </c>
      <c r="D91" s="115">
        <f t="shared" si="5"/>
        <v>8.3461538461538485</v>
      </c>
      <c r="E91" s="18">
        <v>30</v>
      </c>
      <c r="F91" s="66">
        <f>[14]Intermediate!P95</f>
        <v>0</v>
      </c>
      <c r="G91" s="18">
        <f>G90+(G100-G88)/12</f>
        <v>2313.1250000249997</v>
      </c>
      <c r="H91" s="36">
        <v>135.46628717329455</v>
      </c>
      <c r="I91" s="59">
        <v>336</v>
      </c>
      <c r="J91" s="18">
        <v>1</v>
      </c>
      <c r="K91" s="18">
        <f t="shared" si="4"/>
        <v>1765186.9186316207</v>
      </c>
      <c r="L91" s="210"/>
      <c r="M91" s="212"/>
    </row>
    <row r="92" spans="1:30" x14ac:dyDescent="0.2">
      <c r="A92" s="3">
        <v>40087</v>
      </c>
      <c r="B92" s="65">
        <f>'[13]Data Input'!B170</f>
        <v>2217469.23</v>
      </c>
      <c r="C92" s="115">
        <f t="shared" si="5"/>
        <v>385.59230769230766</v>
      </c>
      <c r="D92" s="115">
        <f t="shared" si="5"/>
        <v>1.1076923076923075</v>
      </c>
      <c r="E92" s="18">
        <v>31</v>
      </c>
      <c r="F92" s="66">
        <f>[14]Intermediate!P96</f>
        <v>0</v>
      </c>
      <c r="G92" s="18">
        <f>G91+(G100-G88)/12</f>
        <v>2312.500000033333</v>
      </c>
      <c r="H92" s="36">
        <v>135.09963459179312</v>
      </c>
      <c r="I92" s="59">
        <v>336</v>
      </c>
      <c r="J92" s="18">
        <v>1</v>
      </c>
      <c r="K92" s="18">
        <f t="shared" si="4"/>
        <v>1984092.4969609296</v>
      </c>
      <c r="L92" s="210"/>
      <c r="M92" s="212"/>
    </row>
    <row r="93" spans="1:30" x14ac:dyDescent="0.2">
      <c r="A93" s="3">
        <v>40118</v>
      </c>
      <c r="B93" s="65">
        <f>'[13]Data Input'!B171</f>
        <v>2015515.39</v>
      </c>
      <c r="C93" s="115">
        <f t="shared" si="5"/>
        <v>611.06923076923078</v>
      </c>
      <c r="D93" s="115">
        <f t="shared" si="5"/>
        <v>0</v>
      </c>
      <c r="E93" s="18">
        <v>30</v>
      </c>
      <c r="F93" s="66">
        <f>[14]Intermediate!P97</f>
        <v>0</v>
      </c>
      <c r="G93" s="18">
        <f>G92+(G100-G88)/12</f>
        <v>2311.8750000416662</v>
      </c>
      <c r="H93" s="36">
        <v>134.733974390893</v>
      </c>
      <c r="I93" s="59">
        <v>320</v>
      </c>
      <c r="J93" s="18">
        <v>1</v>
      </c>
      <c r="K93" s="18">
        <f t="shared" si="4"/>
        <v>2050610.1860681474</v>
      </c>
      <c r="L93" s="210"/>
      <c r="M93" s="212"/>
    </row>
    <row r="94" spans="1:30" x14ac:dyDescent="0.2">
      <c r="A94" s="3">
        <v>40148</v>
      </c>
      <c r="B94" s="65">
        <f>'[13]Data Input'!B172</f>
        <v>2711415.39</v>
      </c>
      <c r="C94" s="115">
        <f t="shared" si="5"/>
        <v>895.80769230769226</v>
      </c>
      <c r="D94" s="115">
        <f t="shared" si="5"/>
        <v>0</v>
      </c>
      <c r="E94" s="18">
        <v>31</v>
      </c>
      <c r="F94" s="66">
        <f>[14]Intermediate!P98</f>
        <v>0</v>
      </c>
      <c r="G94" s="18">
        <f>G93+(G100-G88)/12</f>
        <v>2311.2500000499995</v>
      </c>
      <c r="H94" s="36">
        <v>134.36930388462019</v>
      </c>
      <c r="I94" s="59">
        <v>352</v>
      </c>
      <c r="J94" s="18">
        <v>0</v>
      </c>
      <c r="K94" s="18">
        <f t="shared" si="4"/>
        <v>2341140.7219458139</v>
      </c>
      <c r="L94" s="210"/>
      <c r="M94" s="212"/>
    </row>
    <row r="95" spans="1:30" x14ac:dyDescent="0.2">
      <c r="A95" s="3">
        <v>40179</v>
      </c>
      <c r="B95" s="65">
        <f>'[13]Data Input'!B173</f>
        <v>2584646.16</v>
      </c>
      <c r="C95" s="115">
        <f t="shared" si="5"/>
        <v>1023.9615384615383</v>
      </c>
      <c r="D95" s="115">
        <f t="shared" si="5"/>
        <v>0</v>
      </c>
      <c r="E95" s="18">
        <v>31</v>
      </c>
      <c r="F95" s="66">
        <f>[14]Intermediate!P99</f>
        <v>0</v>
      </c>
      <c r="G95" s="18">
        <f>G94+(G100-G88)/12</f>
        <v>2310.6250000583327</v>
      </c>
      <c r="H95" s="36">
        <v>134.73334561620703</v>
      </c>
      <c r="I95" s="59">
        <v>320</v>
      </c>
      <c r="J95" s="18">
        <v>0</v>
      </c>
      <c r="K95" s="18">
        <f t="shared" si="4"/>
        <v>2450072.8196737841</v>
      </c>
      <c r="L95" s="210"/>
      <c r="M95" s="212"/>
    </row>
    <row r="96" spans="1:30" x14ac:dyDescent="0.2">
      <c r="A96" s="3">
        <v>40210</v>
      </c>
      <c r="B96" s="65">
        <f>'[13]Data Input'!B174</f>
        <v>2225892.31</v>
      </c>
      <c r="C96" s="115">
        <f t="shared" si="5"/>
        <v>919.36153846153866</v>
      </c>
      <c r="D96" s="115">
        <f t="shared" si="5"/>
        <v>0</v>
      </c>
      <c r="E96" s="18">
        <v>28</v>
      </c>
      <c r="F96" s="66">
        <f>[14]Intermediate!P100</f>
        <v>0</v>
      </c>
      <c r="G96" s="18">
        <f>G95+(G100-G88)/12</f>
        <v>2310.000000066666</v>
      </c>
      <c r="H96" s="36">
        <v>135.09837363244745</v>
      </c>
      <c r="I96" s="59">
        <v>304</v>
      </c>
      <c r="J96" s="18">
        <v>0</v>
      </c>
      <c r="K96" s="18">
        <f t="shared" si="4"/>
        <v>2115182.6897546323</v>
      </c>
      <c r="L96" s="210"/>
      <c r="M96" s="212"/>
    </row>
    <row r="97" spans="1:13" x14ac:dyDescent="0.2">
      <c r="A97" s="3">
        <v>40238</v>
      </c>
      <c r="B97" s="65">
        <f>'[13]Data Input'!B175</f>
        <v>2093200</v>
      </c>
      <c r="C97" s="115">
        <f t="shared" si="5"/>
        <v>729.98461538461538</v>
      </c>
      <c r="D97" s="115">
        <f t="shared" si="5"/>
        <v>0</v>
      </c>
      <c r="E97" s="18">
        <v>31</v>
      </c>
      <c r="F97" s="66">
        <f>[14]Intermediate!P101</f>
        <v>0</v>
      </c>
      <c r="G97" s="18">
        <f>G96+(G100-G88)/12</f>
        <v>2309.3750000749992</v>
      </c>
      <c r="H97" s="36">
        <v>135.46439060544563</v>
      </c>
      <c r="I97" s="59">
        <v>368</v>
      </c>
      <c r="J97" s="18">
        <v>1</v>
      </c>
      <c r="K97" s="18">
        <f t="shared" si="4"/>
        <v>2236737.2472686535</v>
      </c>
      <c r="L97" s="210"/>
      <c r="M97" s="212"/>
    </row>
    <row r="98" spans="1:13" x14ac:dyDescent="0.2">
      <c r="A98" s="3">
        <v>40269</v>
      </c>
      <c r="B98" s="65">
        <f>'[13]Data Input'!B176</f>
        <v>1997884.62</v>
      </c>
      <c r="C98" s="115">
        <f t="shared" si="5"/>
        <v>447.0846153846154</v>
      </c>
      <c r="D98" s="115">
        <f t="shared" si="5"/>
        <v>0</v>
      </c>
      <c r="E98" s="18">
        <v>30</v>
      </c>
      <c r="F98" s="66">
        <f>[14]Intermediate!P102</f>
        <v>0</v>
      </c>
      <c r="G98" s="18">
        <f>G97+(G100-G88)/12</f>
        <v>2308.7500000833325</v>
      </c>
      <c r="H98" s="36">
        <v>135.83139921454512</v>
      </c>
      <c r="I98" s="59">
        <v>320</v>
      </c>
      <c r="J98" s="18">
        <v>1</v>
      </c>
      <c r="K98" s="18">
        <f t="shared" si="4"/>
        <v>1936456.8142828112</v>
      </c>
      <c r="L98" s="210"/>
      <c r="M98" s="212"/>
    </row>
    <row r="99" spans="1:13" x14ac:dyDescent="0.2">
      <c r="A99" s="3">
        <v>40299</v>
      </c>
      <c r="B99" s="65">
        <f>'[13]Data Input'!B177</f>
        <v>1773769.23</v>
      </c>
      <c r="C99" s="115">
        <f t="shared" si="5"/>
        <v>248.03846153846155</v>
      </c>
      <c r="D99" s="115">
        <f t="shared" si="5"/>
        <v>2.4615384615384617</v>
      </c>
      <c r="E99" s="18">
        <v>31</v>
      </c>
      <c r="F99" s="66">
        <f>[14]Intermediate!P103</f>
        <v>0</v>
      </c>
      <c r="G99" s="18">
        <f>G98+(G100-G88)/12</f>
        <v>2308.1250000916657</v>
      </c>
      <c r="H99" s="36">
        <v>136.19940214634852</v>
      </c>
      <c r="I99" s="59">
        <v>320</v>
      </c>
      <c r="J99" s="18">
        <v>1</v>
      </c>
      <c r="K99" s="18">
        <f t="shared" si="4"/>
        <v>1883425.1429631915</v>
      </c>
      <c r="L99" s="210"/>
      <c r="M99" s="212"/>
    </row>
    <row r="100" spans="1:13" x14ac:dyDescent="0.2">
      <c r="A100" s="3">
        <v>40330</v>
      </c>
      <c r="B100" s="65">
        <f>'[13]Data Input'!B178</f>
        <v>1674623.08</v>
      </c>
      <c r="C100" s="115">
        <f t="shared" si="5"/>
        <v>88.34615384615384</v>
      </c>
      <c r="D100" s="115">
        <f t="shared" si="5"/>
        <v>12.253846153846153</v>
      </c>
      <c r="E100" s="18">
        <v>30</v>
      </c>
      <c r="F100" s="66">
        <f>[14]Intermediate!P104</f>
        <v>0</v>
      </c>
      <c r="G100" s="18">
        <f>'Rate Class Customer Model'!G10</f>
        <v>2307.5000000999999</v>
      </c>
      <c r="H100" s="36">
        <v>136.56840209473719</v>
      </c>
      <c r="I100" s="59">
        <v>352</v>
      </c>
      <c r="J100" s="18">
        <v>0</v>
      </c>
      <c r="K100" s="18">
        <f t="shared" si="4"/>
        <v>1708436.5663775858</v>
      </c>
      <c r="L100" s="210"/>
      <c r="M100" s="212"/>
    </row>
    <row r="101" spans="1:13" x14ac:dyDescent="0.2">
      <c r="A101" s="3">
        <v>40360</v>
      </c>
      <c r="B101" s="65">
        <f>'[13]Data Input'!B179</f>
        <v>2021846.16</v>
      </c>
      <c r="C101" s="115">
        <f t="shared" si="5"/>
        <v>33.746153846153845</v>
      </c>
      <c r="D101" s="115">
        <f t="shared" si="5"/>
        <v>41.638461538461542</v>
      </c>
      <c r="E101" s="18">
        <v>31</v>
      </c>
      <c r="F101" s="66">
        <f>[14]Intermediate!P105</f>
        <v>0</v>
      </c>
      <c r="G101" s="18">
        <f>G100+(G112-G100)/12</f>
        <v>2306.3333334333333</v>
      </c>
      <c r="H101" s="36">
        <v>136.93840176089088</v>
      </c>
      <c r="I101" s="59">
        <v>336</v>
      </c>
      <c r="J101" s="18">
        <v>0</v>
      </c>
      <c r="K101" s="18">
        <f t="shared" si="4"/>
        <v>1842565.2261930779</v>
      </c>
      <c r="L101" s="210"/>
      <c r="M101" s="212"/>
    </row>
    <row r="102" spans="1:13" x14ac:dyDescent="0.2">
      <c r="A102" s="3">
        <v>40391</v>
      </c>
      <c r="B102" s="65">
        <f>'[13]Data Input'!B180</f>
        <v>1928284.62</v>
      </c>
      <c r="C102" s="115">
        <f t="shared" si="5"/>
        <v>60.553846153846166</v>
      </c>
      <c r="D102" s="115">
        <f t="shared" si="5"/>
        <v>30.238461538461539</v>
      </c>
      <c r="E102" s="18">
        <v>31</v>
      </c>
      <c r="F102" s="66">
        <f>[14]Intermediate!P106</f>
        <v>0</v>
      </c>
      <c r="G102" s="18">
        <f>G101+(G112-G100)/12</f>
        <v>2305.1666667666668</v>
      </c>
      <c r="H102" s="36">
        <v>137.30940385330757</v>
      </c>
      <c r="I102" s="59">
        <v>336</v>
      </c>
      <c r="J102" s="18">
        <v>0</v>
      </c>
      <c r="K102" s="18">
        <f t="shared" si="4"/>
        <v>1834096.4972097985</v>
      </c>
      <c r="L102" s="210"/>
      <c r="M102" s="212"/>
    </row>
    <row r="103" spans="1:13" x14ac:dyDescent="0.2">
      <c r="A103" s="3">
        <v>40422</v>
      </c>
      <c r="B103" s="65">
        <f>'[13]Data Input'!B181</f>
        <v>1824415.39</v>
      </c>
      <c r="C103" s="115">
        <f t="shared" si="5"/>
        <v>165.12307692307692</v>
      </c>
      <c r="D103" s="115">
        <f t="shared" si="5"/>
        <v>8.3461538461538485</v>
      </c>
      <c r="E103" s="18">
        <v>30</v>
      </c>
      <c r="F103" s="66">
        <f>[14]Intermediate!P107</f>
        <v>0</v>
      </c>
      <c r="G103" s="18">
        <f>G102+(G112-G100)/12</f>
        <v>2304.0000001000003</v>
      </c>
      <c r="H103" s="36">
        <v>137.68141108782325</v>
      </c>
      <c r="I103" s="59">
        <v>336</v>
      </c>
      <c r="J103" s="18">
        <v>1</v>
      </c>
      <c r="K103" s="18">
        <f t="shared" si="4"/>
        <v>1768782.3862269362</v>
      </c>
      <c r="L103" s="210"/>
      <c r="M103" s="212"/>
    </row>
    <row r="104" spans="1:13" x14ac:dyDescent="0.2">
      <c r="A104" s="3">
        <v>40452</v>
      </c>
      <c r="B104" s="65">
        <f>'[13]Data Input'!B182</f>
        <v>1849823.08</v>
      </c>
      <c r="C104" s="115">
        <f t="shared" si="5"/>
        <v>385.59230769230766</v>
      </c>
      <c r="D104" s="115">
        <f t="shared" si="5"/>
        <v>1.1076923076923075</v>
      </c>
      <c r="E104" s="18">
        <v>31</v>
      </c>
      <c r="F104" s="66">
        <f>[14]Intermediate!P108</f>
        <v>0</v>
      </c>
      <c r="G104" s="18">
        <f>G103+(G112-G100)/12</f>
        <v>2302.8333334333338</v>
      </c>
      <c r="H104" s="36">
        <v>138.0544261876318</v>
      </c>
      <c r="I104" s="59">
        <v>320</v>
      </c>
      <c r="J104" s="18">
        <v>1</v>
      </c>
      <c r="K104" s="18">
        <f t="shared" si="4"/>
        <v>2011499.8497441309</v>
      </c>
      <c r="L104" s="210"/>
      <c r="M104" s="212"/>
    </row>
    <row r="105" spans="1:13" x14ac:dyDescent="0.2">
      <c r="A105" s="3">
        <v>40483</v>
      </c>
      <c r="B105" s="65">
        <f>'[13]Data Input'!B183</f>
        <v>2235661.54</v>
      </c>
      <c r="C105" s="115">
        <f t="shared" si="5"/>
        <v>611.06923076923078</v>
      </c>
      <c r="D105" s="115">
        <f t="shared" si="5"/>
        <v>0</v>
      </c>
      <c r="E105" s="18">
        <v>30</v>
      </c>
      <c r="F105" s="66">
        <f>[14]Intermediate!P109</f>
        <v>0</v>
      </c>
      <c r="G105" s="18">
        <f>G104+(G112-G100)/12</f>
        <v>2301.6666667666673</v>
      </c>
      <c r="H105" s="36">
        <v>138.42845188330503</v>
      </c>
      <c r="I105" s="59">
        <v>336</v>
      </c>
      <c r="J105" s="18">
        <v>1</v>
      </c>
      <c r="K105" s="18">
        <f t="shared" si="4"/>
        <v>2101830.1308278386</v>
      </c>
      <c r="L105" s="210"/>
      <c r="M105" s="212"/>
    </row>
    <row r="106" spans="1:13" x14ac:dyDescent="0.2">
      <c r="A106" s="3">
        <v>40513</v>
      </c>
      <c r="B106" s="65">
        <f>'[13]Data Input'!B184</f>
        <v>2498676.9300000002</v>
      </c>
      <c r="C106" s="115">
        <f t="shared" si="5"/>
        <v>895.80769230769226</v>
      </c>
      <c r="D106" s="115">
        <f t="shared" si="5"/>
        <v>0</v>
      </c>
      <c r="E106" s="18">
        <v>31</v>
      </c>
      <c r="F106" s="66">
        <f>[14]Intermediate!P110</f>
        <v>0</v>
      </c>
      <c r="G106" s="18">
        <f>G105+(G112-G100)/12</f>
        <v>2300.5000001000008</v>
      </c>
      <c r="H106" s="36">
        <v>138.80349091281266</v>
      </c>
      <c r="I106" s="59">
        <v>368</v>
      </c>
      <c r="J106" s="18">
        <v>0</v>
      </c>
      <c r="K106" s="18">
        <f t="shared" si="4"/>
        <v>2416174.1759304553</v>
      </c>
      <c r="L106" s="210"/>
      <c r="M106" s="212"/>
    </row>
    <row r="107" spans="1:13" x14ac:dyDescent="0.2">
      <c r="A107" s="3">
        <v>40544</v>
      </c>
      <c r="B107" s="65">
        <f>'[13]Data Input'!B185</f>
        <v>2610200</v>
      </c>
      <c r="C107" s="115">
        <f t="shared" si="5"/>
        <v>1023.9615384615383</v>
      </c>
      <c r="D107" s="115">
        <f t="shared" si="5"/>
        <v>0</v>
      </c>
      <c r="E107" s="91">
        <v>31</v>
      </c>
      <c r="F107" s="66">
        <f>[14]Intermediate!P111</f>
        <v>0</v>
      </c>
      <c r="G107" s="18">
        <f>G106+(G112-G100)/12</f>
        <v>2299.3333334333342</v>
      </c>
      <c r="H107" s="36">
        <v>139.10070640604135</v>
      </c>
      <c r="I107" s="59">
        <v>336</v>
      </c>
      <c r="J107" s="18">
        <v>0</v>
      </c>
      <c r="K107" s="18">
        <f t="shared" si="4"/>
        <v>2517624.5835778788</v>
      </c>
      <c r="L107" s="210"/>
      <c r="M107" s="212"/>
    </row>
    <row r="108" spans="1:13" x14ac:dyDescent="0.2">
      <c r="A108" s="3">
        <v>40575</v>
      </c>
      <c r="B108" s="65">
        <f>'[13]Data Input'!B186</f>
        <v>2246461.54</v>
      </c>
      <c r="C108" s="115">
        <f t="shared" si="5"/>
        <v>919.36153846153866</v>
      </c>
      <c r="D108" s="115">
        <f t="shared" si="5"/>
        <v>0</v>
      </c>
      <c r="E108" s="91">
        <v>28</v>
      </c>
      <c r="F108" s="66">
        <f>[14]Intermediate!P112</f>
        <v>0</v>
      </c>
      <c r="G108" s="18">
        <f>G107+(G112-G100)/12</f>
        <v>2298.1666667666677</v>
      </c>
      <c r="H108" s="36">
        <v>139.39855831733732</v>
      </c>
      <c r="I108" s="59">
        <v>304</v>
      </c>
      <c r="J108" s="18">
        <v>0</v>
      </c>
      <c r="K108" s="18">
        <f t="shared" si="4"/>
        <v>2175239.1880556811</v>
      </c>
      <c r="L108" s="210"/>
      <c r="M108" s="212"/>
    </row>
    <row r="109" spans="1:13" x14ac:dyDescent="0.2">
      <c r="A109" s="3">
        <v>40603</v>
      </c>
      <c r="B109" s="65">
        <f>'[13]Data Input'!B187</f>
        <v>2236546.15</v>
      </c>
      <c r="C109" s="115">
        <f t="shared" si="5"/>
        <v>729.98461538461538</v>
      </c>
      <c r="D109" s="115">
        <f t="shared" si="5"/>
        <v>0</v>
      </c>
      <c r="E109" s="91">
        <v>31</v>
      </c>
      <c r="F109" s="66">
        <f>[14]Intermediate!P113</f>
        <v>0</v>
      </c>
      <c r="G109" s="18">
        <f>G108+(G112-G100)/12</f>
        <v>2297.0000001000012</v>
      </c>
      <c r="H109" s="36">
        <v>139.69704800944226</v>
      </c>
      <c r="I109" s="59">
        <v>368</v>
      </c>
      <c r="J109" s="18">
        <v>1</v>
      </c>
      <c r="K109" s="18">
        <f t="shared" si="4"/>
        <v>2289284.8536382718</v>
      </c>
      <c r="L109" s="210"/>
      <c r="M109" s="212"/>
    </row>
    <row r="110" spans="1:13" x14ac:dyDescent="0.2">
      <c r="A110" s="3">
        <v>40634</v>
      </c>
      <c r="B110" s="65">
        <f>'[13]Data Input'!B188</f>
        <v>2047023</v>
      </c>
      <c r="C110" s="115">
        <f t="shared" si="5"/>
        <v>447.0846153846154</v>
      </c>
      <c r="D110" s="115">
        <f t="shared" si="5"/>
        <v>0</v>
      </c>
      <c r="E110" s="91">
        <v>30</v>
      </c>
      <c r="F110" s="66">
        <f>[14]Intermediate!P114</f>
        <v>0</v>
      </c>
      <c r="G110" s="18">
        <f>G109+(G112-G100)/12</f>
        <v>2295.8333334333347</v>
      </c>
      <c r="H110" s="36">
        <v>139.99617684801592</v>
      </c>
      <c r="I110" s="59">
        <v>320</v>
      </c>
      <c r="J110" s="18">
        <v>1</v>
      </c>
      <c r="K110" s="18">
        <f t="shared" si="4"/>
        <v>1981481.8514190642</v>
      </c>
      <c r="L110" s="210"/>
      <c r="M110" s="212"/>
    </row>
    <row r="111" spans="1:13" x14ac:dyDescent="0.2">
      <c r="A111" s="3">
        <v>40664</v>
      </c>
      <c r="B111" s="65">
        <f>'[13]Data Input'!B189</f>
        <v>2007630.77</v>
      </c>
      <c r="C111" s="115">
        <f t="shared" si="5"/>
        <v>248.03846153846155</v>
      </c>
      <c r="D111" s="115">
        <f t="shared" si="5"/>
        <v>2.4615384615384617</v>
      </c>
      <c r="E111" s="18">
        <v>31</v>
      </c>
      <c r="F111" s="66">
        <v>0</v>
      </c>
      <c r="G111" s="18">
        <f>G110+(G112-G100)/12</f>
        <v>2294.6666667666682</v>
      </c>
      <c r="H111" s="36">
        <v>140.29594620164227</v>
      </c>
      <c r="I111" s="111">
        <v>336</v>
      </c>
      <c r="J111" s="18">
        <v>1</v>
      </c>
      <c r="K111" s="18">
        <f t="shared" si="4"/>
        <v>1920913.8824223867</v>
      </c>
      <c r="L111" s="210"/>
      <c r="M111" s="212"/>
    </row>
    <row r="112" spans="1:13" x14ac:dyDescent="0.2">
      <c r="A112" s="3">
        <v>40695</v>
      </c>
      <c r="B112" s="65">
        <f>'[13]Data Input'!B190</f>
        <v>1668007.69</v>
      </c>
      <c r="C112" s="115">
        <f t="shared" si="5"/>
        <v>88.34615384615384</v>
      </c>
      <c r="D112" s="115">
        <f t="shared" si="5"/>
        <v>12.253846153846153</v>
      </c>
      <c r="E112" s="18">
        <v>30</v>
      </c>
      <c r="F112" s="66">
        <v>0</v>
      </c>
      <c r="G112" s="18">
        <f>'Rate Class Customer Model'!G11</f>
        <v>2293.5000000999999</v>
      </c>
      <c r="H112" s="36">
        <v>140.59635744183578</v>
      </c>
      <c r="I112" s="111">
        <v>352</v>
      </c>
      <c r="J112" s="18">
        <v>0</v>
      </c>
      <c r="K112" s="18">
        <f t="shared" si="4"/>
        <v>1738375.2284055315</v>
      </c>
      <c r="L112" s="210"/>
      <c r="M112" s="212"/>
    </row>
    <row r="113" spans="1:13" x14ac:dyDescent="0.2">
      <c r="A113" s="3">
        <v>40725</v>
      </c>
      <c r="B113" s="65">
        <f>'[13]Data Input'!B191</f>
        <v>1910576.92</v>
      </c>
      <c r="C113" s="115">
        <f t="shared" si="5"/>
        <v>33.746153846153845</v>
      </c>
      <c r="D113" s="115">
        <f t="shared" si="5"/>
        <v>41.638461538461542</v>
      </c>
      <c r="E113" s="18">
        <v>31</v>
      </c>
      <c r="F113" s="66">
        <v>0</v>
      </c>
      <c r="G113" s="18">
        <f>G112+(G124-G112)/12</f>
        <v>2293.9166667666664</v>
      </c>
      <c r="H113" s="36">
        <v>140.89741194304773</v>
      </c>
      <c r="I113" s="111">
        <v>320</v>
      </c>
      <c r="J113" s="18">
        <v>0</v>
      </c>
      <c r="K113" s="18">
        <f t="shared" si="4"/>
        <v>1884118.7197195962</v>
      </c>
      <c r="L113" s="210"/>
      <c r="M113" s="212"/>
    </row>
    <row r="114" spans="1:13" x14ac:dyDescent="0.2">
      <c r="A114" s="3">
        <v>40756</v>
      </c>
      <c r="B114" s="65">
        <f>'[13]Data Input'!B192</f>
        <v>2013784.61</v>
      </c>
      <c r="C114" s="115">
        <f t="shared" si="5"/>
        <v>60.553846153846166</v>
      </c>
      <c r="D114" s="115">
        <f t="shared" si="5"/>
        <v>30.238461538461539</v>
      </c>
      <c r="E114" s="18">
        <v>31</v>
      </c>
      <c r="F114" s="66">
        <v>0</v>
      </c>
      <c r="G114" s="18">
        <f>G113+(G124-G112)/12</f>
        <v>2294.3333334333329</v>
      </c>
      <c r="H114" s="36">
        <v>141.19911108267243</v>
      </c>
      <c r="I114" s="111">
        <v>352</v>
      </c>
      <c r="J114" s="18">
        <v>0</v>
      </c>
      <c r="K114" s="18">
        <f t="shared" si="4"/>
        <v>1887250.9393515242</v>
      </c>
      <c r="L114" s="210"/>
      <c r="M114" s="212"/>
    </row>
    <row r="115" spans="1:13" x14ac:dyDescent="0.2">
      <c r="A115" s="3">
        <v>40787</v>
      </c>
      <c r="B115" s="65">
        <f>'[13]Data Input'!B193</f>
        <v>1643661.54</v>
      </c>
      <c r="C115" s="115">
        <f t="shared" si="5"/>
        <v>165.12307692307692</v>
      </c>
      <c r="D115" s="115">
        <f t="shared" si="5"/>
        <v>8.3461538461538485</v>
      </c>
      <c r="E115" s="18">
        <v>30</v>
      </c>
      <c r="F115" s="66">
        <v>0</v>
      </c>
      <c r="G115" s="18">
        <f>G114+(G124-G112)/12</f>
        <v>2294.7500000999994</v>
      </c>
      <c r="H115" s="36">
        <v>141.50145624105357</v>
      </c>
      <c r="I115" s="111">
        <v>336</v>
      </c>
      <c r="J115" s="18">
        <v>1</v>
      </c>
      <c r="K115" s="18">
        <f t="shared" si="4"/>
        <v>1833523.842280739</v>
      </c>
      <c r="L115" s="210"/>
      <c r="M115" s="212"/>
    </row>
    <row r="116" spans="1:13" x14ac:dyDescent="0.2">
      <c r="A116" s="3">
        <v>40817</v>
      </c>
      <c r="B116" s="65">
        <f>'[13]Data Input'!B194</f>
        <v>1987346.15</v>
      </c>
      <c r="C116" s="115">
        <f t="shared" si="5"/>
        <v>385.59230769230766</v>
      </c>
      <c r="D116" s="115">
        <f t="shared" si="5"/>
        <v>1.1076923076923075</v>
      </c>
      <c r="E116" s="18">
        <v>31</v>
      </c>
      <c r="F116" s="66">
        <v>0</v>
      </c>
      <c r="G116" s="18">
        <f>G115+(G124-G112)/12</f>
        <v>2295.1666667666659</v>
      </c>
      <c r="H116" s="36">
        <v>141.80444880149057</v>
      </c>
      <c r="I116" s="111">
        <v>320</v>
      </c>
      <c r="J116" s="18">
        <v>1</v>
      </c>
      <c r="K116" s="18">
        <f t="shared" si="4"/>
        <v>2087814.3330162847</v>
      </c>
      <c r="L116" s="210"/>
      <c r="M116" s="212"/>
    </row>
    <row r="117" spans="1:13" x14ac:dyDescent="0.2">
      <c r="A117" s="3">
        <v>40848</v>
      </c>
      <c r="B117" s="65">
        <f>'[13]Data Input'!B195</f>
        <v>2020453.85</v>
      </c>
      <c r="C117" s="115">
        <f t="shared" si="5"/>
        <v>611.06923076923078</v>
      </c>
      <c r="D117" s="115">
        <f t="shared" si="5"/>
        <v>0</v>
      </c>
      <c r="E117" s="18">
        <v>30</v>
      </c>
      <c r="F117" s="66">
        <v>0</v>
      </c>
      <c r="G117" s="18">
        <f>G116+(G124-G112)/12</f>
        <v>2295.5833334333324</v>
      </c>
      <c r="H117" s="36">
        <v>142.10809015024478</v>
      </c>
      <c r="I117" s="111">
        <v>352</v>
      </c>
      <c r="J117" s="18">
        <v>1</v>
      </c>
      <c r="K117" s="18">
        <f t="shared" si="4"/>
        <v>2189703.6024626987</v>
      </c>
      <c r="L117" s="210"/>
      <c r="M117" s="212"/>
    </row>
    <row r="118" spans="1:13" x14ac:dyDescent="0.2">
      <c r="A118" s="3">
        <v>40878</v>
      </c>
      <c r="B118" s="65">
        <f>'[13]Data Input'!B196</f>
        <v>2350123.0699999998</v>
      </c>
      <c r="C118" s="115">
        <f t="shared" si="5"/>
        <v>895.80769230769226</v>
      </c>
      <c r="D118" s="115">
        <f t="shared" si="5"/>
        <v>0</v>
      </c>
      <c r="E118" s="18">
        <v>31</v>
      </c>
      <c r="F118" s="66">
        <v>0</v>
      </c>
      <c r="G118" s="18">
        <f>G117+(G124-G112)/12</f>
        <v>2296.0000000999989</v>
      </c>
      <c r="H118" s="36">
        <v>142.41238167654581</v>
      </c>
      <c r="I118" s="111">
        <v>336</v>
      </c>
      <c r="J118" s="18">
        <v>0</v>
      </c>
      <c r="K118" s="18">
        <f t="shared" si="4"/>
        <v>2515592.5447385637</v>
      </c>
      <c r="L118" s="210"/>
      <c r="M118" s="212"/>
    </row>
    <row r="119" spans="1:13" x14ac:dyDescent="0.2">
      <c r="A119" s="3">
        <v>40909</v>
      </c>
      <c r="B119" s="65">
        <f>'[13]Data Input'!B197</f>
        <v>2406961.54</v>
      </c>
      <c r="C119" s="115">
        <f t="shared" si="5"/>
        <v>1023.9615384615383</v>
      </c>
      <c r="D119" s="115">
        <f t="shared" si="5"/>
        <v>0</v>
      </c>
      <c r="E119" s="18">
        <v>31</v>
      </c>
      <c r="F119" s="66">
        <v>0</v>
      </c>
      <c r="G119" s="18">
        <f>G118+(G124-G112)/12</f>
        <v>2296.4166667666655</v>
      </c>
      <c r="H119" s="36">
        <v>142.61257743956915</v>
      </c>
      <c r="I119" s="111">
        <v>336</v>
      </c>
      <c r="J119" s="18">
        <v>0</v>
      </c>
      <c r="K119" s="18">
        <f t="shared" si="4"/>
        <v>2627568.4346659491</v>
      </c>
      <c r="L119" s="210"/>
      <c r="M119" s="212"/>
    </row>
    <row r="120" spans="1:13" x14ac:dyDescent="0.2">
      <c r="A120" s="3">
        <v>40940</v>
      </c>
      <c r="B120" s="65">
        <f>'[13]Data Input'!B198</f>
        <v>2113376.92</v>
      </c>
      <c r="C120" s="115">
        <f t="shared" si="5"/>
        <v>919.36153846153866</v>
      </c>
      <c r="D120" s="115">
        <f t="shared" si="5"/>
        <v>0</v>
      </c>
      <c r="E120" s="18">
        <v>29</v>
      </c>
      <c r="F120" s="66">
        <v>0</v>
      </c>
      <c r="G120" s="18">
        <f>G119+(G124-G112)/12</f>
        <v>2296.833333433332</v>
      </c>
      <c r="H120" s="36">
        <v>142.81305462716429</v>
      </c>
      <c r="I120" s="111">
        <v>320</v>
      </c>
      <c r="J120" s="18">
        <v>0</v>
      </c>
      <c r="K120" s="18">
        <f t="shared" si="4"/>
        <v>2382837.1990759745</v>
      </c>
      <c r="L120" s="210"/>
      <c r="M120" s="212"/>
    </row>
    <row r="121" spans="1:13" x14ac:dyDescent="0.2">
      <c r="A121" s="3">
        <v>40969</v>
      </c>
      <c r="B121" s="65">
        <f>'[13]Data Input'!B199</f>
        <v>2195146.15</v>
      </c>
      <c r="C121" s="115">
        <f t="shared" si="5"/>
        <v>729.98461538461538</v>
      </c>
      <c r="D121" s="115">
        <f t="shared" si="5"/>
        <v>0</v>
      </c>
      <c r="E121" s="18">
        <v>31</v>
      </c>
      <c r="F121" s="66">
        <v>0</v>
      </c>
      <c r="G121" s="18">
        <f>G120+(G124-G112)/12</f>
        <v>2297.2500000999985</v>
      </c>
      <c r="H121" s="36">
        <v>143.01381363494295</v>
      </c>
      <c r="I121" s="111">
        <v>352</v>
      </c>
      <c r="J121" s="18">
        <v>1</v>
      </c>
      <c r="K121" s="18">
        <f t="shared" si="4"/>
        <v>2420238.3083892325</v>
      </c>
      <c r="L121" s="210"/>
      <c r="M121" s="212"/>
    </row>
    <row r="122" spans="1:13" x14ac:dyDescent="0.2">
      <c r="A122" s="3">
        <v>41000</v>
      </c>
      <c r="B122" s="65">
        <f>'[13]Data Input'!B200</f>
        <v>2132323.08</v>
      </c>
      <c r="C122" s="115">
        <f t="shared" si="5"/>
        <v>447.0846153846154</v>
      </c>
      <c r="D122" s="115">
        <f t="shared" si="5"/>
        <v>0</v>
      </c>
      <c r="E122" s="18">
        <v>30</v>
      </c>
      <c r="F122" s="66">
        <v>0</v>
      </c>
      <c r="G122" s="18">
        <f>G121+(G124-G112)/12</f>
        <v>2297.666666766665</v>
      </c>
      <c r="H122" s="36">
        <v>143.21485485907297</v>
      </c>
      <c r="I122" s="111">
        <v>320</v>
      </c>
      <c r="J122" s="18">
        <v>1</v>
      </c>
      <c r="K122" s="18">
        <f t="shared" si="4"/>
        <v>2122919.3524081595</v>
      </c>
      <c r="L122" s="210"/>
      <c r="M122" s="212"/>
    </row>
    <row r="123" spans="1:13" x14ac:dyDescent="0.2">
      <c r="A123" s="3">
        <v>41030</v>
      </c>
      <c r="B123" s="65">
        <v>1694372.73</v>
      </c>
      <c r="C123" s="115">
        <f t="shared" si="5"/>
        <v>248.03846153846155</v>
      </c>
      <c r="D123" s="115">
        <f t="shared" si="5"/>
        <v>2.4615384615384617</v>
      </c>
      <c r="E123" s="18">
        <v>31</v>
      </c>
      <c r="F123" s="66">
        <v>0</v>
      </c>
      <c r="G123" s="18">
        <f>G122+(G124-G112)/12</f>
        <v>2298.0833334333315</v>
      </c>
      <c r="H123" s="36">
        <v>143.41617869627913</v>
      </c>
      <c r="I123" s="111">
        <v>352</v>
      </c>
      <c r="J123" s="18">
        <v>1</v>
      </c>
      <c r="K123" s="18">
        <f t="shared" si="4"/>
        <v>2072821.5423379214</v>
      </c>
      <c r="L123" s="210"/>
      <c r="M123" s="212"/>
    </row>
    <row r="124" spans="1:13" x14ac:dyDescent="0.2">
      <c r="A124" s="3">
        <v>41061</v>
      </c>
      <c r="B124" s="65">
        <v>1942718.18</v>
      </c>
      <c r="C124" s="115">
        <f t="shared" si="5"/>
        <v>88.34615384615384</v>
      </c>
      <c r="D124" s="115">
        <f t="shared" si="5"/>
        <v>12.253846153846153</v>
      </c>
      <c r="E124" s="18">
        <v>30</v>
      </c>
      <c r="F124" s="66">
        <v>0</v>
      </c>
      <c r="G124" s="18">
        <f>'Rate Class Customer Model'!G12</f>
        <v>2298.5000000999999</v>
      </c>
      <c r="H124" s="36">
        <v>143.61778554384387</v>
      </c>
      <c r="I124" s="111">
        <v>336</v>
      </c>
      <c r="J124" s="18">
        <v>0</v>
      </c>
      <c r="K124" s="18">
        <f t="shared" si="4"/>
        <v>1900739.1221336965</v>
      </c>
      <c r="L124" s="210"/>
      <c r="M124" s="212"/>
    </row>
    <row r="125" spans="1:13" x14ac:dyDescent="0.2">
      <c r="A125" s="3">
        <v>41091</v>
      </c>
      <c r="B125" s="65">
        <v>1954472.73</v>
      </c>
      <c r="C125" s="115">
        <f t="shared" si="5"/>
        <v>33.746153846153845</v>
      </c>
      <c r="D125" s="115">
        <f t="shared" si="5"/>
        <v>41.638461538461542</v>
      </c>
      <c r="E125" s="18">
        <v>31</v>
      </c>
      <c r="F125" s="66">
        <v>0</v>
      </c>
      <c r="G125" s="18">
        <f>G124+(G136-G124)/12</f>
        <v>2298.6250000999999</v>
      </c>
      <c r="H125" s="36">
        <v>143.81967579960809</v>
      </c>
      <c r="I125" s="111">
        <v>336</v>
      </c>
      <c r="J125" s="18">
        <v>0</v>
      </c>
      <c r="K125" s="18">
        <f t="shared" si="4"/>
        <v>2040002.4665269582</v>
      </c>
      <c r="L125" s="210"/>
      <c r="M125" s="212"/>
    </row>
    <row r="126" spans="1:13" x14ac:dyDescent="0.2">
      <c r="A126" s="3">
        <v>41122</v>
      </c>
      <c r="B126" s="65">
        <v>1843390.91</v>
      </c>
      <c r="C126" s="115">
        <f t="shared" si="5"/>
        <v>60.553846153846166</v>
      </c>
      <c r="D126" s="115">
        <f t="shared" si="5"/>
        <v>30.238461538461539</v>
      </c>
      <c r="E126" s="18">
        <v>31</v>
      </c>
      <c r="F126" s="66">
        <v>0</v>
      </c>
      <c r="G126" s="18">
        <f>G125+(G136-G124)/12</f>
        <v>2298.7500000999999</v>
      </c>
      <c r="H126" s="36">
        <v>144.02184986197204</v>
      </c>
      <c r="I126" s="111">
        <v>352</v>
      </c>
      <c r="J126" s="18">
        <v>0</v>
      </c>
      <c r="K126" s="18">
        <f t="shared" si="4"/>
        <v>2036640.538242884</v>
      </c>
      <c r="L126" s="210"/>
      <c r="M126" s="212"/>
    </row>
    <row r="127" spans="1:13" x14ac:dyDescent="0.2">
      <c r="A127" s="3">
        <v>41153</v>
      </c>
      <c r="B127" s="65">
        <v>1568672.73</v>
      </c>
      <c r="C127" s="115">
        <f t="shared" si="5"/>
        <v>165.12307692307692</v>
      </c>
      <c r="D127" s="115">
        <f t="shared" si="5"/>
        <v>8.3461538461538485</v>
      </c>
      <c r="E127" s="18">
        <v>30</v>
      </c>
      <c r="F127" s="66">
        <v>0</v>
      </c>
      <c r="G127" s="18">
        <f>G126+(G136-G124)/12</f>
        <v>2298.8750000999999</v>
      </c>
      <c r="H127" s="36">
        <v>144.22430812989595</v>
      </c>
      <c r="I127" s="111">
        <v>304</v>
      </c>
      <c r="J127" s="18">
        <v>1</v>
      </c>
      <c r="K127" s="18">
        <f t="shared" si="4"/>
        <v>1976405.2541812472</v>
      </c>
      <c r="L127" s="210"/>
      <c r="M127" s="212"/>
    </row>
    <row r="128" spans="1:13" x14ac:dyDescent="0.2">
      <c r="A128" s="3">
        <v>41183</v>
      </c>
      <c r="B128" s="65">
        <v>1976963.64</v>
      </c>
      <c r="C128" s="115">
        <f t="shared" si="5"/>
        <v>385.59230769230766</v>
      </c>
      <c r="D128" s="115">
        <f t="shared" si="5"/>
        <v>1.1076923076923075</v>
      </c>
      <c r="E128" s="18">
        <v>31</v>
      </c>
      <c r="F128" s="66">
        <v>0</v>
      </c>
      <c r="G128" s="18">
        <f>G127+(G136-G124)/12</f>
        <v>2299.0000000999999</v>
      </c>
      <c r="H128" s="36">
        <v>144.42705100290087</v>
      </c>
      <c r="I128" s="111">
        <v>352</v>
      </c>
      <c r="J128" s="18">
        <v>1</v>
      </c>
      <c r="K128" s="18">
        <f t="shared" si="4"/>
        <v>2224173.4806785425</v>
      </c>
      <c r="L128" s="210"/>
      <c r="M128" s="212"/>
    </row>
    <row r="129" spans="1:13" x14ac:dyDescent="0.2">
      <c r="A129" s="3">
        <v>41214</v>
      </c>
      <c r="B129" s="65">
        <v>2066772.73</v>
      </c>
      <c r="C129" s="115">
        <f t="shared" si="5"/>
        <v>611.06923076923078</v>
      </c>
      <c r="D129" s="115">
        <f t="shared" si="5"/>
        <v>0</v>
      </c>
      <c r="E129" s="18">
        <v>30</v>
      </c>
      <c r="F129" s="66">
        <v>0</v>
      </c>
      <c r="G129" s="18">
        <f>G128+(G136-G124)/12</f>
        <v>2299.1250000999999</v>
      </c>
      <c r="H129" s="36">
        <v>144.63007888106955</v>
      </c>
      <c r="I129" s="111">
        <v>352</v>
      </c>
      <c r="J129" s="18">
        <v>1</v>
      </c>
      <c r="K129" s="18">
        <f t="shared" si="4"/>
        <v>2319526.3703735955</v>
      </c>
      <c r="L129" s="210"/>
      <c r="M129" s="212"/>
    </row>
    <row r="130" spans="1:13" x14ac:dyDescent="0.2">
      <c r="A130" s="3">
        <v>41244</v>
      </c>
      <c r="B130" s="65">
        <v>2392972.73</v>
      </c>
      <c r="C130" s="115">
        <f t="shared" si="5"/>
        <v>895.80769230769226</v>
      </c>
      <c r="D130" s="115">
        <f t="shared" si="5"/>
        <v>0</v>
      </c>
      <c r="E130" s="18">
        <v>31</v>
      </c>
      <c r="F130" s="66">
        <f>Intermediate!P134</f>
        <v>0</v>
      </c>
      <c r="G130" s="18">
        <f>G129+(G136-G124)/12</f>
        <v>2299.2500000999999</v>
      </c>
      <c r="H130" s="36">
        <v>144.83339216504706</v>
      </c>
      <c r="I130" s="111">
        <v>304</v>
      </c>
      <c r="J130" s="18">
        <v>0</v>
      </c>
      <c r="K130" s="18">
        <f t="shared" si="4"/>
        <v>2638864.7790259402</v>
      </c>
      <c r="L130" s="210"/>
      <c r="M130" s="212"/>
    </row>
    <row r="131" spans="1:13" x14ac:dyDescent="0.2">
      <c r="A131" s="3">
        <v>41275</v>
      </c>
      <c r="B131" s="65">
        <v>2490941.67</v>
      </c>
      <c r="C131" s="115">
        <f t="shared" si="5"/>
        <v>1023.9615384615383</v>
      </c>
      <c r="D131" s="115">
        <f t="shared" si="5"/>
        <v>0</v>
      </c>
      <c r="E131" s="18">
        <v>31</v>
      </c>
      <c r="F131" s="66">
        <f>Intermediate!P135</f>
        <v>0</v>
      </c>
      <c r="G131" s="18">
        <f>G130+(G136-G124)/12</f>
        <v>2299.3750000999999</v>
      </c>
      <c r="H131" s="36">
        <v>144.98936781896037</v>
      </c>
      <c r="I131" s="111">
        <v>352</v>
      </c>
      <c r="J131" s="18">
        <v>0</v>
      </c>
      <c r="K131" s="18">
        <f t="shared" si="4"/>
        <v>2746492.4642878966</v>
      </c>
      <c r="L131" s="210"/>
      <c r="M131" s="212"/>
    </row>
    <row r="132" spans="1:13" x14ac:dyDescent="0.2">
      <c r="A132" s="3">
        <v>41306</v>
      </c>
      <c r="B132" s="65">
        <v>2221283.33</v>
      </c>
      <c r="C132" s="115">
        <f t="shared" si="5"/>
        <v>919.36153846153866</v>
      </c>
      <c r="D132" s="115">
        <f t="shared" si="5"/>
        <v>0</v>
      </c>
      <c r="E132" s="18">
        <v>28</v>
      </c>
      <c r="F132" s="66">
        <f>Intermediate!P136</f>
        <v>0</v>
      </c>
      <c r="G132" s="18">
        <f>G131+(G136-G124)/12</f>
        <v>2299.5000000999999</v>
      </c>
      <c r="H132" s="36">
        <v>145.14551144798114</v>
      </c>
      <c r="I132" s="111">
        <v>304</v>
      </c>
      <c r="J132" s="18">
        <v>0</v>
      </c>
      <c r="K132" s="18">
        <f t="shared" ref="K132:K190" si="6">$O$18+C132*$O$19+D132*$O$20+E132*$O$21+F132*$O$22+G132*$O$23+H132*$O$24</f>
        <v>2410266.1698575467</v>
      </c>
      <c r="L132" s="210"/>
      <c r="M132" s="212"/>
    </row>
    <row r="133" spans="1:13" x14ac:dyDescent="0.2">
      <c r="A133" s="3">
        <v>41334</v>
      </c>
      <c r="B133" s="65">
        <v>2169850</v>
      </c>
      <c r="C133" s="115">
        <f t="shared" si="5"/>
        <v>729.98461538461538</v>
      </c>
      <c r="D133" s="115">
        <f t="shared" si="5"/>
        <v>0</v>
      </c>
      <c r="E133" s="18">
        <v>31</v>
      </c>
      <c r="F133" s="66">
        <f>Intermediate!P137</f>
        <v>0</v>
      </c>
      <c r="G133" s="18">
        <f>G132+(G136-G124)/12</f>
        <v>2299.6250000999999</v>
      </c>
      <c r="H133" s="36">
        <v>145.30182323300707</v>
      </c>
      <c r="I133" s="111">
        <v>320</v>
      </c>
      <c r="J133" s="18">
        <v>1</v>
      </c>
      <c r="K133" s="18">
        <f t="shared" si="6"/>
        <v>2530452.7141514067</v>
      </c>
      <c r="L133" s="210"/>
      <c r="M133" s="212"/>
    </row>
    <row r="134" spans="1:13" x14ac:dyDescent="0.2">
      <c r="A134" s="3">
        <v>41365</v>
      </c>
      <c r="B134" s="65">
        <v>1962925</v>
      </c>
      <c r="C134" s="115">
        <f t="shared" si="5"/>
        <v>447.0846153846154</v>
      </c>
      <c r="D134" s="115">
        <f t="shared" si="5"/>
        <v>0</v>
      </c>
      <c r="E134" s="18">
        <v>30</v>
      </c>
      <c r="F134" s="66">
        <f>Intermediate!P138</f>
        <v>0</v>
      </c>
      <c r="G134" s="18">
        <f>G133+(G136-G124)/12</f>
        <v>2299.7500000999999</v>
      </c>
      <c r="H134" s="36">
        <v>145.45830335513068</v>
      </c>
      <c r="I134" s="111">
        <v>352</v>
      </c>
      <c r="J134" s="18">
        <v>1</v>
      </c>
      <c r="K134" s="18">
        <f t="shared" si="6"/>
        <v>2228772.3222992998</v>
      </c>
      <c r="L134" s="210"/>
      <c r="M134" s="212"/>
    </row>
    <row r="135" spans="1:13" x14ac:dyDescent="0.2">
      <c r="A135" s="3">
        <v>41395</v>
      </c>
      <c r="B135" s="65">
        <v>2122150</v>
      </c>
      <c r="C135" s="115">
        <f t="shared" si="5"/>
        <v>248.03846153846155</v>
      </c>
      <c r="D135" s="115">
        <f t="shared" si="5"/>
        <v>2.4615384615384617</v>
      </c>
      <c r="E135" s="18">
        <v>31</v>
      </c>
      <c r="F135" s="66">
        <f>Intermediate!P139</f>
        <v>0</v>
      </c>
      <c r="G135" s="18">
        <f>G134+(G136-G124)/12</f>
        <v>2299.8750000999999</v>
      </c>
      <c r="H135" s="36">
        <v>145.6149519956395</v>
      </c>
      <c r="I135" s="111">
        <v>352</v>
      </c>
      <c r="J135" s="18">
        <v>1</v>
      </c>
      <c r="K135" s="18">
        <f t="shared" si="6"/>
        <v>2174308.6492560906</v>
      </c>
      <c r="L135" s="210"/>
      <c r="M135" s="212"/>
    </row>
    <row r="136" spans="1:13" x14ac:dyDescent="0.2">
      <c r="A136" s="3">
        <v>41426</v>
      </c>
      <c r="B136" s="65">
        <v>1832875</v>
      </c>
      <c r="C136" s="115">
        <f t="shared" si="5"/>
        <v>88.34615384615384</v>
      </c>
      <c r="D136" s="115">
        <f t="shared" si="5"/>
        <v>12.253846153846153</v>
      </c>
      <c r="E136" s="18">
        <v>30</v>
      </c>
      <c r="F136" s="66">
        <f>Intermediate!P140</f>
        <v>0</v>
      </c>
      <c r="G136" s="18">
        <f>'Rate Class Customer Model'!G13</f>
        <v>2300.0000000999999</v>
      </c>
      <c r="H136" s="36">
        <v>145.77176933601632</v>
      </c>
      <c r="I136" s="111">
        <v>320</v>
      </c>
      <c r="J136" s="18">
        <v>0</v>
      </c>
      <c r="K136" s="18">
        <f t="shared" si="6"/>
        <v>1997855.9306034716</v>
      </c>
      <c r="L136" s="210"/>
      <c r="M136" s="212"/>
    </row>
    <row r="137" spans="1:13" x14ac:dyDescent="0.2">
      <c r="A137" s="3">
        <v>41456</v>
      </c>
      <c r="B137" s="65">
        <v>1794300</v>
      </c>
      <c r="C137" s="115">
        <f t="shared" si="5"/>
        <v>33.746153846153845</v>
      </c>
      <c r="D137" s="115">
        <f t="shared" si="5"/>
        <v>41.638461538461542</v>
      </c>
      <c r="E137" s="18">
        <v>31</v>
      </c>
      <c r="F137" s="66">
        <f>Intermediate!P141</f>
        <v>0</v>
      </c>
      <c r="G137" s="18">
        <f>G136+(G148-G136)/12</f>
        <v>2299.7083334333333</v>
      </c>
      <c r="H137" s="36">
        <v>145.92875555793933</v>
      </c>
      <c r="I137" s="111">
        <v>352</v>
      </c>
      <c r="J137" s="18">
        <v>0</v>
      </c>
      <c r="K137" s="18">
        <f t="shared" si="6"/>
        <v>2131616.3715037396</v>
      </c>
      <c r="L137" s="210"/>
      <c r="M137" s="212"/>
    </row>
    <row r="138" spans="1:13" x14ac:dyDescent="0.2">
      <c r="A138" s="3">
        <v>41487</v>
      </c>
      <c r="B138" s="65">
        <v>1916083.33</v>
      </c>
      <c r="C138" s="115">
        <f t="shared" si="5"/>
        <v>60.553846153846166</v>
      </c>
      <c r="D138" s="115">
        <f t="shared" si="5"/>
        <v>30.238461538461539</v>
      </c>
      <c r="E138" s="18">
        <v>31</v>
      </c>
      <c r="F138" s="66">
        <f>Intermediate!P142</f>
        <v>0</v>
      </c>
      <c r="G138" s="18">
        <f>G137+(G148-G136)/12</f>
        <v>2299.4166667666668</v>
      </c>
      <c r="H138" s="36">
        <v>146.08591084328242</v>
      </c>
      <c r="I138" s="111">
        <v>336</v>
      </c>
      <c r="J138" s="18">
        <v>0</v>
      </c>
      <c r="K138" s="18">
        <f t="shared" si="6"/>
        <v>2122747.0874620723</v>
      </c>
      <c r="L138" s="210"/>
      <c r="M138" s="212"/>
    </row>
    <row r="139" spans="1:13" x14ac:dyDescent="0.2">
      <c r="A139" s="3">
        <v>41518</v>
      </c>
      <c r="B139" s="65">
        <v>1619033.33</v>
      </c>
      <c r="C139" s="115">
        <f t="shared" si="5"/>
        <v>165.12307692307692</v>
      </c>
      <c r="D139" s="115">
        <f t="shared" si="5"/>
        <v>8.3461538461538485</v>
      </c>
      <c r="E139" s="18">
        <v>30</v>
      </c>
      <c r="F139" s="66">
        <f>Intermediate!P143</f>
        <v>0</v>
      </c>
      <c r="G139" s="18">
        <f>G138+(G148-G136)/12</f>
        <v>2299.1250001000003</v>
      </c>
      <c r="H139" s="36">
        <v>146.2432353741153</v>
      </c>
      <c r="I139" s="111">
        <v>320</v>
      </c>
      <c r="J139" s="18">
        <v>1</v>
      </c>
      <c r="K139" s="18">
        <f t="shared" si="6"/>
        <v>2056999.9869624553</v>
      </c>
      <c r="L139" s="210"/>
      <c r="M139" s="212"/>
    </row>
    <row r="140" spans="1:13" x14ac:dyDescent="0.2">
      <c r="A140" s="3">
        <v>41548</v>
      </c>
      <c r="B140" s="65">
        <v>1974675</v>
      </c>
      <c r="C140" s="115">
        <f t="shared" si="5"/>
        <v>385.59230769230766</v>
      </c>
      <c r="D140" s="115">
        <f t="shared" si="5"/>
        <v>1.1076923076923075</v>
      </c>
      <c r="E140" s="18">
        <v>31</v>
      </c>
      <c r="F140" s="66">
        <f>Intermediate!P144</f>
        <v>0</v>
      </c>
      <c r="G140" s="18">
        <f>G139+(G148-G136)/12</f>
        <v>2298.8333334333338</v>
      </c>
      <c r="H140" s="36">
        <v>146.4007293327038</v>
      </c>
      <c r="I140" s="111">
        <v>352</v>
      </c>
      <c r="J140" s="18">
        <v>1</v>
      </c>
      <c r="K140" s="18">
        <f t="shared" si="6"/>
        <v>2299251.9279114483</v>
      </c>
      <c r="L140" s="210"/>
      <c r="M140" s="212"/>
    </row>
    <row r="141" spans="1:13" x14ac:dyDescent="0.2">
      <c r="A141" s="3">
        <v>41579</v>
      </c>
      <c r="B141" s="65">
        <v>2101858.33</v>
      </c>
      <c r="C141" s="115">
        <f t="shared" si="5"/>
        <v>611.06923076923078</v>
      </c>
      <c r="D141" s="115">
        <f t="shared" si="5"/>
        <v>0</v>
      </c>
      <c r="E141" s="18">
        <v>30</v>
      </c>
      <c r="F141" s="66">
        <f>Intermediate!P145</f>
        <v>0</v>
      </c>
      <c r="G141" s="18">
        <f>G140+(G148-G136)/12</f>
        <v>2298.5416667666673</v>
      </c>
      <c r="H141" s="36">
        <v>146.55839290151005</v>
      </c>
      <c r="I141" s="111">
        <v>336</v>
      </c>
      <c r="J141" s="18">
        <v>1</v>
      </c>
      <c r="K141" s="18">
        <f t="shared" si="6"/>
        <v>2389084.0545037622</v>
      </c>
      <c r="L141" s="210"/>
      <c r="M141" s="212"/>
    </row>
    <row r="142" spans="1:13" x14ac:dyDescent="0.2">
      <c r="A142" s="3">
        <v>41609</v>
      </c>
      <c r="B142" s="65">
        <v>2665641.67</v>
      </c>
      <c r="C142" s="115">
        <f t="shared" si="5"/>
        <v>895.80769230769226</v>
      </c>
      <c r="D142" s="115">
        <f t="shared" si="5"/>
        <v>0</v>
      </c>
      <c r="E142" s="18">
        <v>31</v>
      </c>
      <c r="F142" s="66">
        <f>Intermediate!P146</f>
        <v>0</v>
      </c>
      <c r="G142" s="18">
        <f>G141+(G148-G136)/12</f>
        <v>2298.2500001000008</v>
      </c>
      <c r="H142" s="36">
        <v>146.71622626319265</v>
      </c>
      <c r="I142" s="111">
        <v>320</v>
      </c>
      <c r="J142" s="18">
        <v>0</v>
      </c>
      <c r="K142" s="18">
        <f t="shared" si="6"/>
        <v>2702897.2140406165</v>
      </c>
      <c r="L142" s="210"/>
      <c r="M142" s="212"/>
    </row>
    <row r="143" spans="1:13" x14ac:dyDescent="0.2">
      <c r="A143" s="3">
        <v>41640</v>
      </c>
      <c r="B143" s="65">
        <v>2759483.33</v>
      </c>
      <c r="C143" s="115">
        <f t="shared" si="5"/>
        <v>1023.9615384615383</v>
      </c>
      <c r="D143" s="115">
        <f t="shared" si="5"/>
        <v>0</v>
      </c>
      <c r="E143" s="18">
        <v>31</v>
      </c>
      <c r="F143" s="66">
        <f>Intermediate!P147</f>
        <v>0</v>
      </c>
      <c r="G143" s="18">
        <f>G142+(G148-G136)/12</f>
        <v>2297.9583334333342</v>
      </c>
      <c r="H143" s="36">
        <v>147.04232175221028</v>
      </c>
      <c r="I143" s="111">
        <v>352</v>
      </c>
      <c r="J143" s="18">
        <v>0</v>
      </c>
      <c r="K143" s="18">
        <f t="shared" si="6"/>
        <v>2813365.3514918238</v>
      </c>
      <c r="L143" s="210"/>
      <c r="M143" s="212"/>
    </row>
    <row r="144" spans="1:13" x14ac:dyDescent="0.2">
      <c r="A144" s="3">
        <v>41671</v>
      </c>
      <c r="B144" s="65">
        <v>2339475</v>
      </c>
      <c r="C144" s="115">
        <f t="shared" si="5"/>
        <v>919.36153846153866</v>
      </c>
      <c r="D144" s="115">
        <f t="shared" si="5"/>
        <v>0</v>
      </c>
      <c r="E144" s="18">
        <v>28</v>
      </c>
      <c r="F144" s="66">
        <f>Intermediate!P148</f>
        <v>0</v>
      </c>
      <c r="G144" s="18">
        <f>G143+(G148-G136)/12</f>
        <v>2297.6666667666677</v>
      </c>
      <c r="H144" s="36">
        <v>147.36914202996238</v>
      </c>
      <c r="I144" s="111">
        <v>304</v>
      </c>
      <c r="J144" s="18">
        <v>0</v>
      </c>
      <c r="K144" s="18">
        <f t="shared" si="6"/>
        <v>2480001.1147318333</v>
      </c>
      <c r="L144" s="210"/>
      <c r="M144" s="212"/>
    </row>
    <row r="145" spans="1:13" x14ac:dyDescent="0.2">
      <c r="A145" s="3">
        <v>41699</v>
      </c>
      <c r="B145" s="65">
        <v>2364158.33</v>
      </c>
      <c r="C145" s="115">
        <f t="shared" si="5"/>
        <v>729.98461538461538</v>
      </c>
      <c r="D145" s="115">
        <f t="shared" si="5"/>
        <v>0</v>
      </c>
      <c r="E145" s="18">
        <v>31</v>
      </c>
      <c r="F145" s="66">
        <f>Intermediate!P149</f>
        <v>0</v>
      </c>
      <c r="G145" s="18">
        <f>G144+(G148-G136)/12</f>
        <v>2297.3750001000012</v>
      </c>
      <c r="H145" s="36">
        <v>147.69668870738414</v>
      </c>
      <c r="I145" s="111">
        <v>336</v>
      </c>
      <c r="J145" s="18">
        <v>1</v>
      </c>
      <c r="K145" s="18">
        <f t="shared" si="6"/>
        <v>2603071.3776654704</v>
      </c>
      <c r="L145" s="210"/>
      <c r="M145" s="212"/>
    </row>
    <row r="146" spans="1:13" x14ac:dyDescent="0.2">
      <c r="A146" s="3">
        <v>41730</v>
      </c>
      <c r="B146" s="65">
        <v>2015133.33</v>
      </c>
      <c r="C146" s="115">
        <f t="shared" si="5"/>
        <v>447.0846153846154</v>
      </c>
      <c r="D146" s="115">
        <f t="shared" si="5"/>
        <v>0</v>
      </c>
      <c r="E146" s="18">
        <v>30</v>
      </c>
      <c r="F146" s="66">
        <f>Intermediate!P150</f>
        <v>0</v>
      </c>
      <c r="G146" s="18">
        <f>G145+(G148-G136)/12</f>
        <v>2297.0833334333347</v>
      </c>
      <c r="H146" s="36">
        <v>148.02496339899133</v>
      </c>
      <c r="I146" s="111">
        <v>320</v>
      </c>
      <c r="J146" s="18">
        <v>1</v>
      </c>
      <c r="K146" s="18">
        <f t="shared" si="6"/>
        <v>2304296.4210422561</v>
      </c>
      <c r="L146" s="210"/>
      <c r="M146" s="212"/>
    </row>
    <row r="147" spans="1:13" x14ac:dyDescent="0.2">
      <c r="A147" s="3">
        <v>41760</v>
      </c>
      <c r="B147" s="65">
        <f>'[13]Data Input'!B225</f>
        <v>2100684.62</v>
      </c>
      <c r="C147" s="115">
        <f t="shared" si="5"/>
        <v>248.03846153846155</v>
      </c>
      <c r="D147" s="115">
        <f t="shared" si="5"/>
        <v>2.4615384615384617</v>
      </c>
      <c r="E147" s="18">
        <v>31</v>
      </c>
      <c r="F147" s="66">
        <f>Intermediate!P151</f>
        <v>0</v>
      </c>
      <c r="G147" s="18">
        <f>G146+(G148-G136)/12</f>
        <v>2296.7916667666682</v>
      </c>
      <c r="H147" s="36">
        <v>148.35396772288814</v>
      </c>
      <c r="I147" s="111">
        <v>336</v>
      </c>
      <c r="J147" s="18">
        <v>1</v>
      </c>
      <c r="K147" s="18">
        <f t="shared" si="6"/>
        <v>2252759.9555683974</v>
      </c>
      <c r="L147" s="210"/>
      <c r="M147" s="212"/>
    </row>
    <row r="148" spans="1:13" x14ac:dyDescent="0.2">
      <c r="A148" s="3">
        <v>41791</v>
      </c>
      <c r="B148" s="65">
        <f>'[13]Data Input'!B226</f>
        <v>1992407.69</v>
      </c>
      <c r="C148" s="115">
        <f t="shared" si="5"/>
        <v>88.34615384615384</v>
      </c>
      <c r="D148" s="115">
        <f t="shared" si="5"/>
        <v>12.253846153846153</v>
      </c>
      <c r="E148" s="18">
        <v>30</v>
      </c>
      <c r="F148" s="66">
        <f>Intermediate!P152</f>
        <v>0</v>
      </c>
      <c r="G148" s="18">
        <f>'Rate Class Customer Model'!G14</f>
        <v>2296.5000000999999</v>
      </c>
      <c r="H148" s="36">
        <v>148.68370330077519</v>
      </c>
      <c r="I148" s="111">
        <v>336</v>
      </c>
      <c r="J148" s="18">
        <v>0</v>
      </c>
      <c r="K148" s="18">
        <f t="shared" si="6"/>
        <v>2079256.2727089114</v>
      </c>
      <c r="L148" s="210"/>
      <c r="M148" s="212"/>
    </row>
    <row r="149" spans="1:13" x14ac:dyDescent="0.2">
      <c r="A149" s="3">
        <v>41821</v>
      </c>
      <c r="B149" s="65">
        <f>'[13]Data Input'!B227</f>
        <v>1907330.77</v>
      </c>
      <c r="C149" s="115">
        <f t="shared" si="5"/>
        <v>33.746153846153845</v>
      </c>
      <c r="D149" s="115">
        <f t="shared" si="5"/>
        <v>41.638461538461542</v>
      </c>
      <c r="E149" s="18">
        <v>31</v>
      </c>
      <c r="F149" s="66">
        <f>Intermediate!P153</f>
        <v>0</v>
      </c>
      <c r="G149" s="18">
        <f>G148+(G160-G148)/12</f>
        <v>2295.5833334333333</v>
      </c>
      <c r="H149" s="36">
        <v>149.0141717579576</v>
      </c>
      <c r="I149" s="111">
        <v>352</v>
      </c>
      <c r="J149" s="18">
        <v>0</v>
      </c>
      <c r="K149" s="18">
        <f t="shared" si="6"/>
        <v>2214107.3650056031</v>
      </c>
      <c r="L149" s="210"/>
      <c r="M149" s="212"/>
    </row>
    <row r="150" spans="1:13" x14ac:dyDescent="0.2">
      <c r="A150" s="3">
        <v>41852</v>
      </c>
      <c r="B150" s="65">
        <f>'[13]Data Input'!B228</f>
        <v>1759069.23</v>
      </c>
      <c r="C150" s="115">
        <f t="shared" si="5"/>
        <v>60.553846153846166</v>
      </c>
      <c r="D150" s="115">
        <f t="shared" si="5"/>
        <v>30.238461538461539</v>
      </c>
      <c r="E150" s="18">
        <v>31</v>
      </c>
      <c r="F150" s="66">
        <f>Intermediate!P154</f>
        <v>0</v>
      </c>
      <c r="G150" s="18">
        <f>G149+(G160-G148)/12</f>
        <v>2294.6666667666668</v>
      </c>
      <c r="H150" s="36">
        <v>149.34537472335285</v>
      </c>
      <c r="I150" s="111">
        <v>320</v>
      </c>
      <c r="J150" s="18">
        <v>0</v>
      </c>
      <c r="K150" s="18">
        <f t="shared" si="6"/>
        <v>2206350.6727479408</v>
      </c>
      <c r="L150" s="210"/>
      <c r="M150" s="212"/>
    </row>
    <row r="151" spans="1:13" x14ac:dyDescent="0.2">
      <c r="A151" s="3">
        <v>41883</v>
      </c>
      <c r="B151" s="65">
        <f>'[13]Data Input'!B229</f>
        <v>1616430.77</v>
      </c>
      <c r="C151" s="115">
        <f t="shared" si="5"/>
        <v>165.12307692307692</v>
      </c>
      <c r="D151" s="115">
        <f t="shared" si="5"/>
        <v>8.3461538461538485</v>
      </c>
      <c r="E151" s="18">
        <v>30</v>
      </c>
      <c r="F151" s="66">
        <f>Intermediate!P155</f>
        <v>0</v>
      </c>
      <c r="G151" s="18">
        <f>G150+(G160-G148)/12</f>
        <v>2293.7500001000003</v>
      </c>
      <c r="H151" s="36">
        <v>149.67731382949896</v>
      </c>
      <c r="I151" s="111">
        <v>336</v>
      </c>
      <c r="J151" s="18">
        <v>1</v>
      </c>
      <c r="K151" s="18">
        <f t="shared" si="6"/>
        <v>2141738.1607009862</v>
      </c>
      <c r="L151" s="210"/>
      <c r="M151" s="212"/>
    </row>
    <row r="152" spans="1:13" x14ac:dyDescent="0.2">
      <c r="A152" s="3">
        <v>41913</v>
      </c>
      <c r="B152" s="65">
        <f>'[13]Data Input'!B230</f>
        <v>1859369.23</v>
      </c>
      <c r="C152" s="115">
        <f t="shared" ref="C152:D167" si="7">C140</f>
        <v>385.59230769230766</v>
      </c>
      <c r="D152" s="115">
        <f t="shared" si="7"/>
        <v>1.1076923076923075</v>
      </c>
      <c r="E152" s="18">
        <v>31</v>
      </c>
      <c r="F152" s="66">
        <f>Intermediate!P156</f>
        <v>0</v>
      </c>
      <c r="G152" s="18">
        <f>G151+(G160-G148)/12</f>
        <v>2292.8333334333338</v>
      </c>
      <c r="H152" s="36">
        <v>150.00999071256246</v>
      </c>
      <c r="I152" s="111">
        <v>352</v>
      </c>
      <c r="J152" s="18">
        <v>1</v>
      </c>
      <c r="K152" s="18">
        <f t="shared" si="6"/>
        <v>2385146.7431855425</v>
      </c>
      <c r="L152" s="210"/>
      <c r="M152" s="212"/>
    </row>
    <row r="153" spans="1:13" x14ac:dyDescent="0.2">
      <c r="A153" s="3">
        <v>41944</v>
      </c>
      <c r="B153" s="65">
        <f>'[13]Data Input'!B231</f>
        <v>2415630.77</v>
      </c>
      <c r="C153" s="115">
        <f t="shared" si="7"/>
        <v>611.06923076923078</v>
      </c>
      <c r="D153" s="115">
        <f t="shared" si="7"/>
        <v>0</v>
      </c>
      <c r="E153" s="18">
        <v>30</v>
      </c>
      <c r="F153" s="66">
        <f>Intermediate!P157</f>
        <v>0</v>
      </c>
      <c r="G153" s="18">
        <f>G152+(G160-G148)/12</f>
        <v>2291.9166667666673</v>
      </c>
      <c r="H153" s="36">
        <v>150.34340701234646</v>
      </c>
      <c r="I153" s="111">
        <v>304</v>
      </c>
      <c r="J153" s="18">
        <v>1</v>
      </c>
      <c r="K153" s="18">
        <f t="shared" si="6"/>
        <v>2476157.6209440697</v>
      </c>
      <c r="L153" s="210"/>
      <c r="M153" s="212"/>
    </row>
    <row r="154" spans="1:13" x14ac:dyDescent="0.2">
      <c r="A154" s="3">
        <v>41974</v>
      </c>
      <c r="B154" s="65">
        <f>'[13]Data Input'!B232</f>
        <v>2504000</v>
      </c>
      <c r="C154" s="115">
        <f t="shared" si="7"/>
        <v>895.80769230769226</v>
      </c>
      <c r="D154" s="115">
        <f t="shared" si="7"/>
        <v>0</v>
      </c>
      <c r="E154" s="18">
        <v>31</v>
      </c>
      <c r="F154" s="66">
        <f>Intermediate!P158</f>
        <v>0</v>
      </c>
      <c r="G154" s="18">
        <f>G153+(G160-G148)/12</f>
        <v>2291.0000001000008</v>
      </c>
      <c r="H154" s="36">
        <v>150.67756437229883</v>
      </c>
      <c r="I154" s="111">
        <v>336</v>
      </c>
      <c r="J154" s="18">
        <v>0</v>
      </c>
      <c r="K154" s="18">
        <f t="shared" si="6"/>
        <v>2791171.697959329</v>
      </c>
      <c r="L154" s="210"/>
      <c r="M154" s="212"/>
    </row>
    <row r="155" spans="1:13" x14ac:dyDescent="0.2">
      <c r="A155" s="3">
        <v>42005</v>
      </c>
      <c r="B155" s="65">
        <f>'[13]Data Input'!B233</f>
        <v>2799215.38</v>
      </c>
      <c r="C155" s="115">
        <f t="shared" si="7"/>
        <v>1023.9615384615383</v>
      </c>
      <c r="D155" s="115">
        <f t="shared" si="7"/>
        <v>0</v>
      </c>
      <c r="E155" s="18">
        <v>31</v>
      </c>
      <c r="F155" s="66">
        <f>Intermediate!P159</f>
        <v>0</v>
      </c>
      <c r="G155" s="18">
        <f>G154+(G160-G148)/12</f>
        <v>2290.0833334333342</v>
      </c>
      <c r="H155" s="36">
        <v>150.98793548444445</v>
      </c>
      <c r="I155" s="111">
        <v>336</v>
      </c>
      <c r="J155" s="18">
        <v>0</v>
      </c>
      <c r="K155" s="18">
        <f t="shared" si="6"/>
        <v>2895388.8922659149</v>
      </c>
      <c r="L155" s="210"/>
      <c r="M155" s="212"/>
    </row>
    <row r="156" spans="1:13" x14ac:dyDescent="0.2">
      <c r="A156" s="3">
        <v>42036</v>
      </c>
      <c r="B156" s="65">
        <f>'[13]Data Input'!B234</f>
        <v>3184223.08</v>
      </c>
      <c r="C156" s="115">
        <f t="shared" si="7"/>
        <v>919.36153846153866</v>
      </c>
      <c r="D156" s="115">
        <f t="shared" si="7"/>
        <v>0</v>
      </c>
      <c r="E156" s="18">
        <v>28</v>
      </c>
      <c r="F156" s="66">
        <f>Intermediate!P160</f>
        <v>0</v>
      </c>
      <c r="G156" s="18">
        <f>G155+(G160-G148)/12</f>
        <v>2289.1666667666677</v>
      </c>
      <c r="H156" s="36">
        <v>151.298945910264</v>
      </c>
      <c r="I156" s="111">
        <v>304</v>
      </c>
      <c r="J156" s="18">
        <v>0</v>
      </c>
      <c r="K156" s="18">
        <f t="shared" si="6"/>
        <v>2555770.3957581976</v>
      </c>
      <c r="L156" s="210"/>
      <c r="M156" s="212"/>
    </row>
    <row r="157" spans="1:13" x14ac:dyDescent="0.2">
      <c r="A157" s="3">
        <v>42064</v>
      </c>
      <c r="B157" s="65">
        <f>'[13]Data Input'!B235</f>
        <v>3085284.62</v>
      </c>
      <c r="C157" s="115">
        <f t="shared" si="7"/>
        <v>729.98461538461538</v>
      </c>
      <c r="D157" s="115">
        <f t="shared" si="7"/>
        <v>0</v>
      </c>
      <c r="E157" s="18">
        <v>31</v>
      </c>
      <c r="F157" s="66">
        <f>Intermediate!P161</f>
        <v>0</v>
      </c>
      <c r="G157" s="18">
        <f>G156+(G160-G148)/12</f>
        <v>2288.2500001000012</v>
      </c>
      <c r="H157" s="36">
        <v>151.61059696663892</v>
      </c>
      <c r="I157" s="111">
        <v>352</v>
      </c>
      <c r="J157" s="18">
        <v>1</v>
      </c>
      <c r="K157" s="18">
        <f t="shared" si="6"/>
        <v>2672583.0709311282</v>
      </c>
      <c r="L157" s="210"/>
      <c r="M157" s="212"/>
    </row>
    <row r="158" spans="1:13" x14ac:dyDescent="0.2">
      <c r="A158" s="3">
        <v>42095</v>
      </c>
      <c r="B158" s="65">
        <f>'[13]Data Input'!B236</f>
        <v>2788138.46</v>
      </c>
      <c r="C158" s="115">
        <f t="shared" si="7"/>
        <v>447.0846153846154</v>
      </c>
      <c r="D158" s="115">
        <f t="shared" si="7"/>
        <v>0</v>
      </c>
      <c r="E158" s="18">
        <v>30</v>
      </c>
      <c r="F158" s="66">
        <f>Intermediate!P162</f>
        <v>0</v>
      </c>
      <c r="G158" s="18">
        <f>G157+(G160-G148)/12</f>
        <v>2287.3333334333347</v>
      </c>
      <c r="H158" s="36">
        <v>151.92288997316331</v>
      </c>
      <c r="I158" s="111">
        <v>336</v>
      </c>
      <c r="J158" s="18">
        <v>1</v>
      </c>
      <c r="K158" s="18">
        <f t="shared" si="6"/>
        <v>2367547.1870906726</v>
      </c>
      <c r="L158" s="210"/>
      <c r="M158" s="212"/>
    </row>
    <row r="159" spans="1:13" x14ac:dyDescent="0.2">
      <c r="A159" s="3">
        <v>42125</v>
      </c>
      <c r="B159" s="65">
        <f>'[13]Data Input'!B237</f>
        <v>2839484.62</v>
      </c>
      <c r="C159" s="115">
        <f t="shared" si="7"/>
        <v>248.03846153846155</v>
      </c>
      <c r="D159" s="115">
        <f t="shared" si="7"/>
        <v>2.4615384615384617</v>
      </c>
      <c r="E159" s="18">
        <v>31</v>
      </c>
      <c r="F159" s="66">
        <f>Intermediate!P163</f>
        <v>0</v>
      </c>
      <c r="G159" s="18">
        <f>G158+(G160-G148)/12</f>
        <v>2286.4166667666682</v>
      </c>
      <c r="H159" s="36">
        <v>152.23582625214937</v>
      </c>
      <c r="I159" s="111">
        <v>320</v>
      </c>
      <c r="J159" s="18">
        <v>1</v>
      </c>
      <c r="K159" s="18">
        <f t="shared" si="6"/>
        <v>2309746.4434657237</v>
      </c>
      <c r="L159" s="210"/>
      <c r="M159" s="212"/>
    </row>
    <row r="160" spans="1:13" x14ac:dyDescent="0.2">
      <c r="A160" s="3">
        <v>42156</v>
      </c>
      <c r="B160" s="65">
        <f>'[13]Data Input'!B238</f>
        <v>2589715.38</v>
      </c>
      <c r="C160" s="115">
        <f t="shared" si="7"/>
        <v>88.34615384615384</v>
      </c>
      <c r="D160" s="115">
        <f t="shared" si="7"/>
        <v>12.253846153846153</v>
      </c>
      <c r="E160" s="18">
        <v>30</v>
      </c>
      <c r="F160" s="66">
        <f>Intermediate!P164</f>
        <v>0</v>
      </c>
      <c r="G160" s="18">
        <f>'Rate Class Customer Model'!G15</f>
        <v>2285.5000000999999</v>
      </c>
      <c r="H160" s="36">
        <v>152.54940712863302</v>
      </c>
      <c r="I160" s="111">
        <v>352</v>
      </c>
      <c r="J160" s="18">
        <v>0</v>
      </c>
      <c r="K160" s="18">
        <f t="shared" si="6"/>
        <v>2129975.1200101152</v>
      </c>
      <c r="L160" s="210"/>
      <c r="M160" s="212"/>
    </row>
    <row r="161" spans="1:13" x14ac:dyDescent="0.2">
      <c r="A161" s="3">
        <v>42186</v>
      </c>
      <c r="B161" s="65">
        <f>'[13]Data Input'!B239</f>
        <v>2779461.54</v>
      </c>
      <c r="C161" s="115">
        <f t="shared" si="7"/>
        <v>33.746153846153845</v>
      </c>
      <c r="D161" s="115">
        <f t="shared" si="7"/>
        <v>41.638461538461542</v>
      </c>
      <c r="E161" s="18">
        <v>31</v>
      </c>
      <c r="F161" s="66">
        <f>Intermediate!P165</f>
        <v>0</v>
      </c>
      <c r="G161" s="18">
        <f>G160+(G172-G160)/12</f>
        <v>2284.2442747618556</v>
      </c>
      <c r="H161" s="36">
        <v>152.86363393037959</v>
      </c>
      <c r="I161" s="111">
        <v>352</v>
      </c>
      <c r="J161" s="18">
        <v>0</v>
      </c>
      <c r="K161" s="18">
        <f t="shared" si="6"/>
        <v>2261135.9009771151</v>
      </c>
      <c r="L161" s="210"/>
      <c r="M161" s="212"/>
    </row>
    <row r="162" spans="1:13" x14ac:dyDescent="0.2">
      <c r="A162" s="3">
        <v>42217</v>
      </c>
      <c r="B162" s="65">
        <f>'[13]Data Input'!B240</f>
        <v>2450792.31</v>
      </c>
      <c r="C162" s="115">
        <f t="shared" si="7"/>
        <v>60.553846153846166</v>
      </c>
      <c r="D162" s="115">
        <f t="shared" si="7"/>
        <v>30.238461538461539</v>
      </c>
      <c r="E162" s="18">
        <v>31</v>
      </c>
      <c r="F162" s="66">
        <f>Intermediate!P166</f>
        <v>0</v>
      </c>
      <c r="G162" s="18">
        <f>G161+(G172-G160)/12</f>
        <v>2282.9885494237114</v>
      </c>
      <c r="H162" s="36">
        <v>153.17850798788936</v>
      </c>
      <c r="I162" s="111">
        <v>320</v>
      </c>
      <c r="J162" s="18">
        <v>0</v>
      </c>
      <c r="K162" s="18">
        <f t="shared" si="6"/>
        <v>2249685.5118204048</v>
      </c>
      <c r="L162" s="210"/>
      <c r="M162" s="212"/>
    </row>
    <row r="163" spans="1:13" x14ac:dyDescent="0.2">
      <c r="A163" s="3">
        <v>42248</v>
      </c>
      <c r="B163" s="65">
        <f>'[13]Data Input'!B241</f>
        <v>2722200</v>
      </c>
      <c r="C163" s="115">
        <f t="shared" si="7"/>
        <v>165.12307692307692</v>
      </c>
      <c r="D163" s="115">
        <f t="shared" si="7"/>
        <v>8.3461538461538485</v>
      </c>
      <c r="E163" s="18">
        <v>30</v>
      </c>
      <c r="F163" s="66">
        <f>Intermediate!P167</f>
        <v>0</v>
      </c>
      <c r="G163" s="18">
        <f>G162+(G172-G160)/12</f>
        <v>2281.7328240855672</v>
      </c>
      <c r="H163" s="36">
        <v>153.4940306344032</v>
      </c>
      <c r="I163" s="111">
        <v>336</v>
      </c>
      <c r="J163" s="18">
        <v>1</v>
      </c>
      <c r="K163" s="18">
        <f t="shared" si="6"/>
        <v>2181375.9056917187</v>
      </c>
      <c r="L163" s="210"/>
      <c r="M163" s="212"/>
    </row>
    <row r="164" spans="1:13" x14ac:dyDescent="0.2">
      <c r="A164" s="3">
        <v>42278</v>
      </c>
      <c r="B164" s="65">
        <f>'[13]Data Input'!B242</f>
        <v>3269292.31</v>
      </c>
      <c r="C164" s="115">
        <f t="shared" si="7"/>
        <v>385.59230769230766</v>
      </c>
      <c r="D164" s="115">
        <f t="shared" si="7"/>
        <v>1.1076923076923075</v>
      </c>
      <c r="E164" s="18">
        <v>31</v>
      </c>
      <c r="F164" s="66">
        <f>Intermediate!P168</f>
        <v>0</v>
      </c>
      <c r="G164" s="18">
        <f>G163+(G172-G160)/12</f>
        <v>2280.477098747423</v>
      </c>
      <c r="H164" s="36">
        <v>153.81020320590829</v>
      </c>
      <c r="I164" s="111">
        <v>336</v>
      </c>
      <c r="J164" s="18">
        <v>1</v>
      </c>
      <c r="K164" s="18">
        <f t="shared" si="6"/>
        <v>2421083.9852643022</v>
      </c>
      <c r="L164" s="210"/>
      <c r="M164" s="212"/>
    </row>
    <row r="165" spans="1:13" x14ac:dyDescent="0.2">
      <c r="A165" s="3">
        <v>42309</v>
      </c>
      <c r="B165" s="65">
        <f>'[13]Data Input'!B243</f>
        <v>2988930.77</v>
      </c>
      <c r="C165" s="115">
        <f t="shared" si="7"/>
        <v>611.06923076923078</v>
      </c>
      <c r="D165" s="115">
        <f t="shared" si="7"/>
        <v>0</v>
      </c>
      <c r="E165" s="18">
        <v>30</v>
      </c>
      <c r="F165" s="66">
        <f>Intermediate!P169</f>
        <v>0</v>
      </c>
      <c r="G165" s="18">
        <f>G164+(G172-G160)/12</f>
        <v>2279.2213734092788</v>
      </c>
      <c r="H165" s="36">
        <v>154.12702704114372</v>
      </c>
      <c r="I165" s="111">
        <v>320</v>
      </c>
      <c r="J165" s="18">
        <v>1</v>
      </c>
      <c r="K165" s="18">
        <f t="shared" si="6"/>
        <v>2508390.9395987289</v>
      </c>
      <c r="L165" s="210"/>
      <c r="M165" s="212"/>
    </row>
    <row r="166" spans="1:13" x14ac:dyDescent="0.2">
      <c r="A166" s="3">
        <v>42339</v>
      </c>
      <c r="B166" s="65">
        <f>'[13]Data Input'!B244</f>
        <v>3309930.77</v>
      </c>
      <c r="C166" s="115">
        <f t="shared" si="7"/>
        <v>895.80769230769226</v>
      </c>
      <c r="D166" s="115">
        <f t="shared" si="7"/>
        <v>0</v>
      </c>
      <c r="E166" s="18">
        <v>31</v>
      </c>
      <c r="F166" s="66">
        <f>Intermediate!P170</f>
        <v>0</v>
      </c>
      <c r="G166" s="18">
        <f>G165+(G172-G160)/12</f>
        <v>2277.9656480711346</v>
      </c>
      <c r="H166" s="36">
        <v>154.44450348160629</v>
      </c>
      <c r="I166" s="111">
        <v>352</v>
      </c>
      <c r="J166" s="18">
        <v>0</v>
      </c>
      <c r="K166" s="18">
        <f t="shared" si="6"/>
        <v>2819697.6609614519</v>
      </c>
      <c r="L166" s="210"/>
      <c r="M166" s="212"/>
    </row>
    <row r="167" spans="1:13" x14ac:dyDescent="0.2">
      <c r="A167" s="3">
        <v>42370</v>
      </c>
      <c r="C167" s="115">
        <f t="shared" si="7"/>
        <v>1023.9615384615383</v>
      </c>
      <c r="D167" s="115">
        <f t="shared" si="7"/>
        <v>0</v>
      </c>
      <c r="E167" s="18">
        <v>31</v>
      </c>
      <c r="F167" s="66">
        <f>Intermediate!P171</f>
        <v>0</v>
      </c>
      <c r="G167" s="18">
        <f>G166+(G172-G160)/12</f>
        <v>2276.7099227329904</v>
      </c>
      <c r="H167" s="36">
        <v>154.72483615659849</v>
      </c>
      <c r="I167" s="111">
        <v>320</v>
      </c>
      <c r="J167" s="18">
        <v>0</v>
      </c>
      <c r="K167" s="18">
        <f t="shared" si="6"/>
        <v>2919689.2012449764</v>
      </c>
      <c r="L167"/>
      <c r="M167" s="212"/>
    </row>
    <row r="168" spans="1:13" x14ac:dyDescent="0.2">
      <c r="A168" s="3">
        <v>42401</v>
      </c>
      <c r="C168" s="115">
        <f>C156</f>
        <v>919.36153846153866</v>
      </c>
      <c r="D168" s="115">
        <f>D156</f>
        <v>0</v>
      </c>
      <c r="E168" s="18">
        <v>29</v>
      </c>
      <c r="F168" s="66">
        <f>Intermediate!P172</f>
        <v>0</v>
      </c>
      <c r="G168" s="18">
        <f>G167+(G172-G160)/12</f>
        <v>2275.4541973948462</v>
      </c>
      <c r="H168" s="36">
        <v>155.00567766425806</v>
      </c>
      <c r="I168" s="111">
        <v>320</v>
      </c>
      <c r="J168" s="18">
        <v>0</v>
      </c>
      <c r="K168" s="18">
        <f t="shared" si="6"/>
        <v>2662982.4398995563</v>
      </c>
      <c r="L168"/>
      <c r="M168" s="14"/>
    </row>
    <row r="169" spans="1:13" x14ac:dyDescent="0.2">
      <c r="A169" s="3">
        <v>42430</v>
      </c>
      <c r="C169" s="115">
        <f t="shared" ref="C169:D190" si="8">C157</f>
        <v>729.98461538461538</v>
      </c>
      <c r="D169" s="115">
        <f t="shared" si="8"/>
        <v>0</v>
      </c>
      <c r="E169" s="18">
        <v>31</v>
      </c>
      <c r="F169" s="66">
        <f>Intermediate!P173</f>
        <v>0</v>
      </c>
      <c r="G169" s="18">
        <f>G168+(G172-G160)/12</f>
        <v>2274.198472056702</v>
      </c>
      <c r="H169" s="36">
        <v>155.2870289281687</v>
      </c>
      <c r="I169" s="111">
        <v>352</v>
      </c>
      <c r="J169" s="18">
        <v>1</v>
      </c>
      <c r="K169" s="18">
        <f t="shared" si="6"/>
        <v>2688416.8678321531</v>
      </c>
      <c r="L169"/>
      <c r="M169" s="14"/>
    </row>
    <row r="170" spans="1:13" x14ac:dyDescent="0.2">
      <c r="A170" s="3">
        <v>42461</v>
      </c>
      <c r="C170" s="115">
        <f t="shared" si="8"/>
        <v>447.0846153846154</v>
      </c>
      <c r="D170" s="115">
        <f t="shared" si="8"/>
        <v>0</v>
      </c>
      <c r="E170" s="18">
        <v>30</v>
      </c>
      <c r="F170" s="66">
        <f>Intermediate!P174</f>
        <v>0</v>
      </c>
      <c r="G170" s="18">
        <f>G169+(G172-G160)/12</f>
        <v>2272.9427467185578</v>
      </c>
      <c r="H170" s="36">
        <v>155.56889087359048</v>
      </c>
      <c r="I170" s="111">
        <v>336</v>
      </c>
      <c r="J170" s="18">
        <v>1</v>
      </c>
      <c r="K170" s="18">
        <f t="shared" si="6"/>
        <v>2379140.0953750378</v>
      </c>
      <c r="L170"/>
      <c r="M170" s="14"/>
    </row>
    <row r="171" spans="1:13" x14ac:dyDescent="0.2">
      <c r="A171" s="3">
        <v>42491</v>
      </c>
      <c r="C171" s="115">
        <f t="shared" si="8"/>
        <v>248.03846153846155</v>
      </c>
      <c r="D171" s="115">
        <f t="shared" si="8"/>
        <v>2.4615384615384617</v>
      </c>
      <c r="E171" s="18">
        <v>31</v>
      </c>
      <c r="F171" s="66">
        <f>Intermediate!P175</f>
        <v>0</v>
      </c>
      <c r="G171" s="18">
        <f>G170+(G172-G160)/12</f>
        <v>2271.6870213804136</v>
      </c>
      <c r="H171" s="36">
        <v>155.85126442746289</v>
      </c>
      <c r="I171" s="111">
        <v>336</v>
      </c>
      <c r="J171" s="18">
        <v>1</v>
      </c>
      <c r="K171" s="18">
        <f t="shared" si="6"/>
        <v>2317093.3543067668</v>
      </c>
      <c r="L171"/>
      <c r="M171" s="14"/>
    </row>
    <row r="172" spans="1:13" x14ac:dyDescent="0.2">
      <c r="A172" s="3">
        <v>42522</v>
      </c>
      <c r="C172" s="115">
        <f t="shared" si="8"/>
        <v>88.34615384615384</v>
      </c>
      <c r="D172" s="115">
        <f t="shared" si="8"/>
        <v>12.253846153846153</v>
      </c>
      <c r="E172" s="18">
        <v>30</v>
      </c>
      <c r="F172" s="66">
        <f>Intermediate!P176</f>
        <v>0</v>
      </c>
      <c r="G172" s="18">
        <f>'Rate Class Customer Model'!G16</f>
        <v>2270.4312960422712</v>
      </c>
      <c r="H172" s="36">
        <v>156.13415051840798</v>
      </c>
      <c r="I172" s="111">
        <v>352</v>
      </c>
      <c r="J172" s="18">
        <v>0</v>
      </c>
      <c r="K172" s="18">
        <f t="shared" si="6"/>
        <v>2133070.9091995563</v>
      </c>
      <c r="L172"/>
      <c r="M172" s="14"/>
    </row>
    <row r="173" spans="1:13" x14ac:dyDescent="0.2">
      <c r="A173" s="3">
        <v>42552</v>
      </c>
      <c r="C173" s="115">
        <f t="shared" si="8"/>
        <v>33.746153846153845</v>
      </c>
      <c r="D173" s="115">
        <f t="shared" si="8"/>
        <v>41.638461538461542</v>
      </c>
      <c r="E173" s="18">
        <v>31</v>
      </c>
      <c r="F173" s="66">
        <f>Intermediate!P177</f>
        <v>0</v>
      </c>
      <c r="G173" s="18">
        <f>G172+($G$184-$G$172)/12</f>
        <v>2269.5569146469643</v>
      </c>
      <c r="H173" s="36">
        <v>156.41755007673331</v>
      </c>
      <c r="I173" s="111">
        <v>320</v>
      </c>
      <c r="J173" s="18">
        <v>0</v>
      </c>
      <c r="K173" s="18">
        <f t="shared" si="6"/>
        <v>2266477.2710016333</v>
      </c>
      <c r="L173"/>
      <c r="M173" s="14"/>
    </row>
    <row r="174" spans="1:13" x14ac:dyDescent="0.2">
      <c r="A174" s="3">
        <v>42583</v>
      </c>
      <c r="C174" s="115">
        <f t="shared" si="8"/>
        <v>60.553846153846166</v>
      </c>
      <c r="D174" s="115">
        <f t="shared" si="8"/>
        <v>30.238461538461539</v>
      </c>
      <c r="E174" s="18">
        <v>31</v>
      </c>
      <c r="F174" s="66">
        <f>Intermediate!P178</f>
        <v>0</v>
      </c>
      <c r="G174" s="18">
        <f>G173+(G184-G172)/12</f>
        <v>2268.6825332516573</v>
      </c>
      <c r="H174" s="36">
        <v>156.70146403443502</v>
      </c>
      <c r="I174" s="111">
        <v>352</v>
      </c>
      <c r="J174" s="18">
        <v>0</v>
      </c>
      <c r="K174" s="18">
        <f t="shared" si="6"/>
        <v>2257267.3075867705</v>
      </c>
      <c r="L174"/>
      <c r="M174" s="14"/>
    </row>
    <row r="175" spans="1:13" x14ac:dyDescent="0.2">
      <c r="A175" s="3">
        <v>42614</v>
      </c>
      <c r="C175" s="115">
        <f t="shared" si="8"/>
        <v>165.12307692307692</v>
      </c>
      <c r="D175" s="115">
        <f t="shared" si="8"/>
        <v>8.3461538461538485</v>
      </c>
      <c r="E175" s="18">
        <v>30</v>
      </c>
      <c r="F175" s="66">
        <f>Intermediate!P179</f>
        <v>0</v>
      </c>
      <c r="G175" s="18">
        <f>G174+(G184-G172)/12</f>
        <v>2267.8081518563504</v>
      </c>
      <c r="H175" s="36">
        <v>156.98589332520095</v>
      </c>
      <c r="I175" s="111">
        <v>336</v>
      </c>
      <c r="J175" s="18">
        <v>1</v>
      </c>
      <c r="K175" s="18">
        <f t="shared" si="6"/>
        <v>2191192.956603257</v>
      </c>
      <c r="L175"/>
      <c r="M175" s="14"/>
    </row>
    <row r="176" spans="1:13" x14ac:dyDescent="0.2">
      <c r="A176" s="3">
        <v>42644</v>
      </c>
      <c r="C176" s="115">
        <f t="shared" si="8"/>
        <v>385.59230769230766</v>
      </c>
      <c r="D176" s="115">
        <f t="shared" si="8"/>
        <v>1.1076923076923075</v>
      </c>
      <c r="E176" s="18">
        <v>31</v>
      </c>
      <c r="F176" s="66">
        <f>Intermediate!P180</f>
        <v>0</v>
      </c>
      <c r="G176" s="18">
        <f>G175+(G184-G172)/12</f>
        <v>2266.9337704610434</v>
      </c>
      <c r="H176" s="36">
        <v>157.27083888441365</v>
      </c>
      <c r="I176" s="111">
        <v>320</v>
      </c>
      <c r="J176" s="18">
        <v>1</v>
      </c>
      <c r="K176" s="18">
        <f t="shared" si="6"/>
        <v>2433131.1051800717</v>
      </c>
      <c r="L176"/>
      <c r="M176" s="14"/>
    </row>
    <row r="177" spans="1:13" x14ac:dyDescent="0.2">
      <c r="A177" s="3">
        <v>42675</v>
      </c>
      <c r="C177" s="115">
        <f t="shared" si="8"/>
        <v>611.06923076923078</v>
      </c>
      <c r="D177" s="115">
        <f t="shared" si="8"/>
        <v>0</v>
      </c>
      <c r="E177" s="18">
        <v>30</v>
      </c>
      <c r="F177" s="66">
        <f>Intermediate!P181</f>
        <v>0</v>
      </c>
      <c r="G177" s="18">
        <f>G176+(G184-G172)/12</f>
        <v>2266.0593890657365</v>
      </c>
      <c r="H177" s="36">
        <v>157.55630164915351</v>
      </c>
      <c r="I177" s="111">
        <v>336</v>
      </c>
      <c r="J177" s="18">
        <v>1</v>
      </c>
      <c r="K177" s="18">
        <f t="shared" si="6"/>
        <v>2522662.92679263</v>
      </c>
      <c r="L177"/>
      <c r="M177" s="14"/>
    </row>
    <row r="178" spans="1:13" x14ac:dyDescent="0.2">
      <c r="A178" s="3">
        <v>42705</v>
      </c>
      <c r="C178" s="115">
        <f t="shared" si="8"/>
        <v>895.80769230769226</v>
      </c>
      <c r="D178" s="115">
        <f t="shared" si="8"/>
        <v>0</v>
      </c>
      <c r="E178" s="18">
        <v>31</v>
      </c>
      <c r="F178" s="66">
        <f>Intermediate!P182</f>
        <v>0</v>
      </c>
      <c r="G178" s="18">
        <f>G177+(G184-G172)/12</f>
        <v>2265.1850076704295</v>
      </c>
      <c r="H178" s="36">
        <v>157.84228255820162</v>
      </c>
      <c r="I178" s="111">
        <v>336</v>
      </c>
      <c r="J178" s="18">
        <v>0</v>
      </c>
      <c r="K178" s="18">
        <f t="shared" si="6"/>
        <v>2836189.2980812108</v>
      </c>
      <c r="L178"/>
      <c r="M178" s="14"/>
    </row>
    <row r="179" spans="1:13" x14ac:dyDescent="0.2">
      <c r="A179" s="3">
        <v>42736</v>
      </c>
      <c r="C179" s="115">
        <f t="shared" si="8"/>
        <v>1023.9615384615383</v>
      </c>
      <c r="D179" s="115">
        <f t="shared" si="8"/>
        <v>0</v>
      </c>
      <c r="E179" s="18">
        <v>31</v>
      </c>
      <c r="F179" s="66">
        <f>Intermediate!P183</f>
        <v>0</v>
      </c>
      <c r="G179" s="18">
        <f>G178+(G184-G172)/12</f>
        <v>2264.3106262751226</v>
      </c>
      <c r="H179" s="36">
        <v>158.15454692394951</v>
      </c>
      <c r="I179" s="111">
        <v>336</v>
      </c>
      <c r="J179" s="18">
        <v>0</v>
      </c>
      <c r="K179" s="18">
        <f t="shared" si="6"/>
        <v>2940861.5912234737</v>
      </c>
      <c r="L179"/>
      <c r="M179" s="14"/>
    </row>
    <row r="180" spans="1:13" x14ac:dyDescent="0.2">
      <c r="A180" s="3">
        <v>42767</v>
      </c>
      <c r="C180" s="115">
        <f t="shared" si="8"/>
        <v>919.36153846153866</v>
      </c>
      <c r="D180" s="115">
        <f t="shared" si="8"/>
        <v>0</v>
      </c>
      <c r="E180" s="18">
        <v>28</v>
      </c>
      <c r="F180" s="66">
        <f>Intermediate!P184</f>
        <v>0</v>
      </c>
      <c r="G180" s="18">
        <f>G179+(G184-G172)/12</f>
        <v>2263.4362448798156</v>
      </c>
      <c r="H180" s="36">
        <v>158.46742905214063</v>
      </c>
      <c r="I180" s="111">
        <v>304</v>
      </c>
      <c r="J180" s="18">
        <v>0</v>
      </c>
      <c r="K180" s="18">
        <f t="shared" si="6"/>
        <v>2601697.3573206328</v>
      </c>
      <c r="L180"/>
      <c r="M180" s="14"/>
    </row>
    <row r="181" spans="1:13" x14ac:dyDescent="0.2">
      <c r="A181" s="3">
        <v>42795</v>
      </c>
      <c r="C181" s="115">
        <f t="shared" si="8"/>
        <v>729.98461538461538</v>
      </c>
      <c r="D181" s="115">
        <f t="shared" si="8"/>
        <v>0</v>
      </c>
      <c r="E181" s="18">
        <v>31</v>
      </c>
      <c r="F181" s="66">
        <f>Intermediate!P185</f>
        <v>0</v>
      </c>
      <c r="G181" s="18">
        <f>G180+(G184-G172)/12</f>
        <v>2262.5618634845086</v>
      </c>
      <c r="H181" s="36">
        <v>158.78093016491388</v>
      </c>
      <c r="I181" s="111">
        <v>368</v>
      </c>
      <c r="J181" s="18">
        <v>1</v>
      </c>
      <c r="K181" s="18">
        <f t="shared" si="6"/>
        <v>2718963.4551914325</v>
      </c>
      <c r="L181"/>
      <c r="M181" s="14"/>
    </row>
    <row r="182" spans="1:13" x14ac:dyDescent="0.2">
      <c r="A182" s="3">
        <v>42826</v>
      </c>
      <c r="C182" s="115">
        <f t="shared" si="8"/>
        <v>447.0846153846154</v>
      </c>
      <c r="D182" s="115">
        <f t="shared" si="8"/>
        <v>0</v>
      </c>
      <c r="E182" s="18">
        <v>30</v>
      </c>
      <c r="F182" s="66">
        <f>Intermediate!P186</f>
        <v>0</v>
      </c>
      <c r="G182" s="18">
        <f>G181+(G184-G172)/12</f>
        <v>2261.6874820892017</v>
      </c>
      <c r="H182" s="36">
        <v>159.09505148682601</v>
      </c>
      <c r="I182" s="111">
        <v>304</v>
      </c>
      <c r="J182" s="18">
        <v>1</v>
      </c>
      <c r="K182" s="18">
        <f t="shared" si="6"/>
        <v>2414380.1504542017</v>
      </c>
      <c r="L182"/>
      <c r="M182" s="14"/>
    </row>
    <row r="183" spans="1:13" x14ac:dyDescent="0.2">
      <c r="A183" s="3">
        <v>42856</v>
      </c>
      <c r="C183" s="115">
        <f t="shared" si="8"/>
        <v>248.03846153846155</v>
      </c>
      <c r="D183" s="115">
        <f t="shared" si="8"/>
        <v>2.4615384615384617</v>
      </c>
      <c r="E183" s="18">
        <v>31</v>
      </c>
      <c r="F183" s="66">
        <f>Intermediate!P187</f>
        <v>0</v>
      </c>
      <c r="G183" s="18">
        <f>G182+(G184-G172)/12</f>
        <v>2260.8131006938947</v>
      </c>
      <c r="H183" s="36">
        <v>159.4097942448563</v>
      </c>
      <c r="I183" s="111">
        <v>352</v>
      </c>
      <c r="J183" s="18">
        <v>1</v>
      </c>
      <c r="K183" s="18">
        <f t="shared" si="6"/>
        <v>2357031.1386387236</v>
      </c>
      <c r="L183"/>
      <c r="M183" s="14"/>
    </row>
    <row r="184" spans="1:13" x14ac:dyDescent="0.2">
      <c r="A184" s="3">
        <v>42887</v>
      </c>
      <c r="C184" s="115">
        <f t="shared" si="8"/>
        <v>88.34615384615384</v>
      </c>
      <c r="D184" s="115">
        <f t="shared" si="8"/>
        <v>12.253846153846153</v>
      </c>
      <c r="E184" s="18">
        <v>30</v>
      </c>
      <c r="F184" s="66">
        <f>Intermediate!P188</f>
        <v>0</v>
      </c>
      <c r="G184" s="18">
        <f>'Rate Class Customer Model'!G17</f>
        <v>2259.9387192985905</v>
      </c>
      <c r="H184" s="36">
        <v>159.72515966841141</v>
      </c>
      <c r="I184" s="111">
        <v>352</v>
      </c>
      <c r="J184" s="18">
        <v>0</v>
      </c>
      <c r="K184" s="18">
        <f t="shared" si="6"/>
        <v>2177710.6959882705</v>
      </c>
      <c r="L184"/>
      <c r="M184" s="14"/>
    </row>
    <row r="185" spans="1:13" x14ac:dyDescent="0.2">
      <c r="A185" s="3">
        <v>42917</v>
      </c>
      <c r="C185" s="115">
        <f t="shared" si="8"/>
        <v>33.746153846153845</v>
      </c>
      <c r="D185" s="115">
        <f t="shared" si="8"/>
        <v>41.638461538461542</v>
      </c>
      <c r="E185" s="18">
        <v>31</v>
      </c>
      <c r="F185" s="66">
        <f>Intermediate!P189</f>
        <v>0</v>
      </c>
      <c r="G185" s="18">
        <f>G184+($G$184-$G$172)/12</f>
        <v>2259.0643379032836</v>
      </c>
      <c r="H185" s="36">
        <v>160.0411489893302</v>
      </c>
      <c r="I185" s="111">
        <v>320</v>
      </c>
      <c r="J185" s="18">
        <v>0</v>
      </c>
      <c r="K185" s="18">
        <f t="shared" si="6"/>
        <v>2312381.6056856606</v>
      </c>
      <c r="L185"/>
      <c r="M185" s="14"/>
    </row>
    <row r="186" spans="1:13" x14ac:dyDescent="0.2">
      <c r="A186" s="3">
        <v>42948</v>
      </c>
      <c r="C186" s="115">
        <f t="shared" si="8"/>
        <v>60.553846153846166</v>
      </c>
      <c r="D186" s="115">
        <f t="shared" si="8"/>
        <v>30.238461538461539</v>
      </c>
      <c r="E186" s="18">
        <v>31</v>
      </c>
      <c r="F186" s="66">
        <f>Intermediate!P190</f>
        <v>0</v>
      </c>
      <c r="G186" s="18">
        <f t="shared" ref="G186:G190" si="9">G185+($G$184-$G$172)/12</f>
        <v>2258.1899565079766</v>
      </c>
      <c r="H186" s="36">
        <v>160.35776344188849</v>
      </c>
      <c r="I186" s="111">
        <v>352</v>
      </c>
      <c r="J186" s="18">
        <v>0</v>
      </c>
      <c r="K186" s="18">
        <f t="shared" si="6"/>
        <v>2304440.4867991367</v>
      </c>
      <c r="L186"/>
      <c r="M186" s="14"/>
    </row>
    <row r="187" spans="1:13" x14ac:dyDescent="0.2">
      <c r="A187" s="3">
        <v>42979</v>
      </c>
      <c r="C187" s="115">
        <f t="shared" si="8"/>
        <v>165.12307692307692</v>
      </c>
      <c r="D187" s="115">
        <f t="shared" si="8"/>
        <v>8.3461538461538485</v>
      </c>
      <c r="E187" s="18">
        <v>30</v>
      </c>
      <c r="F187" s="66">
        <f>Intermediate!P191</f>
        <v>0</v>
      </c>
      <c r="G187" s="18">
        <f t="shared" si="9"/>
        <v>2257.3155751126696</v>
      </c>
      <c r="H187" s="36">
        <v>160.67500426280395</v>
      </c>
      <c r="I187" s="111">
        <v>320</v>
      </c>
      <c r="J187" s="18">
        <v>1</v>
      </c>
      <c r="K187" s="18">
        <f t="shared" si="6"/>
        <v>2239639.2887351504</v>
      </c>
      <c r="L187"/>
      <c r="M187" s="14"/>
    </row>
    <row r="188" spans="1:13" x14ac:dyDescent="0.2">
      <c r="A188" s="3">
        <v>43009</v>
      </c>
      <c r="C188" s="115">
        <f t="shared" si="8"/>
        <v>385.59230769230766</v>
      </c>
      <c r="D188" s="115">
        <f t="shared" si="8"/>
        <v>1.1076923076923075</v>
      </c>
      <c r="E188" s="18">
        <v>31</v>
      </c>
      <c r="F188" s="66">
        <f>Intermediate!P192</f>
        <v>0</v>
      </c>
      <c r="G188" s="18">
        <f t="shared" si="9"/>
        <v>2256.4411937173627</v>
      </c>
      <c r="H188" s="36">
        <v>160.99287269124085</v>
      </c>
      <c r="I188" s="111">
        <v>336</v>
      </c>
      <c r="J188" s="18">
        <v>1</v>
      </c>
      <c r="K188" s="18">
        <f t="shared" si="6"/>
        <v>2482854.9104100196</v>
      </c>
      <c r="L188"/>
      <c r="M188" s="14"/>
    </row>
    <row r="189" spans="1:13" x14ac:dyDescent="0.2">
      <c r="A189" s="3">
        <v>43040</v>
      </c>
      <c r="C189" s="115">
        <f t="shared" si="8"/>
        <v>611.06923076923078</v>
      </c>
      <c r="D189" s="115">
        <f t="shared" si="8"/>
        <v>0</v>
      </c>
      <c r="E189" s="18">
        <v>30</v>
      </c>
      <c r="F189" s="66">
        <f>Intermediate!P193</f>
        <v>0</v>
      </c>
      <c r="G189" s="18">
        <f t="shared" si="9"/>
        <v>2255.5668123220557</v>
      </c>
      <c r="H189" s="36">
        <v>161.31136996881492</v>
      </c>
      <c r="I189" s="111">
        <v>352</v>
      </c>
      <c r="J189" s="18">
        <v>1</v>
      </c>
      <c r="K189" s="18">
        <f t="shared" si="6"/>
        <v>2573668.5371157378</v>
      </c>
      <c r="L189"/>
      <c r="M189" s="14"/>
    </row>
    <row r="190" spans="1:13" x14ac:dyDescent="0.2">
      <c r="A190" s="3">
        <v>43070</v>
      </c>
      <c r="C190" s="115">
        <f t="shared" si="8"/>
        <v>895.80769230769226</v>
      </c>
      <c r="D190" s="115">
        <f t="shared" si="8"/>
        <v>0</v>
      </c>
      <c r="E190" s="18">
        <v>31</v>
      </c>
      <c r="F190" s="66">
        <f>Intermediate!P194</f>
        <v>0</v>
      </c>
      <c r="G190" s="18">
        <f t="shared" si="9"/>
        <v>2254.6924309267488</v>
      </c>
      <c r="H190" s="36">
        <v>161.63049733959846</v>
      </c>
      <c r="I190" s="111">
        <v>304</v>
      </c>
      <c r="J190" s="18">
        <v>0</v>
      </c>
      <c r="K190" s="18">
        <f t="shared" si="6"/>
        <v>2888481.0573384939</v>
      </c>
      <c r="L190"/>
      <c r="M190" s="14"/>
    </row>
    <row r="191" spans="1:13" x14ac:dyDescent="0.2">
      <c r="A191" s="3"/>
      <c r="L191" s="10"/>
      <c r="M191" s="14"/>
    </row>
    <row r="192" spans="1:13" x14ac:dyDescent="0.2">
      <c r="A192" s="3"/>
      <c r="D192" s="59" t="s">
        <v>67</v>
      </c>
      <c r="E192" s="101"/>
      <c r="K192" s="91">
        <f>SUM(K3:K191)</f>
        <v>520430906.53108478</v>
      </c>
      <c r="L192" s="10"/>
      <c r="M192" s="14"/>
    </row>
    <row r="193" spans="1:13" x14ac:dyDescent="0.2">
      <c r="A193" s="3"/>
      <c r="L193" s="10"/>
      <c r="M193" s="14"/>
    </row>
    <row r="194" spans="1:13" x14ac:dyDescent="0.2">
      <c r="A194" t="s">
        <v>132</v>
      </c>
      <c r="B194" s="65">
        <f>SUM(B3:B10)</f>
        <v>34318804</v>
      </c>
      <c r="K194" s="65">
        <f>SUM(K3:K10)</f>
        <v>34104155.152089268</v>
      </c>
      <c r="L194" s="10">
        <f t="shared" ref="L194:L207" si="10">K194-B194</f>
        <v>-214648.84791073203</v>
      </c>
      <c r="M194" s="14">
        <f t="shared" ref="M194:M207" si="11">L194/B194</f>
        <v>-6.2545550221019368E-3</v>
      </c>
    </row>
    <row r="195" spans="1:13" x14ac:dyDescent="0.2">
      <c r="A195" s="17">
        <v>2003</v>
      </c>
      <c r="B195" s="65">
        <f>SUM(B11:B22)</f>
        <v>41860673</v>
      </c>
      <c r="K195" s="65">
        <f>SUM(K11:K22)</f>
        <v>41972232.933515146</v>
      </c>
      <c r="L195" s="10">
        <f t="shared" si="10"/>
        <v>111559.93351514637</v>
      </c>
      <c r="M195" s="14">
        <f t="shared" si="11"/>
        <v>2.6650296213619495E-3</v>
      </c>
    </row>
    <row r="196" spans="1:13" x14ac:dyDescent="0.2">
      <c r="A196">
        <v>2004</v>
      </c>
      <c r="B196" s="65">
        <f>SUM(B23:B34)</f>
        <v>40321018.040000007</v>
      </c>
      <c r="K196" s="65">
        <f>SUM(K23:K34)</f>
        <v>39164381.995064601</v>
      </c>
      <c r="L196" s="10">
        <f t="shared" si="10"/>
        <v>-1156636.0449354053</v>
      </c>
      <c r="M196" s="14">
        <f t="shared" si="11"/>
        <v>-2.8685685559525744E-2</v>
      </c>
    </row>
    <row r="197" spans="1:13" x14ac:dyDescent="0.2">
      <c r="A197" s="17">
        <v>2005</v>
      </c>
      <c r="B197" s="65">
        <f>SUM(B35:B46)</f>
        <v>45911126</v>
      </c>
      <c r="K197" s="65">
        <f>SUM(K35:K46)</f>
        <v>46030916.080432579</v>
      </c>
      <c r="L197" s="10">
        <f t="shared" si="10"/>
        <v>119790.08043257892</v>
      </c>
      <c r="M197" s="14">
        <f t="shared" si="11"/>
        <v>2.6091732194191649E-3</v>
      </c>
    </row>
    <row r="198" spans="1:13" x14ac:dyDescent="0.2">
      <c r="A198">
        <v>2006</v>
      </c>
      <c r="B198" s="65">
        <f>SUM(B47:B58)</f>
        <v>46231560.080000013</v>
      </c>
      <c r="K198" s="65">
        <f>SUM(K47:K58)</f>
        <v>46266103.875452794</v>
      </c>
      <c r="L198" s="10">
        <f t="shared" si="10"/>
        <v>34543.795452781022</v>
      </c>
      <c r="M198" s="14">
        <f t="shared" si="11"/>
        <v>7.4719078034584491E-4</v>
      </c>
    </row>
    <row r="199" spans="1:13" x14ac:dyDescent="0.2">
      <c r="A199" s="17">
        <v>2007</v>
      </c>
      <c r="B199" s="65">
        <f>SUM(B59:B70)</f>
        <v>40722040.040000014</v>
      </c>
      <c r="K199" s="65">
        <f>SUM(K59:K70)</f>
        <v>39909639.74082692</v>
      </c>
      <c r="L199" s="10">
        <f t="shared" si="10"/>
        <v>-812400.29917309433</v>
      </c>
      <c r="M199" s="14">
        <f t="shared" si="11"/>
        <v>-1.9949891959614458E-2</v>
      </c>
    </row>
    <row r="200" spans="1:13" x14ac:dyDescent="0.2">
      <c r="A200">
        <v>2008</v>
      </c>
      <c r="B200" s="65">
        <f>SUM(B71:B82)</f>
        <v>27014076.149999999</v>
      </c>
      <c r="K200" s="65">
        <f>SUM(K71:K82)</f>
        <v>26438899.284063853</v>
      </c>
      <c r="L200" s="10">
        <f t="shared" si="10"/>
        <v>-575176.86593614519</v>
      </c>
      <c r="M200" s="14">
        <f t="shared" si="11"/>
        <v>-2.1291746670971948E-2</v>
      </c>
    </row>
    <row r="201" spans="1:13" x14ac:dyDescent="0.2">
      <c r="A201" s="17">
        <v>2009</v>
      </c>
      <c r="B201" s="65">
        <f>SUM(B83:B94)</f>
        <v>25781621.564615387</v>
      </c>
      <c r="K201" s="65">
        <f>SUM(K83:K94)</f>
        <v>24925684.837626398</v>
      </c>
      <c r="L201" s="10">
        <f t="shared" si="10"/>
        <v>-855936.72698898986</v>
      </c>
      <c r="M201" s="14">
        <f t="shared" si="11"/>
        <v>-3.3199491538722335E-2</v>
      </c>
    </row>
    <row r="202" spans="1:13" x14ac:dyDescent="0.2">
      <c r="A202">
        <v>2010</v>
      </c>
      <c r="B202" s="65">
        <f>SUM(B95:B106)</f>
        <v>24708723.119999997</v>
      </c>
      <c r="K202" s="65">
        <f>SUM(K95:K106)</f>
        <v>24305259.546452895</v>
      </c>
      <c r="L202" s="10">
        <f t="shared" si="10"/>
        <v>-403463.57354710251</v>
      </c>
      <c r="M202" s="14">
        <f t="shared" si="11"/>
        <v>-1.6328790912733437E-2</v>
      </c>
    </row>
    <row r="203" spans="1:13" x14ac:dyDescent="0.2">
      <c r="A203" s="17">
        <v>2011</v>
      </c>
      <c r="B203" s="65">
        <f>SUM(B107:B118)</f>
        <v>24741815.289999999</v>
      </c>
      <c r="K203" s="65">
        <f>SUM(K107:K118)</f>
        <v>25020923.569088221</v>
      </c>
      <c r="L203" s="10">
        <f t="shared" si="10"/>
        <v>279108.27908822149</v>
      </c>
      <c r="M203" s="14">
        <f t="shared" si="11"/>
        <v>1.1280832704342023E-2</v>
      </c>
    </row>
    <row r="204" spans="1:13" x14ac:dyDescent="0.2">
      <c r="A204">
        <v>2012</v>
      </c>
      <c r="B204" s="65">
        <f>SUM(B119:B130)</f>
        <v>24288144.07</v>
      </c>
      <c r="K204" s="65">
        <f>SUM(K119:K130)</f>
        <v>26762736.848040104</v>
      </c>
      <c r="L204" s="10">
        <f t="shared" si="10"/>
        <v>2474592.7780401036</v>
      </c>
      <c r="M204" s="14">
        <f t="shared" si="11"/>
        <v>0.10188480317426343</v>
      </c>
    </row>
    <row r="205" spans="1:13" x14ac:dyDescent="0.2">
      <c r="A205" s="17">
        <v>2013</v>
      </c>
      <c r="B205" s="65">
        <f>SUM(B131:B142)</f>
        <v>24871616.660000004</v>
      </c>
      <c r="K205" s="65">
        <f>SUM(K131:K142)</f>
        <v>27790744.892839804</v>
      </c>
      <c r="L205" s="10">
        <f t="shared" si="10"/>
        <v>2919128.2328398004</v>
      </c>
      <c r="M205" s="14">
        <f t="shared" si="11"/>
        <v>0.11736785238952778</v>
      </c>
    </row>
    <row r="206" spans="1:13" x14ac:dyDescent="0.2">
      <c r="A206" s="17">
        <v>2014</v>
      </c>
      <c r="B206" s="65">
        <f>SUM(B143:B154)</f>
        <v>25633173.069999997</v>
      </c>
      <c r="K206" s="65">
        <f>SUM(K143:K154)</f>
        <v>28747422.753752161</v>
      </c>
      <c r="L206" s="10">
        <f t="shared" si="10"/>
        <v>3114249.6837521642</v>
      </c>
      <c r="M206" s="14">
        <f t="shared" si="11"/>
        <v>0.12149294491351728</v>
      </c>
    </row>
    <row r="207" spans="1:13" x14ac:dyDescent="0.2">
      <c r="A207">
        <v>2015</v>
      </c>
      <c r="B207" s="65">
        <f>SUM(B155:B166)</f>
        <v>34806669.239999995</v>
      </c>
      <c r="K207" s="65">
        <f>SUM(K155:K166)</f>
        <v>29372381.013835475</v>
      </c>
      <c r="L207" s="10">
        <f t="shared" si="10"/>
        <v>-5434288.2261645198</v>
      </c>
      <c r="M207" s="14">
        <f t="shared" si="11"/>
        <v>-0.15612778656566798</v>
      </c>
    </row>
    <row r="208" spans="1:13" x14ac:dyDescent="0.2">
      <c r="K208" s="65">
        <f>SUM(K167:K178)</f>
        <v>29607313.733103618</v>
      </c>
      <c r="L208" s="10"/>
      <c r="M208" s="14"/>
    </row>
    <row r="209" spans="1:13" x14ac:dyDescent="0.2">
      <c r="K209" s="65">
        <f>SUM(K179:K190)</f>
        <v>30012110.274900936</v>
      </c>
      <c r="L209" s="10"/>
      <c r="M209" s="14"/>
    </row>
    <row r="210" spans="1:13" x14ac:dyDescent="0.2">
      <c r="K210" s="65"/>
    </row>
    <row r="211" spans="1:13" x14ac:dyDescent="0.2">
      <c r="A211" s="15" t="s">
        <v>139</v>
      </c>
      <c r="B211" s="65">
        <f>SUM(B194:B207)</f>
        <v>461211060.32461548</v>
      </c>
      <c r="K211" s="65">
        <f>SUM(K194:K207)</f>
        <v>460811482.52308023</v>
      </c>
      <c r="L211" s="6">
        <f>B211-K211</f>
        <v>399577.80153524876</v>
      </c>
      <c r="M211" s="214" t="s">
        <v>223</v>
      </c>
    </row>
    <row r="213" spans="1:13" x14ac:dyDescent="0.2">
      <c r="K213" s="65">
        <f>SUM(K194:K209)</f>
        <v>520430906.53108478</v>
      </c>
      <c r="L213" s="52">
        <f>K192-K213</f>
        <v>0</v>
      </c>
    </row>
    <row r="216" spans="1:13" x14ac:dyDescent="0.2">
      <c r="C216" s="59" t="s">
        <v>138</v>
      </c>
    </row>
    <row r="217" spans="1:13" x14ac:dyDescent="0.2">
      <c r="L217" s="58"/>
      <c r="M217" s="59"/>
    </row>
    <row r="218" spans="1:13" x14ac:dyDescent="0.2">
      <c r="A218" s="3">
        <v>40909</v>
      </c>
      <c r="C218" s="19">
        <f>'Weather Analysis'!AA8</f>
        <v>1001.04</v>
      </c>
      <c r="D218" s="19">
        <f>'Weather Analysis'!AA28</f>
        <v>0</v>
      </c>
      <c r="E218" s="102">
        <v>31</v>
      </c>
      <c r="F218" s="72">
        <v>0</v>
      </c>
      <c r="G218" s="72">
        <v>2268.8106262751226</v>
      </c>
      <c r="H218" s="103">
        <v>158.15454692394951</v>
      </c>
      <c r="I218" s="104"/>
      <c r="J218" s="102"/>
      <c r="K218" s="18">
        <f t="shared" ref="K218:K229" si="12">$O$18+C218*$O$19+D218*$O$20+E218*$O$21+F218*$O$22+G218*$O$23+H218*$O$24</f>
        <v>2963509.4252941674</v>
      </c>
      <c r="L218" s="52"/>
    </row>
    <row r="219" spans="1:13" x14ac:dyDescent="0.2">
      <c r="A219" s="3">
        <v>40940</v>
      </c>
      <c r="C219" s="19">
        <f>'Weather Analysis'!AA9</f>
        <v>933.28000000000009</v>
      </c>
      <c r="D219" s="19">
        <f>'Weather Analysis'!AA29</f>
        <v>0</v>
      </c>
      <c r="E219" s="102">
        <v>28</v>
      </c>
      <c r="F219" s="72">
        <v>0</v>
      </c>
      <c r="G219" s="72">
        <v>2267.9362448798156</v>
      </c>
      <c r="H219" s="103">
        <v>158.46742905214063</v>
      </c>
      <c r="I219" s="104"/>
      <c r="J219" s="102"/>
      <c r="K219" s="18">
        <f t="shared" si="12"/>
        <v>2653220.4904700071</v>
      </c>
      <c r="L219" s="52"/>
    </row>
    <row r="220" spans="1:13" x14ac:dyDescent="0.2">
      <c r="A220" s="3">
        <v>40969</v>
      </c>
      <c r="C220" s="19">
        <f>'Weather Analysis'!AA10</f>
        <v>718.8</v>
      </c>
      <c r="D220" s="19">
        <f>'Weather Analysis'!AA30</f>
        <v>0</v>
      </c>
      <c r="E220" s="102">
        <v>31</v>
      </c>
      <c r="F220" s="72">
        <v>0</v>
      </c>
      <c r="G220" s="72">
        <v>2267.0618634845086</v>
      </c>
      <c r="H220" s="103">
        <v>158.78093016491388</v>
      </c>
      <c r="I220" s="104"/>
      <c r="J220" s="102"/>
      <c r="K220" s="18">
        <f t="shared" si="12"/>
        <v>2750810.7236842094</v>
      </c>
      <c r="L220" s="52"/>
    </row>
    <row r="221" spans="1:13" x14ac:dyDescent="0.2">
      <c r="A221" s="3">
        <v>41000</v>
      </c>
      <c r="C221" s="19">
        <f>'Weather Analysis'!AA11</f>
        <v>455.37999999999994</v>
      </c>
      <c r="D221" s="19">
        <f>'Weather Analysis'!AA31</f>
        <v>0</v>
      </c>
      <c r="E221" s="102">
        <v>30</v>
      </c>
      <c r="F221" s="72">
        <v>0</v>
      </c>
      <c r="G221" s="72">
        <v>2266.1874820892017</v>
      </c>
      <c r="H221" s="103">
        <v>159.09505148682601</v>
      </c>
      <c r="I221" s="104"/>
      <c r="J221" s="102"/>
      <c r="K221" s="18">
        <f t="shared" si="12"/>
        <v>2461495.8995673032</v>
      </c>
      <c r="L221" s="52"/>
      <c r="M221" s="52"/>
    </row>
    <row r="222" spans="1:13" x14ac:dyDescent="0.2">
      <c r="A222" s="3">
        <v>41030</v>
      </c>
      <c r="C222" s="19">
        <f>'Weather Analysis'!AA12</f>
        <v>240</v>
      </c>
      <c r="D222" s="19">
        <f>'Weather Analysis'!AA32</f>
        <v>5.1899999999999995</v>
      </c>
      <c r="E222" s="102">
        <v>31</v>
      </c>
      <c r="F222" s="72">
        <v>0</v>
      </c>
      <c r="G222" s="72">
        <v>2265.3131006938947</v>
      </c>
      <c r="H222" s="103">
        <v>159.4097942448563</v>
      </c>
      <c r="I222" s="104"/>
      <c r="J222" s="102"/>
      <c r="K222" s="18">
        <f t="shared" si="12"/>
        <v>2399325.5510658287</v>
      </c>
      <c r="L222" s="52"/>
    </row>
    <row r="223" spans="1:13" x14ac:dyDescent="0.2">
      <c r="A223" s="3">
        <v>41061</v>
      </c>
      <c r="C223" s="19">
        <f>'Weather Analysis'!AA13</f>
        <v>86.890000000000015</v>
      </c>
      <c r="D223" s="19">
        <f>'Weather Analysis'!AA33</f>
        <v>13.55</v>
      </c>
      <c r="E223" s="102">
        <v>30</v>
      </c>
      <c r="F223" s="72">
        <v>0</v>
      </c>
      <c r="G223" s="72">
        <v>2264.4387192985905</v>
      </c>
      <c r="H223" s="103">
        <v>159.72515966841141</v>
      </c>
      <c r="I223" s="104"/>
      <c r="J223" s="102"/>
      <c r="K223" s="18">
        <f t="shared" si="12"/>
        <v>2220974.6149001447</v>
      </c>
      <c r="L223" s="52"/>
    </row>
    <row r="224" spans="1:13" x14ac:dyDescent="0.2">
      <c r="A224" s="3">
        <v>41091</v>
      </c>
      <c r="C224" s="19">
        <f>'Weather Analysis'!AA14</f>
        <v>34.47</v>
      </c>
      <c r="D224" s="19">
        <f>'Weather Analysis'!AA34</f>
        <v>46.3</v>
      </c>
      <c r="E224" s="102">
        <v>31</v>
      </c>
      <c r="F224" s="72">
        <v>0</v>
      </c>
      <c r="G224" s="72">
        <v>2263.5643379032836</v>
      </c>
      <c r="H224" s="103">
        <v>160.0411489893302</v>
      </c>
      <c r="I224" s="104"/>
      <c r="J224" s="102"/>
      <c r="K224" s="18">
        <f t="shared" si="12"/>
        <v>2367198.4945779499</v>
      </c>
      <c r="L224" s="52"/>
    </row>
    <row r="225" spans="1:12" x14ac:dyDescent="0.2">
      <c r="A225" s="3">
        <v>41122</v>
      </c>
      <c r="C225" s="19">
        <f>'Weather Analysis'!AA15</f>
        <v>54.75</v>
      </c>
      <c r="D225" s="19">
        <f>'Weather Analysis'!AA35</f>
        <v>31.379999999999995</v>
      </c>
      <c r="E225" s="102">
        <v>31</v>
      </c>
      <c r="F225" s="72">
        <v>0</v>
      </c>
      <c r="G225" s="72">
        <v>2262.6899565079766</v>
      </c>
      <c r="H225" s="103">
        <v>160.35776344188849</v>
      </c>
      <c r="I225" s="104"/>
      <c r="J225" s="102"/>
      <c r="K225" s="18">
        <f t="shared" si="12"/>
        <v>2343844.3975099334</v>
      </c>
      <c r="L225" s="52"/>
    </row>
    <row r="226" spans="1:12" x14ac:dyDescent="0.2">
      <c r="A226" s="3">
        <v>41153</v>
      </c>
      <c r="C226" s="19">
        <f>'Weather Analysis'!AA16</f>
        <v>169.98999999999998</v>
      </c>
      <c r="D226" s="19">
        <f>'Weather Analysis'!AA36</f>
        <v>6.7700000000000005</v>
      </c>
      <c r="E226" s="102">
        <v>30</v>
      </c>
      <c r="F226" s="72">
        <v>0</v>
      </c>
      <c r="G226" s="72">
        <v>2261.8155751126696</v>
      </c>
      <c r="H226" s="103">
        <v>160.67500426280395</v>
      </c>
      <c r="I226" s="104"/>
      <c r="J226" s="102"/>
      <c r="K226" s="18">
        <f t="shared" si="12"/>
        <v>2279457.3016742719</v>
      </c>
      <c r="L226" s="52"/>
    </row>
    <row r="227" spans="1:12" x14ac:dyDescent="0.2">
      <c r="A227" s="3">
        <v>41183</v>
      </c>
      <c r="C227" s="19">
        <f>'Weather Analysis'!AA17</f>
        <v>385.78</v>
      </c>
      <c r="D227" s="19">
        <f>'Weather Analysis'!AA37</f>
        <v>0.53</v>
      </c>
      <c r="E227" s="102">
        <v>31</v>
      </c>
      <c r="F227" s="72">
        <v>0</v>
      </c>
      <c r="G227" s="72">
        <v>2260.9411937173627</v>
      </c>
      <c r="H227" s="103">
        <v>160.99287269124085</v>
      </c>
      <c r="I227" s="104"/>
      <c r="J227" s="102"/>
      <c r="K227" s="18">
        <f t="shared" si="12"/>
        <v>2521925.9858094519</v>
      </c>
      <c r="L227" s="52"/>
    </row>
    <row r="228" spans="1:12" x14ac:dyDescent="0.2">
      <c r="A228" s="3">
        <v>41214</v>
      </c>
      <c r="C228" s="19">
        <f>'Weather Analysis'!AA18</f>
        <v>607.36</v>
      </c>
      <c r="D228" s="19">
        <f>'Weather Analysis'!AA38</f>
        <v>0</v>
      </c>
      <c r="E228" s="102">
        <v>30</v>
      </c>
      <c r="F228" s="72">
        <v>0</v>
      </c>
      <c r="G228" s="72">
        <v>2260.0668123220557</v>
      </c>
      <c r="H228" s="103">
        <v>161.31136996881492</v>
      </c>
      <c r="I228" s="104"/>
      <c r="J228" s="102"/>
      <c r="K228" s="18">
        <f t="shared" si="12"/>
        <v>2611375.0337979123</v>
      </c>
      <c r="L228" s="52"/>
    </row>
    <row r="229" spans="1:12" x14ac:dyDescent="0.2">
      <c r="A229" s="3">
        <v>41244</v>
      </c>
      <c r="C229" s="19">
        <f>'Weather Analysis'!AA19</f>
        <v>896.75999999999988</v>
      </c>
      <c r="D229" s="19">
        <f>'Weather Analysis'!AA39</f>
        <v>0</v>
      </c>
      <c r="E229" s="102">
        <v>31</v>
      </c>
      <c r="F229" s="72">
        <v>0</v>
      </c>
      <c r="G229" s="72">
        <v>2259.1924309267488</v>
      </c>
      <c r="H229" s="103">
        <v>161.63049733959846</v>
      </c>
      <c r="I229" s="104"/>
      <c r="J229" s="102"/>
      <c r="K229" s="18">
        <f t="shared" si="12"/>
        <v>2929841.2814159906</v>
      </c>
      <c r="L229" s="52">
        <f>SUM(K218:K229)</f>
        <v>30502979.199767176</v>
      </c>
    </row>
    <row r="230" spans="1:12" x14ac:dyDescent="0.2">
      <c r="L230" s="52"/>
    </row>
    <row r="231" spans="1:12" x14ac:dyDescent="0.2">
      <c r="L231" s="52"/>
    </row>
    <row r="232" spans="1:12" x14ac:dyDescent="0.2">
      <c r="C232" s="59" t="s">
        <v>91</v>
      </c>
    </row>
    <row r="233" spans="1:12" x14ac:dyDescent="0.2">
      <c r="L233" s="58"/>
    </row>
    <row r="234" spans="1:12" x14ac:dyDescent="0.2">
      <c r="A234" s="3">
        <v>40909</v>
      </c>
      <c r="C234" s="19">
        <f>'Weather Analysis'!AB8</f>
        <v>1026.6188721804506</v>
      </c>
      <c r="D234" s="19">
        <f>'Weather Analysis'!AB28</f>
        <v>0</v>
      </c>
      <c r="E234" s="102">
        <f t="shared" ref="E234:H245" si="13">E218</f>
        <v>31</v>
      </c>
      <c r="F234" s="72">
        <f t="shared" si="13"/>
        <v>0</v>
      </c>
      <c r="G234" s="72">
        <f t="shared" si="13"/>
        <v>2268.8106262751226</v>
      </c>
      <c r="H234" s="103">
        <f t="shared" si="13"/>
        <v>158.15454692394951</v>
      </c>
      <c r="I234" s="104"/>
      <c r="J234" s="102"/>
      <c r="K234" s="18">
        <f t="shared" ref="K234:K245" si="14">$O$18+C234*$O$19+D234*$O$20+E234*$O$21+F234*$O$22+G234*$O$23+H234*$O$24</f>
        <v>2983558.219656433</v>
      </c>
      <c r="L234" s="52"/>
    </row>
    <row r="235" spans="1:12" x14ac:dyDescent="0.2">
      <c r="A235" s="3">
        <v>40940</v>
      </c>
      <c r="C235" s="19">
        <f>'Weather Analysis'!AB9</f>
        <v>1025.2289473684214</v>
      </c>
      <c r="D235" s="19">
        <f>'Weather Analysis'!AB29</f>
        <v>0</v>
      </c>
      <c r="E235" s="102">
        <f t="shared" si="13"/>
        <v>28</v>
      </c>
      <c r="F235" s="72">
        <f t="shared" si="13"/>
        <v>0</v>
      </c>
      <c r="G235" s="72">
        <f t="shared" si="13"/>
        <v>2267.9362448798156</v>
      </c>
      <c r="H235" s="103">
        <f t="shared" si="13"/>
        <v>158.46742905214063</v>
      </c>
      <c r="I235" s="104"/>
      <c r="J235" s="102"/>
      <c r="K235" s="18">
        <f t="shared" si="14"/>
        <v>2725290.342675034</v>
      </c>
      <c r="L235" s="52"/>
    </row>
    <row r="236" spans="1:12" x14ac:dyDescent="0.2">
      <c r="A236" s="3">
        <v>40969</v>
      </c>
      <c r="C236" s="19">
        <f>'Weather Analysis'!AB10</f>
        <v>761.27729323308358</v>
      </c>
      <c r="D236" s="19">
        <f>'Weather Analysis'!AB30</f>
        <v>0</v>
      </c>
      <c r="E236" s="102">
        <f t="shared" si="13"/>
        <v>31</v>
      </c>
      <c r="F236" s="72">
        <f t="shared" si="13"/>
        <v>0</v>
      </c>
      <c r="G236" s="72">
        <f t="shared" si="13"/>
        <v>2267.0618634845086</v>
      </c>
      <c r="H236" s="103">
        <f t="shared" si="13"/>
        <v>158.78093016491388</v>
      </c>
      <c r="I236" s="104"/>
      <c r="J236" s="102"/>
      <c r="K236" s="18">
        <f t="shared" si="14"/>
        <v>2784104.5495842686</v>
      </c>
      <c r="L236" s="52"/>
    </row>
    <row r="237" spans="1:12" x14ac:dyDescent="0.2">
      <c r="A237" s="3">
        <v>41000</v>
      </c>
      <c r="C237" s="19">
        <f>'Weather Analysis'!AB11</f>
        <v>497.2080451127822</v>
      </c>
      <c r="D237" s="19">
        <f>'Weather Analysis'!AB31</f>
        <v>-1.669172932330909E-2</v>
      </c>
      <c r="E237" s="102">
        <f t="shared" si="13"/>
        <v>30</v>
      </c>
      <c r="F237" s="72">
        <f t="shared" si="13"/>
        <v>0</v>
      </c>
      <c r="G237" s="72">
        <f t="shared" si="13"/>
        <v>2266.1874820892017</v>
      </c>
      <c r="H237" s="103">
        <f t="shared" si="13"/>
        <v>159.09505148682601</v>
      </c>
      <c r="I237" s="104"/>
      <c r="J237" s="102"/>
      <c r="K237" s="18">
        <f t="shared" si="14"/>
        <v>2494232.0169683592</v>
      </c>
      <c r="L237" s="52"/>
    </row>
    <row r="238" spans="1:12" x14ac:dyDescent="0.2">
      <c r="A238" s="3">
        <v>41030</v>
      </c>
      <c r="C238" s="19">
        <f>'Weather Analysis'!AB12</f>
        <v>247.2008270676692</v>
      </c>
      <c r="D238" s="19">
        <f>'Weather Analysis'!AB32</f>
        <v>5.1970676691729523</v>
      </c>
      <c r="E238" s="102">
        <f t="shared" si="13"/>
        <v>31</v>
      </c>
      <c r="F238" s="72">
        <f t="shared" si="13"/>
        <v>0</v>
      </c>
      <c r="G238" s="72">
        <f t="shared" si="13"/>
        <v>2265.3131006938947</v>
      </c>
      <c r="H238" s="103">
        <f t="shared" si="13"/>
        <v>159.4097942448563</v>
      </c>
      <c r="I238" s="104"/>
      <c r="J238" s="102"/>
      <c r="K238" s="18">
        <f t="shared" si="14"/>
        <v>2404990.2542959377</v>
      </c>
      <c r="L238" s="52"/>
    </row>
    <row r="239" spans="1:12" x14ac:dyDescent="0.2">
      <c r="A239" s="3">
        <v>41061</v>
      </c>
      <c r="C239" s="19">
        <f>'Weather Analysis'!AB13</f>
        <v>94.15541353383469</v>
      </c>
      <c r="D239" s="19">
        <f>'Weather Analysis'!AB33</f>
        <v>4.2117293233086457</v>
      </c>
      <c r="E239" s="102">
        <f t="shared" si="13"/>
        <v>30</v>
      </c>
      <c r="F239" s="72">
        <f t="shared" si="13"/>
        <v>0</v>
      </c>
      <c r="G239" s="72">
        <f t="shared" si="13"/>
        <v>2264.4387192985905</v>
      </c>
      <c r="H239" s="103">
        <f t="shared" si="13"/>
        <v>159.72515966841141</v>
      </c>
      <c r="I239" s="104"/>
      <c r="J239" s="102"/>
      <c r="K239" s="18">
        <f t="shared" si="14"/>
        <v>2199353.3557596495</v>
      </c>
      <c r="L239" s="52"/>
    </row>
    <row r="240" spans="1:12" x14ac:dyDescent="0.2">
      <c r="A240" s="3">
        <v>41091</v>
      </c>
      <c r="C240" s="19">
        <f>'Weather Analysis'!AB14</f>
        <v>35.863082706766932</v>
      </c>
      <c r="D240" s="19">
        <f>'Weather Analysis'!AB34</f>
        <v>46.118120300751912</v>
      </c>
      <c r="E240" s="102">
        <f t="shared" si="13"/>
        <v>31</v>
      </c>
      <c r="F240" s="72">
        <f t="shared" si="13"/>
        <v>0</v>
      </c>
      <c r="G240" s="72">
        <f t="shared" si="13"/>
        <v>2263.5643379032836</v>
      </c>
      <c r="H240" s="103">
        <f t="shared" si="13"/>
        <v>160.0411489893302</v>
      </c>
      <c r="I240" s="104"/>
      <c r="J240" s="102"/>
      <c r="K240" s="18">
        <f t="shared" si="14"/>
        <v>2367758.3701081146</v>
      </c>
      <c r="L240" s="52"/>
    </row>
    <row r="241" spans="1:12" x14ac:dyDescent="0.2">
      <c r="A241" s="3">
        <v>41122</v>
      </c>
      <c r="C241" s="19">
        <f>'Weather Analysis'!AB15</f>
        <v>67.240451127819597</v>
      </c>
      <c r="D241" s="19">
        <f>'Weather Analysis'!AB35</f>
        <v>29.443684210526271</v>
      </c>
      <c r="E241" s="102">
        <f t="shared" si="13"/>
        <v>31</v>
      </c>
      <c r="F241" s="72">
        <f t="shared" si="13"/>
        <v>0</v>
      </c>
      <c r="G241" s="72">
        <f t="shared" si="13"/>
        <v>2262.6899565079766</v>
      </c>
      <c r="H241" s="103">
        <f t="shared" si="13"/>
        <v>160.35776344188849</v>
      </c>
      <c r="I241" s="104"/>
      <c r="J241" s="102"/>
      <c r="K241" s="18">
        <f t="shared" si="14"/>
        <v>2347970.4209870147</v>
      </c>
      <c r="L241" s="52"/>
    </row>
    <row r="242" spans="1:12" x14ac:dyDescent="0.2">
      <c r="A242" s="3">
        <v>41153</v>
      </c>
      <c r="C242" s="19">
        <f>'Weather Analysis'!AB16</f>
        <v>172.98646616541373</v>
      </c>
      <c r="D242" s="19">
        <f>'Weather Analysis'!AB36</f>
        <v>7.6337593984962382</v>
      </c>
      <c r="E242" s="102">
        <f t="shared" si="13"/>
        <v>30</v>
      </c>
      <c r="F242" s="72">
        <f t="shared" si="13"/>
        <v>0</v>
      </c>
      <c r="G242" s="72">
        <f t="shared" si="13"/>
        <v>2261.8155751126696</v>
      </c>
      <c r="H242" s="103">
        <f t="shared" si="13"/>
        <v>160.67500426280395</v>
      </c>
      <c r="I242" s="104"/>
      <c r="J242" s="102"/>
      <c r="K242" s="18">
        <f t="shared" si="14"/>
        <v>2284332.5727432249</v>
      </c>
      <c r="L242" s="52"/>
    </row>
    <row r="243" spans="1:12" x14ac:dyDescent="0.2">
      <c r="A243" s="3">
        <v>41183</v>
      </c>
      <c r="C243" s="19">
        <f>'Weather Analysis'!AB17</f>
        <v>383.54451127819561</v>
      </c>
      <c r="D243" s="19">
        <f>'Weather Analysis'!AB37</f>
        <v>0.81992481203008083</v>
      </c>
      <c r="E243" s="102">
        <f t="shared" si="13"/>
        <v>31</v>
      </c>
      <c r="F243" s="72">
        <f t="shared" si="13"/>
        <v>0</v>
      </c>
      <c r="G243" s="72">
        <f t="shared" si="13"/>
        <v>2260.9411937173627</v>
      </c>
      <c r="H243" s="103">
        <f t="shared" si="13"/>
        <v>160.99287269124085</v>
      </c>
      <c r="I243" s="104"/>
      <c r="J243" s="102"/>
      <c r="K243" s="18">
        <f t="shared" si="14"/>
        <v>2521021.8789551957</v>
      </c>
      <c r="L243" s="52"/>
    </row>
    <row r="244" spans="1:12" x14ac:dyDescent="0.2">
      <c r="A244" s="3">
        <v>41214</v>
      </c>
      <c r="C244" s="19">
        <f>'Weather Analysis'!AB18</f>
        <v>616.40157894736853</v>
      </c>
      <c r="D244" s="19">
        <f>'Weather Analysis'!AB38</f>
        <v>0</v>
      </c>
      <c r="E244" s="102">
        <f t="shared" si="13"/>
        <v>30</v>
      </c>
      <c r="F244" s="72">
        <f t="shared" si="13"/>
        <v>0</v>
      </c>
      <c r="G244" s="72">
        <f t="shared" si="13"/>
        <v>2260.0668123220557</v>
      </c>
      <c r="H244" s="103">
        <f t="shared" si="13"/>
        <v>161.31136996881492</v>
      </c>
      <c r="I244" s="104"/>
      <c r="J244" s="102"/>
      <c r="K244" s="18">
        <f t="shared" si="14"/>
        <v>2618461.8496569991</v>
      </c>
      <c r="L244" s="52"/>
    </row>
    <row r="245" spans="1:12" x14ac:dyDescent="0.2">
      <c r="A245" s="3">
        <v>41244</v>
      </c>
      <c r="C245" s="19">
        <f>'Weather Analysis'!AB19</f>
        <v>945.61375939849677</v>
      </c>
      <c r="D245" s="19">
        <f>'Weather Analysis'!AB39</f>
        <v>0</v>
      </c>
      <c r="E245" s="102">
        <f t="shared" si="13"/>
        <v>31</v>
      </c>
      <c r="F245" s="72">
        <f t="shared" si="13"/>
        <v>0</v>
      </c>
      <c r="G245" s="72">
        <f t="shared" si="13"/>
        <v>2259.1924309267488</v>
      </c>
      <c r="H245" s="103">
        <f t="shared" si="13"/>
        <v>161.63049733959846</v>
      </c>
      <c r="I245" s="104"/>
      <c r="J245" s="102"/>
      <c r="K245" s="18">
        <f t="shared" si="14"/>
        <v>2968133.0000302596</v>
      </c>
      <c r="L245" s="52">
        <f>SUM(K234:K245)</f>
        <v>30699206.831420496</v>
      </c>
    </row>
    <row r="269" spans="12:13" x14ac:dyDescent="0.2">
      <c r="L269" s="39" t="e">
        <f>#REF!-#REF!</f>
        <v>#REF!</v>
      </c>
      <c r="M269" s="5" t="e">
        <f>L269/#REF!</f>
        <v>#REF!</v>
      </c>
    </row>
    <row r="270" spans="12:13" x14ac:dyDescent="0.2">
      <c r="L270" s="39" t="e">
        <f>#REF!-#REF!</f>
        <v>#REF!</v>
      </c>
      <c r="M270" s="5" t="e">
        <f>L270/#REF!</f>
        <v>#REF!</v>
      </c>
    </row>
    <row r="271" spans="12:13" x14ac:dyDescent="0.2">
      <c r="L271" s="39" t="e">
        <f>#REF!-#REF!</f>
        <v>#REF!</v>
      </c>
      <c r="M271" s="5" t="e">
        <f>L271/#REF!</f>
        <v>#REF!</v>
      </c>
    </row>
    <row r="272" spans="12:13" x14ac:dyDescent="0.2">
      <c r="L272" s="39" t="e">
        <f>#REF!-#REF!</f>
        <v>#REF!</v>
      </c>
      <c r="M272" s="5" t="e">
        <f>L272/#REF!</f>
        <v>#REF!</v>
      </c>
    </row>
    <row r="273" spans="12:13" x14ac:dyDescent="0.2">
      <c r="L273" s="39" t="e">
        <f>#REF!-#REF!</f>
        <v>#REF!</v>
      </c>
      <c r="M273" s="5" t="e">
        <f>L273/#REF!</f>
        <v>#REF!</v>
      </c>
    </row>
    <row r="274" spans="12:13" x14ac:dyDescent="0.2">
      <c r="L274" s="39" t="e">
        <f>#REF!-#REF!</f>
        <v>#REF!</v>
      </c>
      <c r="M274" s="5" t="e">
        <f>L274/#REF!</f>
        <v>#REF!</v>
      </c>
    </row>
    <row r="275" spans="12:13" x14ac:dyDescent="0.2">
      <c r="L275" s="39">
        <f t="shared" ref="L275:L283" si="15">K194-B194</f>
        <v>-214648.84791073203</v>
      </c>
      <c r="M275" s="5">
        <f t="shared" ref="M275:M283" si="16">L275/B194</f>
        <v>-6.2545550221019368E-3</v>
      </c>
    </row>
    <row r="276" spans="12:13" x14ac:dyDescent="0.2">
      <c r="L276" s="39">
        <f t="shared" si="15"/>
        <v>111559.93351514637</v>
      </c>
      <c r="M276" s="5">
        <f t="shared" si="16"/>
        <v>2.6650296213619495E-3</v>
      </c>
    </row>
    <row r="277" spans="12:13" x14ac:dyDescent="0.2">
      <c r="L277" s="39">
        <f t="shared" si="15"/>
        <v>-1156636.0449354053</v>
      </c>
      <c r="M277" s="5">
        <f t="shared" si="16"/>
        <v>-2.8685685559525744E-2</v>
      </c>
    </row>
    <row r="278" spans="12:13" x14ac:dyDescent="0.2">
      <c r="L278" s="39">
        <f t="shared" si="15"/>
        <v>119790.08043257892</v>
      </c>
      <c r="M278" s="5">
        <f t="shared" si="16"/>
        <v>2.6091732194191649E-3</v>
      </c>
    </row>
    <row r="279" spans="12:13" x14ac:dyDescent="0.2">
      <c r="L279" s="39">
        <f t="shared" si="15"/>
        <v>34543.795452781022</v>
      </c>
      <c r="M279" s="5">
        <f t="shared" si="16"/>
        <v>7.4719078034584491E-4</v>
      </c>
    </row>
    <row r="280" spans="12:13" x14ac:dyDescent="0.2">
      <c r="L280" s="39">
        <f t="shared" si="15"/>
        <v>-812400.29917309433</v>
      </c>
      <c r="M280" s="5">
        <f t="shared" si="16"/>
        <v>-1.9949891959614458E-2</v>
      </c>
    </row>
    <row r="281" spans="12:13" x14ac:dyDescent="0.2">
      <c r="L281" s="39">
        <f t="shared" si="15"/>
        <v>-575176.86593614519</v>
      </c>
      <c r="M281" s="5">
        <f t="shared" si="16"/>
        <v>-2.1291746670971948E-2</v>
      </c>
    </row>
    <row r="282" spans="12:13" x14ac:dyDescent="0.2">
      <c r="L282" s="39">
        <f t="shared" si="15"/>
        <v>-855936.72698898986</v>
      </c>
      <c r="M282" s="5">
        <f t="shared" si="16"/>
        <v>-3.3199491538722335E-2</v>
      </c>
    </row>
    <row r="283" spans="12:13" x14ac:dyDescent="0.2">
      <c r="L283" s="39">
        <f t="shared" si="15"/>
        <v>-403463.57354710251</v>
      </c>
      <c r="M283" s="5">
        <f t="shared" si="16"/>
        <v>-1.6328790912733437E-2</v>
      </c>
    </row>
    <row r="287" spans="12:13" x14ac:dyDescent="0.2">
      <c r="L287" s="6">
        <f>K211-B211</f>
        <v>-399577.80153524876</v>
      </c>
    </row>
    <row r="289" spans="12:13" x14ac:dyDescent="0.2">
      <c r="L289" s="52">
        <f>K192-K213</f>
        <v>0</v>
      </c>
    </row>
    <row r="290" spans="12:13" x14ac:dyDescent="0.2">
      <c r="L290" s="20" t="s">
        <v>64</v>
      </c>
      <c r="M290" s="20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0"/>
  <sheetViews>
    <sheetView workbookViewId="0">
      <pane xSplit="1" ySplit="2" topLeftCell="B66" activePane="bottomRight" state="frozen"/>
      <selection pane="topRight" activeCell="B1" sqref="B1"/>
      <selection pane="bottomLeft" activeCell="A3" sqref="A3"/>
      <selection pane="bottomRight" activeCell="F95" sqref="F95"/>
    </sheetView>
  </sheetViews>
  <sheetFormatPr defaultRowHeight="12.75" x14ac:dyDescent="0.2"/>
  <cols>
    <col min="1" max="1" width="13.7109375" customWidth="1"/>
    <col min="2" max="5" width="18" style="1" customWidth="1"/>
    <col min="6" max="6" width="15.7109375" style="1" customWidth="1"/>
    <col min="7" max="7" width="15.7109375" style="6" customWidth="1"/>
    <col min="8" max="8" width="15" style="6" customWidth="1"/>
    <col min="9" max="10" width="14.140625" style="6" bestFit="1" customWidth="1"/>
    <col min="11" max="11" width="18.5703125" style="6" bestFit="1" customWidth="1"/>
    <col min="12" max="12" width="14.7109375" style="6" customWidth="1"/>
    <col min="13" max="13" width="12.7109375" style="6" bestFit="1" customWidth="1"/>
    <col min="14" max="14" width="11.140625" style="6" bestFit="1" customWidth="1"/>
    <col min="15" max="15" width="11.7109375" style="6" bestFit="1" customWidth="1"/>
    <col min="16" max="16" width="10.7109375" style="6" bestFit="1" customWidth="1"/>
    <col min="17" max="17" width="9.140625" style="6"/>
    <col min="18" max="18" width="11.140625" style="6" bestFit="1" customWidth="1"/>
  </cols>
  <sheetData>
    <row r="2" spans="1:18" ht="42" customHeight="1" x14ac:dyDescent="0.2">
      <c r="B2" s="2" t="s">
        <v>7</v>
      </c>
      <c r="C2" s="2" t="s">
        <v>8</v>
      </c>
      <c r="D2" s="2" t="s">
        <v>41</v>
      </c>
      <c r="E2" s="2" t="s">
        <v>9</v>
      </c>
      <c r="F2" s="2" t="s">
        <v>0</v>
      </c>
      <c r="G2" s="7" t="s">
        <v>1</v>
      </c>
      <c r="H2" s="50" t="s">
        <v>66</v>
      </c>
      <c r="I2" s="51" t="s">
        <v>136</v>
      </c>
      <c r="J2" s="51" t="s">
        <v>137</v>
      </c>
      <c r="K2" s="51" t="s">
        <v>133</v>
      </c>
      <c r="L2" s="117" t="s">
        <v>207</v>
      </c>
    </row>
    <row r="4" spans="1:18" x14ac:dyDescent="0.2">
      <c r="A4" s="20"/>
      <c r="B4" s="43" t="s">
        <v>43</v>
      </c>
    </row>
    <row r="5" spans="1:18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7" spans="1:18" x14ac:dyDescent="0.2">
      <c r="A7" t="str">
        <f>'Purchased Power Model '!A194</f>
        <v>From May 2002</v>
      </c>
      <c r="B7" s="6">
        <f>'Purchased Power Model '!B194</f>
        <v>34318804</v>
      </c>
      <c r="C7" s="6">
        <f>'Purchased Power Model '!K194</f>
        <v>34503732.95362363</v>
      </c>
      <c r="D7" s="39">
        <f t="shared" ref="D7:D19" si="0">C7-B7</f>
        <v>184928.95362363011</v>
      </c>
      <c r="E7" s="5">
        <f t="shared" ref="E7:E20" si="1">D7/B7</f>
        <v>5.3885605577522486E-3</v>
      </c>
      <c r="F7" s="26"/>
      <c r="G7" s="29"/>
      <c r="H7" s="29"/>
      <c r="I7" s="29"/>
      <c r="J7" s="29"/>
      <c r="K7" s="29"/>
      <c r="L7" s="29"/>
    </row>
    <row r="8" spans="1:18" x14ac:dyDescent="0.2">
      <c r="A8">
        <f>'Purchased Power Model '!A195</f>
        <v>2003</v>
      </c>
      <c r="B8" s="6">
        <f>'Purchased Power Model '!B195</f>
        <v>41860673</v>
      </c>
      <c r="C8" s="6">
        <f>'Purchased Power Model '!K195</f>
        <v>42054319.565060474</v>
      </c>
      <c r="D8" s="39">
        <f t="shared" si="0"/>
        <v>193646.56506047398</v>
      </c>
      <c r="E8" s="5">
        <f t="shared" si="1"/>
        <v>4.6259783033224039E-3</v>
      </c>
      <c r="F8" s="110">
        <f t="shared" ref="F8:F20" si="2">1 +(B8-G8)/G8</f>
        <v>1.0094007957845073</v>
      </c>
      <c r="G8" s="105">
        <f t="shared" ref="G8:G20" si="3">SUM(H8:L8)</f>
        <v>41470814.343341038</v>
      </c>
      <c r="H8" s="60">
        <f>'[13]Data Input'!$G$94</f>
        <v>11188981.307929177</v>
      </c>
      <c r="I8" s="60">
        <f>'[13]Data Input'!$J$94</f>
        <v>6166388.4626635881</v>
      </c>
      <c r="J8" s="60">
        <f>'[13]Data Input'!$M$94</f>
        <v>7497335.4503464215</v>
      </c>
      <c r="K8" s="60">
        <f>'[13]Data Input'!$Q$94</f>
        <v>16081346.227867592</v>
      </c>
      <c r="L8" s="60">
        <f>'[13]Data Input'!$U$94</f>
        <v>536762.89453425712</v>
      </c>
    </row>
    <row r="9" spans="1:18" x14ac:dyDescent="0.2">
      <c r="A9">
        <f>'Purchased Power Model '!A196</f>
        <v>2004</v>
      </c>
      <c r="B9" s="6">
        <f>'Purchased Power Model '!B196</f>
        <v>40321018.040000007</v>
      </c>
      <c r="C9" s="6">
        <f>'Purchased Power Model '!K196</f>
        <v>39418748.505477853</v>
      </c>
      <c r="D9" s="39">
        <f t="shared" si="0"/>
        <v>-902269.53452215344</v>
      </c>
      <c r="E9" s="5">
        <f t="shared" si="1"/>
        <v>-2.2377151629134642E-2</v>
      </c>
      <c r="F9" s="110">
        <f t="shared" si="2"/>
        <v>1.1141035997347883</v>
      </c>
      <c r="G9" s="105">
        <f t="shared" si="3"/>
        <v>36191444</v>
      </c>
      <c r="H9" s="60">
        <f>'[13]Data Input'!$G$106</f>
        <v>10849290</v>
      </c>
      <c r="I9" s="60">
        <f>'[13]Data Input'!$J$106</f>
        <v>5632822</v>
      </c>
      <c r="J9" s="60">
        <f>'[13]Data Input'!$M$106</f>
        <v>7156033</v>
      </c>
      <c r="K9" s="60">
        <f>'[13]Data Input'!$Q$106</f>
        <v>12033248</v>
      </c>
      <c r="L9" s="60">
        <f>'[13]Data Input'!$U$106</f>
        <v>520051</v>
      </c>
    </row>
    <row r="10" spans="1:18" x14ac:dyDescent="0.2">
      <c r="A10">
        <f>'Purchased Power Model '!A197</f>
        <v>2005</v>
      </c>
      <c r="B10" s="6">
        <f>'Purchased Power Model '!B197</f>
        <v>45911126</v>
      </c>
      <c r="C10" s="6">
        <f>'Purchased Power Model '!K197</f>
        <v>46157876.812191114</v>
      </c>
      <c r="D10" s="39">
        <f t="shared" si="0"/>
        <v>246750.81219111383</v>
      </c>
      <c r="E10" s="5">
        <f t="shared" si="1"/>
        <v>5.3745319204567934E-3</v>
      </c>
      <c r="F10" s="110">
        <f t="shared" si="2"/>
        <v>1.0601849290337788</v>
      </c>
      <c r="G10" s="105">
        <f t="shared" si="3"/>
        <v>43304828</v>
      </c>
      <c r="H10" s="60">
        <f>'[13]Data Input'!$G$118</f>
        <v>11133051</v>
      </c>
      <c r="I10" s="60">
        <f>'[13]Data Input'!$J$118</f>
        <v>5675887</v>
      </c>
      <c r="J10" s="60">
        <f>'[13]Data Input'!$M$118</f>
        <v>7221633</v>
      </c>
      <c r="K10" s="60">
        <f>'[13]Data Input'!$Q$118</f>
        <v>18768448</v>
      </c>
      <c r="L10" s="60">
        <f>'[13]Data Input'!$U$118</f>
        <v>505809</v>
      </c>
    </row>
    <row r="11" spans="1:18" x14ac:dyDescent="0.2">
      <c r="A11">
        <f>'Purchased Power Model '!A198</f>
        <v>2006</v>
      </c>
      <c r="B11" s="6">
        <f>'Purchased Power Model '!B198</f>
        <v>46231560.080000013</v>
      </c>
      <c r="C11" s="6">
        <f>'Purchased Power Model '!K198</f>
        <v>45957967.689415693</v>
      </c>
      <c r="D11" s="39">
        <f t="shared" si="0"/>
        <v>-273592.39058431983</v>
      </c>
      <c r="E11" s="5">
        <f t="shared" si="1"/>
        <v>-5.9178706085386279E-3</v>
      </c>
      <c r="F11" s="110">
        <f t="shared" si="2"/>
        <v>1.0672000828062074</v>
      </c>
      <c r="G11" s="105">
        <f t="shared" si="3"/>
        <v>43320424</v>
      </c>
      <c r="H11" s="60">
        <f>'[13]Data Input'!$G$130</f>
        <v>10762942</v>
      </c>
      <c r="I11" s="60">
        <f>'[13]Data Input'!$J$130</f>
        <v>5496538</v>
      </c>
      <c r="J11" s="60">
        <f>'[13]Data Input'!$M$130</f>
        <v>6934753</v>
      </c>
      <c r="K11" s="60">
        <f>'[13]Data Input'!$Q$130</f>
        <v>19638898</v>
      </c>
      <c r="L11" s="60">
        <f>'[13]Data Input'!$U$130</f>
        <v>487293</v>
      </c>
    </row>
    <row r="12" spans="1:18" x14ac:dyDescent="0.2">
      <c r="A12">
        <f>'Purchased Power Model '!A199</f>
        <v>2007</v>
      </c>
      <c r="B12" s="6">
        <f>'Purchased Power Model '!B199</f>
        <v>40722040.040000014</v>
      </c>
      <c r="C12" s="6">
        <f>'Purchased Power Model '!K199</f>
        <v>40060455.926618196</v>
      </c>
      <c r="D12" s="39">
        <f t="shared" si="0"/>
        <v>-661584.11338181794</v>
      </c>
      <c r="E12" s="5">
        <f t="shared" si="1"/>
        <v>-1.6246340132566151E-2</v>
      </c>
      <c r="F12" s="110">
        <f t="shared" si="2"/>
        <v>1.0582976918155538</v>
      </c>
      <c r="G12" s="105">
        <f t="shared" si="3"/>
        <v>38478814</v>
      </c>
      <c r="H12" s="60">
        <f>'[13]Data Input'!$G$142</f>
        <v>10963265</v>
      </c>
      <c r="I12" s="60">
        <f>'[13]Data Input'!$J$142</f>
        <v>5663356</v>
      </c>
      <c r="J12" s="60">
        <f>'[13]Data Input'!$M$142</f>
        <v>7221513</v>
      </c>
      <c r="K12" s="60">
        <f>'[13]Data Input'!$Q$142</f>
        <v>14122517</v>
      </c>
      <c r="L12" s="60">
        <f>'[13]Data Input'!$U$142</f>
        <v>508163</v>
      </c>
    </row>
    <row r="13" spans="1:18" x14ac:dyDescent="0.2">
      <c r="A13">
        <f>'Purchased Power Model '!A200</f>
        <v>2008</v>
      </c>
      <c r="B13" s="6">
        <f>'Purchased Power Model '!B200</f>
        <v>27014076.149999999</v>
      </c>
      <c r="C13" s="6">
        <f>'Purchased Power Model '!K200</f>
        <v>26845248.051850185</v>
      </c>
      <c r="D13" s="39">
        <f t="shared" si="0"/>
        <v>-168828.09814981371</v>
      </c>
      <c r="E13" s="5">
        <f t="shared" si="1"/>
        <v>-6.2496343466409351E-3</v>
      </c>
      <c r="F13" s="110">
        <f t="shared" si="2"/>
        <v>1.0997926566513105</v>
      </c>
      <c r="G13" s="105">
        <f t="shared" si="3"/>
        <v>24562881</v>
      </c>
      <c r="H13" s="60">
        <f>'[13]Data Input'!$G$153</f>
        <v>10340422</v>
      </c>
      <c r="I13" s="60">
        <f>'[13]Data Input'!$J$153</f>
        <v>5386486</v>
      </c>
      <c r="J13" s="60">
        <f>'[13]Data Input'!$M$153</f>
        <v>7206213</v>
      </c>
      <c r="K13" s="60">
        <f>'[13]Data Input'!$Q$153</f>
        <v>1140822</v>
      </c>
      <c r="L13" s="60">
        <f>'[13]Data Input'!$U$153</f>
        <v>488938</v>
      </c>
    </row>
    <row r="14" spans="1:18" x14ac:dyDescent="0.2">
      <c r="A14">
        <f>'Purchased Power Model '!A201</f>
        <v>2009</v>
      </c>
      <c r="B14" s="6">
        <f>'Purchased Power Model '!B201</f>
        <v>25781621.564615387</v>
      </c>
      <c r="C14" s="6">
        <f>'Purchased Power Model '!K201</f>
        <v>25037464.386366356</v>
      </c>
      <c r="D14" s="39">
        <f t="shared" si="0"/>
        <v>-744157.17824903131</v>
      </c>
      <c r="E14" s="5">
        <f t="shared" si="1"/>
        <v>-2.8863862437200922E-2</v>
      </c>
      <c r="F14" s="110">
        <f>1 +(B14-G14)/G14</f>
        <v>1.1063927880051989</v>
      </c>
      <c r="G14" s="105">
        <f t="shared" si="3"/>
        <v>23302412.890000001</v>
      </c>
      <c r="H14" s="60">
        <f>'[13]Data Input'!$G$165</f>
        <v>9751774</v>
      </c>
      <c r="I14" s="60">
        <f>'[13]Data Input'!$J$165</f>
        <v>4958913</v>
      </c>
      <c r="J14" s="60">
        <f>'[13]Data Input'!$M$165</f>
        <v>8094881</v>
      </c>
      <c r="K14" s="60">
        <v>0</v>
      </c>
      <c r="L14" s="60">
        <f>'[13]Data Input'!$U$165</f>
        <v>496844.89</v>
      </c>
    </row>
    <row r="15" spans="1:18" x14ac:dyDescent="0.2">
      <c r="A15">
        <f>'Purchased Power Model '!A202</f>
        <v>2010</v>
      </c>
      <c r="B15" s="6">
        <f>'Purchased Power Model '!B202</f>
        <v>24708723.119999997</v>
      </c>
      <c r="C15" s="6">
        <f>'Purchased Power Model '!K202</f>
        <v>23445416.720921185</v>
      </c>
      <c r="D15" s="39">
        <f t="shared" si="0"/>
        <v>-1263306.3990788125</v>
      </c>
      <c r="E15" s="5">
        <f t="shared" si="1"/>
        <v>-5.1127951571736767E-2</v>
      </c>
      <c r="F15" s="110">
        <f t="shared" si="2"/>
        <v>1.0781714636116861</v>
      </c>
      <c r="G15" s="105">
        <f t="shared" si="3"/>
        <v>22917248.280000001</v>
      </c>
      <c r="H15" s="60">
        <f>'[13]Data Input'!$G$177</f>
        <v>9926567.9900000002</v>
      </c>
      <c r="I15" s="60">
        <f>'[13]Data Input'!$J$177</f>
        <v>5016254</v>
      </c>
      <c r="J15" s="60">
        <f>'[13]Data Input'!$M$177</f>
        <v>7488858</v>
      </c>
      <c r="K15" s="60">
        <v>0</v>
      </c>
      <c r="L15" s="60">
        <f>'[13]Data Input'!$U$177</f>
        <v>485568.29</v>
      </c>
    </row>
    <row r="16" spans="1:18" x14ac:dyDescent="0.2">
      <c r="A16" s="4">
        <f>'Purchased Power Model '!A203</f>
        <v>2011</v>
      </c>
      <c r="B16" s="6">
        <f>'Purchased Power Model '!B203</f>
        <v>24741815.289999999</v>
      </c>
      <c r="C16" s="6">
        <f>'Purchased Power Model '!K203</f>
        <v>24918760.34155941</v>
      </c>
      <c r="D16" s="39">
        <f>C16-B16</f>
        <v>176945.05155941099</v>
      </c>
      <c r="E16" s="5">
        <f t="shared" si="1"/>
        <v>7.1516600332445128E-3</v>
      </c>
      <c r="F16" s="110">
        <f t="shared" si="2"/>
        <v>1.1053422634015628</v>
      </c>
      <c r="G16" s="105">
        <f t="shared" si="3"/>
        <v>22383849.879999999</v>
      </c>
      <c r="H16" s="60">
        <f>'[13]Data Input'!$G$189</f>
        <v>9619203.9199999999</v>
      </c>
      <c r="I16" s="60">
        <f>'[13]Data Input'!$J$189</f>
        <v>5619045.1600000001</v>
      </c>
      <c r="J16" s="60">
        <f>'[13]Data Input'!$M$189</f>
        <v>6675900</v>
      </c>
      <c r="K16" s="60">
        <v>0</v>
      </c>
      <c r="L16" s="60">
        <f>'[13]Data Input'!$U$189</f>
        <v>469700.8</v>
      </c>
    </row>
    <row r="17" spans="1:12" x14ac:dyDescent="0.2">
      <c r="A17">
        <f>'Purchased Power Model '!A204</f>
        <v>2012</v>
      </c>
      <c r="B17" s="65">
        <f>'Purchased Power Model '!B204</f>
        <v>24288144.07</v>
      </c>
      <c r="C17" s="65">
        <f>'Purchased Power Model '!K204</f>
        <v>26143106.94158224</v>
      </c>
      <c r="D17" s="113">
        <f>C17-B17</f>
        <v>1854962.8715822399</v>
      </c>
      <c r="E17" s="114">
        <f t="shared" si="1"/>
        <v>7.6373182991508817E-2</v>
      </c>
      <c r="F17" s="110">
        <f t="shared" si="2"/>
        <v>1.1061079954531707</v>
      </c>
      <c r="G17" s="105">
        <f>SUM(H17:L17)</f>
        <v>21958203.150000002</v>
      </c>
      <c r="H17" s="60">
        <v>9445561.1400000006</v>
      </c>
      <c r="I17" s="60">
        <v>5320355.49</v>
      </c>
      <c r="J17" s="60">
        <v>6722750</v>
      </c>
      <c r="K17" s="60">
        <v>0</v>
      </c>
      <c r="L17" s="60">
        <f>'[13]Data Input'!$U$201</f>
        <v>469536.52</v>
      </c>
    </row>
    <row r="18" spans="1:12" x14ac:dyDescent="0.2">
      <c r="A18">
        <f>'Purchased Power Model '!A205</f>
        <v>2013</v>
      </c>
      <c r="B18" s="65">
        <f>'Purchased Power Model '!B205</f>
        <v>24871616.660000004</v>
      </c>
      <c r="C18" s="65">
        <f>'Purchased Power Model '!K205</f>
        <v>28220258.103847928</v>
      </c>
      <c r="D18" s="113">
        <f>C18-B18</f>
        <v>3348641.4438479245</v>
      </c>
      <c r="E18" s="114">
        <f t="shared" si="1"/>
        <v>0.13463706399244271</v>
      </c>
      <c r="F18" s="110">
        <f t="shared" si="2"/>
        <v>1.1024701530783321</v>
      </c>
      <c r="G18" s="105">
        <f t="shared" si="3"/>
        <v>22559900.230000004</v>
      </c>
      <c r="H18" s="60">
        <v>9833794.3900000006</v>
      </c>
      <c r="I18" s="60">
        <v>5238114.24</v>
      </c>
      <c r="J18" s="60">
        <v>7020268</v>
      </c>
      <c r="K18" s="60">
        <v>0</v>
      </c>
      <c r="L18" s="60">
        <f>'[13]Data Input'!$U$213</f>
        <v>467723.6</v>
      </c>
    </row>
    <row r="19" spans="1:12" x14ac:dyDescent="0.2">
      <c r="A19">
        <f>'Purchased Power Model '!A206</f>
        <v>2014</v>
      </c>
      <c r="B19" s="6">
        <f>'Purchased Power Model '!B206</f>
        <v>25633173.069999997</v>
      </c>
      <c r="C19" s="6">
        <f>'Purchased Power Model '!K206</f>
        <v>29188104.248473953</v>
      </c>
      <c r="D19" s="39">
        <f t="shared" si="0"/>
        <v>3554931.1784739569</v>
      </c>
      <c r="E19" s="5">
        <f t="shared" si="1"/>
        <v>0.13868478821431987</v>
      </c>
      <c r="F19" s="110">
        <f t="shared" si="2"/>
        <v>1.0964896211411179</v>
      </c>
      <c r="G19" s="105">
        <f t="shared" si="3"/>
        <v>23377488.100000001</v>
      </c>
      <c r="H19" s="60">
        <f>'[13]Data Input'!$G$225</f>
        <v>9743005.5999999996</v>
      </c>
      <c r="I19" s="60">
        <f>'[13]Data Input'!$J$225</f>
        <v>5315998.9000000004</v>
      </c>
      <c r="J19" s="60">
        <f>'[13]Data Input'!$M$225</f>
        <v>7851921</v>
      </c>
      <c r="K19" s="60">
        <v>0</v>
      </c>
      <c r="L19" s="60">
        <f>'[13]Data Input'!$U$225</f>
        <v>466562.6</v>
      </c>
    </row>
    <row r="20" spans="1:12" x14ac:dyDescent="0.2">
      <c r="A20">
        <f>'Purchased Power Model '!A207</f>
        <v>2015</v>
      </c>
      <c r="B20" s="6">
        <f>'Purchased Power Model '!B207</f>
        <v>34806669.239999995</v>
      </c>
      <c r="C20" s="6">
        <f>'Purchased Power Model '!K207</f>
        <v>29259600.077626355</v>
      </c>
      <c r="D20" s="39">
        <f>C20-B20</f>
        <v>-5547069.1623736396</v>
      </c>
      <c r="E20" s="5">
        <f t="shared" si="1"/>
        <v>-0.15936799709634153</v>
      </c>
      <c r="F20" s="110">
        <f t="shared" si="2"/>
        <v>1.0752658592683959</v>
      </c>
      <c r="G20" s="105">
        <f t="shared" si="3"/>
        <v>32370291.439999998</v>
      </c>
      <c r="H20" s="60">
        <f>'[13]Data Input'!$G$237</f>
        <v>9225363.5999999996</v>
      </c>
      <c r="I20" s="60">
        <f>'[13]Data Input'!$J$237</f>
        <v>5110231.71</v>
      </c>
      <c r="J20" s="60">
        <f>'[13]Data Input'!$M$237</f>
        <v>17571100</v>
      </c>
      <c r="K20" s="60">
        <v>0</v>
      </c>
      <c r="L20" s="60">
        <f>'[13]Data Input'!$U$237</f>
        <v>463596.13</v>
      </c>
    </row>
    <row r="21" spans="1:12" x14ac:dyDescent="0.2">
      <c r="A21">
        <v>2016</v>
      </c>
      <c r="B21" s="6"/>
      <c r="C21" s="6">
        <f>'Purchased Power Model '!K208</f>
        <v>29607313.733103618</v>
      </c>
      <c r="G21" s="23">
        <f>C21/$F$24</f>
        <v>27337812.838352509</v>
      </c>
    </row>
    <row r="22" spans="1:12" x14ac:dyDescent="0.2">
      <c r="A22">
        <v>2017</v>
      </c>
      <c r="B22" s="6"/>
      <c r="C22" s="6">
        <f>'Purchased Power Model '!K209</f>
        <v>30012110.274900936</v>
      </c>
      <c r="G22" s="23">
        <f>C22/$F$24</f>
        <v>27711580.353940871</v>
      </c>
    </row>
    <row r="23" spans="1:12" x14ac:dyDescent="0.2">
      <c r="B23" s="6"/>
      <c r="C23" s="6"/>
      <c r="G23" s="29"/>
    </row>
    <row r="24" spans="1:12" x14ac:dyDescent="0.2">
      <c r="A24" s="21" t="s">
        <v>14</v>
      </c>
      <c r="F24" s="106">
        <f>AVERAGE(F8:F20)</f>
        <v>1.0830169153681235</v>
      </c>
    </row>
    <row r="25" spans="1:12" x14ac:dyDescent="0.2">
      <c r="E25"/>
      <c r="F25"/>
      <c r="G25"/>
    </row>
    <row r="27" spans="1:12" x14ac:dyDescent="0.2">
      <c r="A27" s="24" t="s">
        <v>16</v>
      </c>
      <c r="B27" s="13"/>
    </row>
    <row r="29" spans="1:12" x14ac:dyDescent="0.2">
      <c r="A29">
        <f t="shared" ref="A29:A36" si="4">A8</f>
        <v>2003</v>
      </c>
      <c r="H29" s="29">
        <f>H8/'Rate Class Customer Model'!B3</f>
        <v>7449.3883541472551</v>
      </c>
      <c r="I29" s="29">
        <f>I8/'Rate Class Customer Model'!C3</f>
        <v>22838.475787642918</v>
      </c>
      <c r="J29" s="29">
        <f>J8/'Rate Class Customer Model'!D3</f>
        <v>348713.2767602987</v>
      </c>
      <c r="K29" s="29">
        <f>K8/'Rate Class Customer Model'!E3</f>
        <v>16081346.227867592</v>
      </c>
      <c r="L29" s="29">
        <f>L8/'Rate Class Customer Model'!F3</f>
        <v>863.65711107684172</v>
      </c>
    </row>
    <row r="30" spans="1:12" x14ac:dyDescent="0.2">
      <c r="A30">
        <f t="shared" si="4"/>
        <v>2004</v>
      </c>
      <c r="H30" s="65">
        <f>H9/'Rate Class Customer Model'!B4</f>
        <v>7323.179210259872</v>
      </c>
      <c r="I30" s="65">
        <f>I9/'Rate Class Customer Model'!C4</f>
        <v>22132.89587426326</v>
      </c>
      <c r="J30" s="65">
        <f>J9/'Rate Class Customer Model'!D4</f>
        <v>340763.47619047621</v>
      </c>
      <c r="K30" s="65">
        <f>K9/'Rate Class Customer Model'!E4</f>
        <v>12033248</v>
      </c>
      <c r="L30" s="65">
        <f>L9/'Rate Class Customer Model'!F4</f>
        <v>842.18785425101214</v>
      </c>
    </row>
    <row r="31" spans="1:12" x14ac:dyDescent="0.2">
      <c r="A31">
        <f t="shared" si="4"/>
        <v>2005</v>
      </c>
      <c r="H31" s="65">
        <f>H10/'Rate Class Customer Model'!B5</f>
        <v>7586.4061328790458</v>
      </c>
      <c r="I31" s="65">
        <f>I10/'Rate Class Customer Model'!C5</f>
        <v>23025.910750507101</v>
      </c>
      <c r="J31" s="65">
        <f>J10/'Rate Class Customer Model'!D5</f>
        <v>352274.78048780491</v>
      </c>
      <c r="K31" s="65">
        <f>K10/'Rate Class Customer Model'!E5</f>
        <v>18768448</v>
      </c>
      <c r="L31" s="65">
        <f>L10/'Rate Class Customer Model'!F5</f>
        <v>816.47941888619857</v>
      </c>
    </row>
    <row r="32" spans="1:12" x14ac:dyDescent="0.2">
      <c r="A32">
        <f t="shared" si="4"/>
        <v>2006</v>
      </c>
      <c r="H32" s="65">
        <f>H11/'Rate Class Customer Model'!B6</f>
        <v>7392.1304945054944</v>
      </c>
      <c r="I32" s="65">
        <f>I11/'Rate Class Customer Model'!C6</f>
        <v>22343.650406504064</v>
      </c>
      <c r="J32" s="65">
        <f>J11/'Rate Class Customer Model'!D6</f>
        <v>346737.65</v>
      </c>
      <c r="K32" s="65">
        <f>K11/'Rate Class Customer Model'!E6</f>
        <v>19638898</v>
      </c>
      <c r="L32" s="65">
        <f>L11/'Rate Class Customer Model'!F6</f>
        <v>784.6908212560387</v>
      </c>
    </row>
    <row r="33" spans="1:12" x14ac:dyDescent="0.2">
      <c r="A33">
        <f t="shared" si="4"/>
        <v>2007</v>
      </c>
      <c r="H33" s="65">
        <f>H12/'Rate Class Customer Model'!B7</f>
        <v>7592.2887811634346</v>
      </c>
      <c r="I33" s="65">
        <f>I12/'Rate Class Customer Model'!C7</f>
        <v>23258.135523613964</v>
      </c>
      <c r="J33" s="65">
        <f>J12/'Rate Class Customer Model'!D7</f>
        <v>361075.65</v>
      </c>
      <c r="K33" s="65">
        <f>K12/'Rate Class Customer Model'!E7</f>
        <v>14122517</v>
      </c>
      <c r="L33" s="65">
        <f>L12/'Rate Class Customer Model'!F7</f>
        <v>818.95729250604347</v>
      </c>
    </row>
    <row r="34" spans="1:12" x14ac:dyDescent="0.2">
      <c r="A34">
        <f t="shared" si="4"/>
        <v>2008</v>
      </c>
      <c r="H34" s="65">
        <f>H13/'Rate Class Customer Model'!B8</f>
        <v>7215.926029309142</v>
      </c>
      <c r="I34" s="65">
        <f>I13/'Rate Class Customer Model'!C8</f>
        <v>22679.941052631581</v>
      </c>
      <c r="J34" s="65">
        <f>J13/'Rate Class Customer Model'!D8</f>
        <v>351522.58536585368</v>
      </c>
      <c r="K34" s="65">
        <f>K13/'Rate Class Customer Model'!E8</f>
        <v>1140822</v>
      </c>
      <c r="L34" s="65">
        <f>L13/'Rate Class Customer Model'!F8</f>
        <v>789.24616626311547</v>
      </c>
    </row>
    <row r="35" spans="1:12" x14ac:dyDescent="0.2">
      <c r="A35">
        <f t="shared" si="4"/>
        <v>2009</v>
      </c>
      <c r="H35" s="65">
        <f>H14/'Rate Class Customer Model'!B9</f>
        <v>6798.0299756012546</v>
      </c>
      <c r="I35" s="65">
        <f>I14/'Rate Class Customer Model'!C9</f>
        <v>20748.589958158995</v>
      </c>
      <c r="J35" s="65">
        <f>J14/'Rate Class Customer Model'!D9</f>
        <v>394872.24390243902</v>
      </c>
      <c r="K35" s="65">
        <v>0</v>
      </c>
      <c r="L35" s="65">
        <f>L14/'Rate Class Customer Model'!F9</f>
        <v>800.07228663446062</v>
      </c>
    </row>
    <row r="36" spans="1:12" x14ac:dyDescent="0.2">
      <c r="A36">
        <f t="shared" si="4"/>
        <v>2010</v>
      </c>
      <c r="H36" s="65">
        <f>H15/'Rate Class Customer Model'!B10</f>
        <v>6973.3529961362838</v>
      </c>
      <c r="I36" s="65">
        <f>I15/'Rate Class Customer Model'!C10</f>
        <v>21121.069473684209</v>
      </c>
      <c r="J36" s="65">
        <f>J15/'Rate Class Customer Model'!D10</f>
        <v>356612.28571428574</v>
      </c>
      <c r="K36" s="65">
        <f>K15/'Rate Class Customer Model'!E10</f>
        <v>0</v>
      </c>
      <c r="L36" s="65">
        <f>L15/'Rate Class Customer Model'!F10</f>
        <v>776.28823341326938</v>
      </c>
    </row>
    <row r="37" spans="1:12" x14ac:dyDescent="0.2">
      <c r="A37">
        <f>A17</f>
        <v>2012</v>
      </c>
      <c r="H37" s="65">
        <f>H16/'Rate Class Customer Model'!B11</f>
        <v>6829.3957543485976</v>
      </c>
      <c r="I37" s="65">
        <f>I16/'Rate Class Customer Model'!C11</f>
        <v>24272.333304535638</v>
      </c>
      <c r="J37" s="65">
        <f>J16/'Rate Class Customer Model'!D11</f>
        <v>303450</v>
      </c>
      <c r="K37" s="65">
        <f>K16/'Rate Class Customer Model'!E11</f>
        <v>0</v>
      </c>
      <c r="L37" s="65">
        <f>L16/'Rate Class Customer Model'!F11</f>
        <v>743.78590657165478</v>
      </c>
    </row>
    <row r="38" spans="1:12" x14ac:dyDescent="0.2">
      <c r="A38">
        <f>A18</f>
        <v>2013</v>
      </c>
      <c r="H38" s="65">
        <f>H17/'Rate Class Customer Model'!B12</f>
        <v>6698.9795319148943</v>
      </c>
      <c r="I38" s="65">
        <f>I17/'Rate Class Customer Model'!C12</f>
        <v>22785.248351177732</v>
      </c>
      <c r="J38" s="65">
        <f>J17/'Rate Class Customer Model'!D12</f>
        <v>336137.5</v>
      </c>
      <c r="K38" s="65">
        <f>K17/'Rate Class Customer Model'!E12</f>
        <v>0</v>
      </c>
      <c r="L38" s="65">
        <f>L17/'Rate Class Customer Model'!F12</f>
        <v>739.42759055118108</v>
      </c>
    </row>
    <row r="39" spans="1:12" x14ac:dyDescent="0.2">
      <c r="A39">
        <f>A18</f>
        <v>2013</v>
      </c>
      <c r="H39" s="65">
        <f>H18/'Rate Class Customer Model'!B13</f>
        <v>6961.9783292035399</v>
      </c>
      <c r="I39" s="65">
        <f>I18/'Rate Class Customer Model'!C13</f>
        <v>22337.374157782517</v>
      </c>
      <c r="J39" s="65">
        <f>J18/'Rate Class Customer Model'!D13</f>
        <v>390014.88888888888</v>
      </c>
      <c r="K39" s="65">
        <f>K18/'Rate Class Customer Model'!E13</f>
        <v>0</v>
      </c>
      <c r="L39" s="65">
        <f>L18/'Rate Class Customer Model'!F13</f>
        <v>736.57259842519682</v>
      </c>
    </row>
    <row r="40" spans="1:12" x14ac:dyDescent="0.2">
      <c r="A40">
        <f>A19</f>
        <v>2014</v>
      </c>
      <c r="H40" s="65">
        <f>H19/'Rate Class Customer Model'!B14</f>
        <v>6905.0358610914245</v>
      </c>
      <c r="I40" s="65">
        <f>I19/'Rate Class Customer Model'!C14</f>
        <v>22717.944017094018</v>
      </c>
      <c r="J40" s="65">
        <f>J19/'Rate Class Customer Model'!D14</f>
        <v>413259</v>
      </c>
      <c r="K40" s="65">
        <f>K19/'Rate Class Customer Model'!E14</f>
        <v>0</v>
      </c>
      <c r="L40" s="65">
        <f>L19/'Rate Class Customer Model'!F14</f>
        <v>737.64837944664032</v>
      </c>
    </row>
    <row r="41" spans="1:12" x14ac:dyDescent="0.2">
      <c r="A41">
        <f>A20</f>
        <v>2015</v>
      </c>
      <c r="H41" s="65">
        <f>H20/'Rate Class Customer Model'!B15</f>
        <v>6566.0950889679716</v>
      </c>
      <c r="I41" s="65">
        <f>I20/'Rate Class Customer Model'!C15</f>
        <v>21838.59705128205</v>
      </c>
      <c r="J41" s="65">
        <f>J20/'Rate Class Customer Model'!D15</f>
        <v>924794.73684210528</v>
      </c>
      <c r="K41" s="65">
        <f>K20/'Rate Class Customer Model'!E15</f>
        <v>0</v>
      </c>
      <c r="L41" s="65">
        <f>L20/'Rate Class Customer Model'!F15</f>
        <v>738.79861354581669</v>
      </c>
    </row>
    <row r="42" spans="1:12" x14ac:dyDescent="0.2">
      <c r="A42">
        <f>A21</f>
        <v>2016</v>
      </c>
      <c r="H42" s="23">
        <f>H41*H59</f>
        <v>6566.0950889679716</v>
      </c>
      <c r="I42" s="23">
        <f t="shared" ref="I42:L42" si="5">I41*I59</f>
        <v>21838.59705128205</v>
      </c>
      <c r="J42" s="23">
        <f>AVERAGE(J40:J41)</f>
        <v>669026.86842105258</v>
      </c>
      <c r="K42" s="23">
        <f t="shared" si="5"/>
        <v>0</v>
      </c>
      <c r="L42" s="23">
        <f t="shared" si="5"/>
        <v>738.79861354581669</v>
      </c>
    </row>
    <row r="43" spans="1:12" x14ac:dyDescent="0.2">
      <c r="A43">
        <f>A22</f>
        <v>2017</v>
      </c>
      <c r="H43" s="23">
        <f>H42*H59</f>
        <v>6566.0950889679716</v>
      </c>
      <c r="I43" s="23">
        <f t="shared" ref="I43:L43" si="6">I42*I59</f>
        <v>21838.59705128205</v>
      </c>
      <c r="J43" s="23">
        <f t="shared" si="6"/>
        <v>669026.86842105258</v>
      </c>
      <c r="K43" s="23">
        <f t="shared" si="6"/>
        <v>0</v>
      </c>
      <c r="L43" s="23">
        <f t="shared" si="6"/>
        <v>738.79861354581669</v>
      </c>
    </row>
    <row r="45" spans="1:12" x14ac:dyDescent="0.2">
      <c r="A45" s="40">
        <v>2003</v>
      </c>
      <c r="D45" s="6"/>
      <c r="H45" s="27"/>
      <c r="I45" s="27"/>
      <c r="J45" s="27"/>
      <c r="K45" s="27"/>
      <c r="L45" s="27"/>
    </row>
    <row r="46" spans="1:12" x14ac:dyDescent="0.2">
      <c r="A46" s="40">
        <v>2004</v>
      </c>
      <c r="D46" s="6"/>
      <c r="H46" s="27">
        <f>H30/H29</f>
        <v>0.98305778435928648</v>
      </c>
      <c r="I46" s="27">
        <f>I30/I29</f>
        <v>0.96910564785757636</v>
      </c>
      <c r="J46" s="27">
        <f>J30/J29</f>
        <v>0.97720247234725421</v>
      </c>
      <c r="K46" s="27">
        <f>K30/K29</f>
        <v>0.74827367245830545</v>
      </c>
      <c r="L46" s="27">
        <f>L30/L29</f>
        <v>0.97514145770297556</v>
      </c>
    </row>
    <row r="47" spans="1:12" x14ac:dyDescent="0.2">
      <c r="A47" s="40">
        <v>2005</v>
      </c>
      <c r="D47" s="6"/>
      <c r="H47" s="27">
        <f t="shared" ref="H47:L57" si="7">H31/H30</f>
        <v>1.0359443508156114</v>
      </c>
      <c r="I47" s="27">
        <f t="shared" si="7"/>
        <v>1.0403478551255583</v>
      </c>
      <c r="J47" s="27">
        <f t="shared" si="7"/>
        <v>1.0337809216704146</v>
      </c>
      <c r="K47" s="27">
        <f t="shared" si="7"/>
        <v>1.5597158805336679</v>
      </c>
      <c r="L47" s="27">
        <f t="shared" si="7"/>
        <v>0.96947422687818618</v>
      </c>
    </row>
    <row r="48" spans="1:12" x14ac:dyDescent="0.2">
      <c r="A48" s="40">
        <v>2006</v>
      </c>
      <c r="D48" s="6"/>
      <c r="H48" s="27">
        <f t="shared" si="7"/>
        <v>0.97439161113039119</v>
      </c>
      <c r="I48" s="27">
        <f t="shared" si="7"/>
        <v>0.9703698867160766</v>
      </c>
      <c r="J48" s="27">
        <f t="shared" si="7"/>
        <v>0.98428178571245584</v>
      </c>
      <c r="K48" s="27">
        <f t="shared" si="7"/>
        <v>1.0463783686322918</v>
      </c>
      <c r="L48" s="27">
        <f t="shared" si="7"/>
        <v>0.96106625973068083</v>
      </c>
    </row>
    <row r="49" spans="1:13" x14ac:dyDescent="0.2">
      <c r="A49" s="40">
        <v>2007</v>
      </c>
      <c r="D49" s="6"/>
      <c r="H49" s="27">
        <f t="shared" si="7"/>
        <v>1.0270772122876775</v>
      </c>
      <c r="I49" s="27">
        <f t="shared" si="7"/>
        <v>1.0409281876717738</v>
      </c>
      <c r="J49" s="27">
        <f t="shared" si="7"/>
        <v>1.0413511483393858</v>
      </c>
      <c r="K49" s="27">
        <f t="shared" si="7"/>
        <v>0.71910944290254986</v>
      </c>
      <c r="L49" s="27">
        <f t="shared" si="7"/>
        <v>1.0436687550329125</v>
      </c>
    </row>
    <row r="50" spans="1:13" x14ac:dyDescent="0.2">
      <c r="A50" s="40">
        <v>2008</v>
      </c>
      <c r="D50" s="6"/>
      <c r="H50" s="27">
        <f t="shared" si="7"/>
        <v>0.95042828813518609</v>
      </c>
      <c r="I50" s="27">
        <f t="shared" si="7"/>
        <v>0.97514011944786616</v>
      </c>
      <c r="J50" s="27">
        <f t="shared" si="7"/>
        <v>0.97354276137383855</v>
      </c>
      <c r="K50" s="27">
        <f t="shared" si="7"/>
        <v>8.0780359478413097E-2</v>
      </c>
      <c r="L50" s="27">
        <f t="shared" si="7"/>
        <v>0.96372078676775597</v>
      </c>
    </row>
    <row r="51" spans="1:13" x14ac:dyDescent="0.2">
      <c r="A51" s="40">
        <v>2009</v>
      </c>
      <c r="D51" s="6"/>
      <c r="H51" s="27">
        <f t="shared" si="7"/>
        <v>0.94208698204353725</v>
      </c>
      <c r="I51" s="27">
        <f t="shared" si="7"/>
        <v>0.91484320483943726</v>
      </c>
      <c r="J51" s="27">
        <f t="shared" si="7"/>
        <v>1.1233196964896819</v>
      </c>
      <c r="K51" s="27">
        <f t="shared" si="7"/>
        <v>0</v>
      </c>
      <c r="L51" s="27">
        <f t="shared" si="7"/>
        <v>1.0137170389089176</v>
      </c>
    </row>
    <row r="52" spans="1:13" x14ac:dyDescent="0.2">
      <c r="A52" s="40">
        <v>2010</v>
      </c>
      <c r="D52" s="6"/>
      <c r="H52" s="27">
        <f t="shared" si="7"/>
        <v>1.0257902688226264</v>
      </c>
      <c r="I52" s="27">
        <f t="shared" si="7"/>
        <v>1.0179520399350677</v>
      </c>
      <c r="J52" s="27">
        <f t="shared" si="7"/>
        <v>0.90310800827620041</v>
      </c>
      <c r="K52" s="27">
        <f>K51</f>
        <v>0</v>
      </c>
      <c r="L52" s="27">
        <f t="shared" ref="L52:L57" si="8">L36/L35</f>
        <v>0.97027261958886246</v>
      </c>
    </row>
    <row r="53" spans="1:13" x14ac:dyDescent="0.2">
      <c r="A53" s="40">
        <v>2011</v>
      </c>
      <c r="D53" s="6"/>
      <c r="H53" s="27">
        <f t="shared" si="7"/>
        <v>0.97935609428241355</v>
      </c>
      <c r="I53" s="27">
        <f t="shared" si="7"/>
        <v>1.1492000125645978</v>
      </c>
      <c r="J53" s="27">
        <f t="shared" si="7"/>
        <v>0.850924132891824</v>
      </c>
      <c r="K53" s="27">
        <f t="shared" ref="K53:K57" si="9">K52</f>
        <v>0</v>
      </c>
      <c r="L53" s="27">
        <f t="shared" si="8"/>
        <v>0.95813110975712612</v>
      </c>
    </row>
    <row r="54" spans="1:13" x14ac:dyDescent="0.2">
      <c r="A54" s="40">
        <v>2012</v>
      </c>
      <c r="D54" s="6"/>
      <c r="H54" s="27">
        <f t="shared" si="7"/>
        <v>0.98090369527191901</v>
      </c>
      <c r="I54" s="27">
        <f t="shared" si="7"/>
        <v>0.93873333335118536</v>
      </c>
      <c r="J54" s="27">
        <f t="shared" si="7"/>
        <v>1.1077195584116</v>
      </c>
      <c r="K54" s="27">
        <f t="shared" si="9"/>
        <v>0</v>
      </c>
      <c r="L54" s="27">
        <f t="shared" si="8"/>
        <v>0.994140362190294</v>
      </c>
    </row>
    <row r="55" spans="1:13" x14ac:dyDescent="0.2">
      <c r="A55" s="40">
        <v>2013</v>
      </c>
      <c r="D55" s="6"/>
      <c r="H55" s="27">
        <f t="shared" si="7"/>
        <v>1.0392595314011159</v>
      </c>
      <c r="I55" s="27">
        <f t="shared" si="7"/>
        <v>0.98034367734367633</v>
      </c>
      <c r="J55" s="27">
        <f t="shared" si="7"/>
        <v>1.1602837793726939</v>
      </c>
      <c r="K55" s="27">
        <f t="shared" si="9"/>
        <v>0</v>
      </c>
      <c r="L55" s="27">
        <f t="shared" si="8"/>
        <v>0.99613891588241099</v>
      </c>
    </row>
    <row r="56" spans="1:13" x14ac:dyDescent="0.2">
      <c r="A56" s="40">
        <v>2014</v>
      </c>
      <c r="D56" s="6"/>
      <c r="H56" s="27">
        <f t="shared" si="7"/>
        <v>0.99182093574275321</v>
      </c>
      <c r="I56" s="27">
        <f t="shared" si="7"/>
        <v>1.0170373588508346</v>
      </c>
      <c r="J56" s="27">
        <f t="shared" si="7"/>
        <v>1.0595980096486346</v>
      </c>
      <c r="K56" s="27">
        <f t="shared" si="9"/>
        <v>0</v>
      </c>
      <c r="L56" s="27">
        <f t="shared" si="8"/>
        <v>1.0014605227288438</v>
      </c>
    </row>
    <row r="57" spans="1:13" x14ac:dyDescent="0.2">
      <c r="A57" s="40">
        <v>2015</v>
      </c>
      <c r="D57" s="6"/>
      <c r="H57" s="27">
        <f t="shared" si="7"/>
        <v>0.95091397366473929</v>
      </c>
      <c r="I57" s="27">
        <f t="shared" si="7"/>
        <v>0.96129284563997919</v>
      </c>
      <c r="J57" s="27">
        <f t="shared" si="7"/>
        <v>2.2378090660871397</v>
      </c>
      <c r="K57" s="27">
        <f t="shared" si="9"/>
        <v>0</v>
      </c>
      <c r="L57" s="27">
        <f t="shared" si="8"/>
        <v>1.0015593257319149</v>
      </c>
    </row>
    <row r="58" spans="1:13" x14ac:dyDescent="0.2">
      <c r="A58" s="40"/>
      <c r="D58" s="6"/>
      <c r="H58" s="27"/>
      <c r="I58" s="27"/>
      <c r="J58" s="27"/>
      <c r="K58" s="27"/>
      <c r="L58" s="27"/>
    </row>
    <row r="59" spans="1:13" x14ac:dyDescent="0.2">
      <c r="A59" t="s">
        <v>18</v>
      </c>
      <c r="D59" s="6"/>
      <c r="H59" s="27">
        <v>1</v>
      </c>
      <c r="I59" s="27">
        <v>1</v>
      </c>
      <c r="J59" s="27">
        <v>1</v>
      </c>
      <c r="K59" s="27">
        <v>1</v>
      </c>
      <c r="L59" s="27">
        <v>1</v>
      </c>
    </row>
    <row r="60" spans="1:13" x14ac:dyDescent="0.2">
      <c r="A60" s="3"/>
      <c r="D60" s="6"/>
      <c r="H60" s="13"/>
      <c r="I60" s="13"/>
      <c r="L60" s="11"/>
    </row>
    <row r="61" spans="1:13" x14ac:dyDescent="0.2">
      <c r="A61" t="s">
        <v>15</v>
      </c>
      <c r="D61" s="6"/>
      <c r="H61" s="27">
        <f>GEOMEAN(H46:H57)</f>
        <v>0.98953739880695035</v>
      </c>
      <c r="I61" s="27">
        <f t="shared" ref="I61:L61" si="10">GEOMEAN(I46:I57)</f>
        <v>0.99627630546077395</v>
      </c>
      <c r="J61" s="27">
        <f t="shared" si="10"/>
        <v>1.0846711081369198</v>
      </c>
      <c r="K61" s="27">
        <v>0</v>
      </c>
      <c r="L61" s="27">
        <f t="shared" si="10"/>
        <v>0.98707175902379141</v>
      </c>
    </row>
    <row r="62" spans="1:13" x14ac:dyDescent="0.2">
      <c r="D62" s="6"/>
      <c r="H62" s="27"/>
      <c r="I62" s="27"/>
      <c r="J62" s="27"/>
      <c r="K62" s="27"/>
      <c r="L62" s="27"/>
    </row>
    <row r="63" spans="1:13" x14ac:dyDescent="0.2">
      <c r="A63" s="21" t="s">
        <v>45</v>
      </c>
    </row>
    <row r="64" spans="1:13" x14ac:dyDescent="0.2">
      <c r="A64">
        <v>2016</v>
      </c>
      <c r="G64" s="39">
        <f>SUM(H64:L64)</f>
        <v>26059041.787156574</v>
      </c>
      <c r="H64" s="39">
        <f>H42*'Rate Class Customer Model'!B16</f>
        <v>9174182.1368629262</v>
      </c>
      <c r="I64" s="39">
        <f>I42*'Rate Class Customer Model'!C16</f>
        <v>5049653.7536696186</v>
      </c>
      <c r="J64" s="39">
        <f>J42*'Rate Class Customer Model'!D16</f>
        <v>11373456.763157893</v>
      </c>
      <c r="K64" s="39">
        <f>K42*'Rate Class Customer Model'!E16</f>
        <v>0</v>
      </c>
      <c r="L64" s="39">
        <f>L42*'Rate Class Customer Model'!F16</f>
        <v>461749.13346613542</v>
      </c>
      <c r="M64" s="39"/>
    </row>
    <row r="65" spans="1:14" x14ac:dyDescent="0.2">
      <c r="A65">
        <v>2017</v>
      </c>
      <c r="G65" s="39">
        <f>SUM(H65:L65)</f>
        <v>25948284.423853017</v>
      </c>
      <c r="H65" s="39">
        <f>H43*'Rate Class Customer Model'!B17</f>
        <v>9123284.6237447821</v>
      </c>
      <c r="I65" s="39">
        <f>I43*'Rate Class Customer Model'!C17</f>
        <v>4989793.9034842066</v>
      </c>
      <c r="J65" s="39">
        <f>J43*'Rate Class Customer Model'!D17</f>
        <v>11373456.763157893</v>
      </c>
      <c r="K65" s="39">
        <f>K43*'Rate Class Customer Model'!E17</f>
        <v>0</v>
      </c>
      <c r="L65" s="39">
        <f>L43*'Rate Class Customer Model'!F17</f>
        <v>461749.13346613542</v>
      </c>
      <c r="M65" s="39"/>
    </row>
    <row r="66" spans="1:14" x14ac:dyDescent="0.2">
      <c r="G66" s="39"/>
      <c r="H66" s="39"/>
      <c r="I66" s="39"/>
      <c r="J66" s="39"/>
      <c r="K66" s="39"/>
      <c r="L66" s="39"/>
      <c r="M66" s="39"/>
    </row>
    <row r="67" spans="1:14" x14ac:dyDescent="0.2">
      <c r="A67" s="21" t="s">
        <v>44</v>
      </c>
      <c r="G67" s="39"/>
      <c r="H67" s="39"/>
      <c r="I67" s="39"/>
      <c r="J67" s="39"/>
      <c r="K67" s="39"/>
      <c r="L67" s="39"/>
      <c r="M67" s="39" t="s">
        <v>17</v>
      </c>
    </row>
    <row r="68" spans="1:14" x14ac:dyDescent="0.2">
      <c r="A68">
        <v>2016</v>
      </c>
      <c r="G68" s="61">
        <f>G21</f>
        <v>27337812.838352509</v>
      </c>
      <c r="H68" s="39">
        <f>H64+H76-H80</f>
        <v>9620554.3751475941</v>
      </c>
      <c r="I68" s="39">
        <f t="shared" ref="I68:L68" si="11">I64+I76-I80</f>
        <v>5250091.0085293613</v>
      </c>
      <c r="J68" s="39">
        <f t="shared" si="11"/>
        <v>11870853.821209416</v>
      </c>
      <c r="K68" s="39">
        <f t="shared" si="11"/>
        <v>0</v>
      </c>
      <c r="L68" s="39">
        <f t="shared" si="11"/>
        <v>461749.13346613542</v>
      </c>
      <c r="M68" s="39">
        <f>SUM(H68:L68)</f>
        <v>27203248.338352505</v>
      </c>
      <c r="N68" s="39">
        <f>M68-G68</f>
        <v>-134564.50000000373</v>
      </c>
    </row>
    <row r="69" spans="1:14" x14ac:dyDescent="0.2">
      <c r="A69">
        <v>2017</v>
      </c>
      <c r="G69" s="61">
        <f>G22</f>
        <v>27711580.353940871</v>
      </c>
      <c r="H69" s="39">
        <f>H65+H77-H81</f>
        <v>9682146.5299625322</v>
      </c>
      <c r="I69" s="39">
        <f t="shared" ref="I69:L69" si="12">I65+I77-I81</f>
        <v>5119280.7263826206</v>
      </c>
      <c r="J69" s="39">
        <f>J65+J77-J81+J90</f>
        <v>15044561.464129582</v>
      </c>
      <c r="K69" s="39">
        <f t="shared" si="12"/>
        <v>0</v>
      </c>
      <c r="L69" s="39">
        <f t="shared" si="12"/>
        <v>461749.13346613542</v>
      </c>
      <c r="M69" s="39">
        <f>SUM(H69:L69)</f>
        <v>30307737.853940871</v>
      </c>
      <c r="N69" s="39">
        <f>M69-G69</f>
        <v>2596157.5</v>
      </c>
    </row>
    <row r="70" spans="1:14" x14ac:dyDescent="0.2">
      <c r="G70" s="39"/>
      <c r="H70" s="39"/>
      <c r="I70" s="39"/>
      <c r="J70" s="39"/>
      <c r="K70" s="39"/>
      <c r="L70" s="39"/>
      <c r="M70" s="39"/>
    </row>
    <row r="71" spans="1:14" x14ac:dyDescent="0.2">
      <c r="A71" s="54" t="s">
        <v>46</v>
      </c>
      <c r="G71" s="39"/>
      <c r="H71" s="107">
        <f>(100%+J71)/2</f>
        <v>0.8388960051232367</v>
      </c>
      <c r="I71" s="107">
        <f>H71</f>
        <v>0.8388960051232367</v>
      </c>
      <c r="J71" s="107">
        <v>0.6777920102464734</v>
      </c>
      <c r="K71" s="62">
        <v>0</v>
      </c>
      <c r="L71" s="62">
        <v>0</v>
      </c>
      <c r="M71" s="39" t="s">
        <v>17</v>
      </c>
    </row>
    <row r="72" spans="1:14" x14ac:dyDescent="0.2">
      <c r="A72">
        <v>2016</v>
      </c>
      <c r="G72" s="39">
        <f>G68-G64</f>
        <v>1278771.0511959344</v>
      </c>
      <c r="H72" s="39">
        <f t="shared" ref="H72:L72" si="13">H64*H71</f>
        <v>7696184.7448872682</v>
      </c>
      <c r="I72" s="39">
        <f t="shared" si="13"/>
        <v>4236134.3612089995</v>
      </c>
      <c r="J72" s="39">
        <f t="shared" si="13"/>
        <v>7708838.1229521371</v>
      </c>
      <c r="K72" s="39">
        <f t="shared" si="13"/>
        <v>0</v>
      </c>
      <c r="L72" s="39">
        <f t="shared" si="13"/>
        <v>0</v>
      </c>
      <c r="M72" s="39">
        <f>SUM(H72:L72)</f>
        <v>19641157.229048405</v>
      </c>
    </row>
    <row r="73" spans="1:14" x14ac:dyDescent="0.2">
      <c r="A73">
        <v>2017</v>
      </c>
      <c r="G73" s="39">
        <f>G69-G65</f>
        <v>1763295.9300878532</v>
      </c>
      <c r="H73" s="39">
        <f t="shared" ref="H73:L73" si="14">H65*H71</f>
        <v>7653487.024461749</v>
      </c>
      <c r="I73" s="39">
        <f t="shared" si="14"/>
        <v>4185918.1720211823</v>
      </c>
      <c r="J73" s="39">
        <f t="shared" si="14"/>
        <v>7708838.1229521371</v>
      </c>
      <c r="K73" s="39">
        <f t="shared" si="14"/>
        <v>0</v>
      </c>
      <c r="L73" s="39">
        <f t="shared" si="14"/>
        <v>0</v>
      </c>
      <c r="M73" s="39">
        <f>SUM(H73:L73)</f>
        <v>19548243.319435067</v>
      </c>
    </row>
    <row r="74" spans="1:14" ht="12" customHeight="1" x14ac:dyDescent="0.2">
      <c r="G74" s="39"/>
      <c r="H74" s="39"/>
      <c r="I74" s="39"/>
      <c r="J74" s="39"/>
      <c r="K74" s="39"/>
      <c r="L74" s="39"/>
      <c r="M74" s="39"/>
    </row>
    <row r="75" spans="1:14" x14ac:dyDescent="0.2">
      <c r="A75" t="s">
        <v>47</v>
      </c>
      <c r="G75" s="39"/>
      <c r="H75" s="39"/>
      <c r="I75" s="39"/>
      <c r="J75" s="39"/>
      <c r="K75" s="39"/>
      <c r="L75" s="39"/>
      <c r="M75" s="39"/>
    </row>
    <row r="76" spans="1:14" x14ac:dyDescent="0.2">
      <c r="A76">
        <v>2016</v>
      </c>
      <c r="G76" s="39"/>
      <c r="H76" s="39">
        <f>H72/$M$72*$G$72</f>
        <v>501073.2382846683</v>
      </c>
      <c r="I76" s="39">
        <f>I72/$M$72*$G$72</f>
        <v>275800.75485974312</v>
      </c>
      <c r="J76" s="39">
        <f>J72/$M$72*$G$72</f>
        <v>501897.058051523</v>
      </c>
      <c r="K76" s="39">
        <f>K72/$M$72*$G$72</f>
        <v>0</v>
      </c>
      <c r="L76" s="39">
        <f>L72/$M$72*$G$72</f>
        <v>0</v>
      </c>
      <c r="M76" s="39">
        <f>SUM(H76:L76)</f>
        <v>1278771.0511959344</v>
      </c>
    </row>
    <row r="77" spans="1:14" x14ac:dyDescent="0.2">
      <c r="A77">
        <v>2017</v>
      </c>
      <c r="G77" s="39"/>
      <c r="H77" s="39">
        <f>H73/$M$73*$G$73</f>
        <v>690361.90621775028</v>
      </c>
      <c r="I77" s="39">
        <f>I73/$M$73*$G$73</f>
        <v>377579.32289841393</v>
      </c>
      <c r="J77" s="39">
        <f>J73/$M$73*$G$73</f>
        <v>695354.70097168908</v>
      </c>
      <c r="K77" s="39">
        <f>K73/$M$73*$G$73</f>
        <v>0</v>
      </c>
      <c r="L77" s="39">
        <f>L73/$M$73*$G$73</f>
        <v>0</v>
      </c>
      <c r="M77" s="39">
        <f>SUM(H77:L77)</f>
        <v>1763295.9300878532</v>
      </c>
    </row>
    <row r="78" spans="1:14" x14ac:dyDescent="0.2">
      <c r="G78" s="39"/>
      <c r="H78" s="39"/>
      <c r="I78" s="39"/>
      <c r="J78" s="39"/>
      <c r="K78" s="39"/>
      <c r="L78" s="39"/>
      <c r="M78" s="39"/>
    </row>
    <row r="79" spans="1:14" x14ac:dyDescent="0.2">
      <c r="A79" s="112" t="s">
        <v>140</v>
      </c>
      <c r="G79" s="39"/>
      <c r="H79" s="39"/>
      <c r="I79" s="39"/>
      <c r="J79" s="39"/>
      <c r="K79" s="39"/>
      <c r="L79" s="39"/>
      <c r="M79" s="39"/>
    </row>
    <row r="80" spans="1:14" x14ac:dyDescent="0.2">
      <c r="A80">
        <v>2016</v>
      </c>
      <c r="G80" s="39">
        <f>(G85+G87)/2</f>
        <v>134564.5</v>
      </c>
      <c r="H80" s="39">
        <f>(H85+H87)/2</f>
        <v>54701</v>
      </c>
      <c r="I80" s="39">
        <f t="shared" ref="I80:J80" si="15">(I85+I87)/2</f>
        <v>75363.5</v>
      </c>
      <c r="J80" s="39">
        <f t="shared" si="15"/>
        <v>4500</v>
      </c>
      <c r="K80" s="39">
        <f t="shared" ref="K80:L80" si="16">(K85+K87)/2</f>
        <v>0</v>
      </c>
      <c r="L80" s="39">
        <f t="shared" si="16"/>
        <v>0</v>
      </c>
      <c r="M80" s="39">
        <f>SUM(H80:L80)</f>
        <v>134564.5</v>
      </c>
      <c r="N80" s="39"/>
    </row>
    <row r="81" spans="1:14" x14ac:dyDescent="0.2">
      <c r="A81">
        <v>2017</v>
      </c>
      <c r="G81" s="39">
        <f>G86*0.5+G87+G88*0.5</f>
        <v>403842.5</v>
      </c>
      <c r="H81" s="39">
        <f>H86*0.5+H87+H88*0.5</f>
        <v>131500</v>
      </c>
      <c r="I81" s="39">
        <f t="shared" ref="I81:J81" si="17">I86*0.5+I87+I88*0.5</f>
        <v>248092.5</v>
      </c>
      <c r="J81" s="39">
        <f t="shared" si="17"/>
        <v>24250</v>
      </c>
      <c r="K81" s="39">
        <f t="shared" ref="K81:L81" si="18">K85*0.5+K87+K88*0.5</f>
        <v>0</v>
      </c>
      <c r="L81" s="39">
        <f t="shared" si="18"/>
        <v>0</v>
      </c>
      <c r="M81" s="39">
        <f>SUM(H81:L81)</f>
        <v>403842.5</v>
      </c>
      <c r="N81" s="39"/>
    </row>
    <row r="82" spans="1:14" x14ac:dyDescent="0.2">
      <c r="G82" s="39"/>
      <c r="H82" s="39"/>
      <c r="I82" s="39"/>
      <c r="J82" s="39"/>
      <c r="K82" s="39"/>
      <c r="L82" s="39"/>
      <c r="M82" s="39"/>
    </row>
    <row r="83" spans="1:14" x14ac:dyDescent="0.2">
      <c r="A83" s="112" t="s">
        <v>141</v>
      </c>
      <c r="L83" s="39"/>
      <c r="M83" s="39"/>
    </row>
    <row r="84" spans="1:14" x14ac:dyDescent="0.2">
      <c r="A84" s="337">
        <v>2015</v>
      </c>
      <c r="G84" s="39">
        <f>'[15]Energy Savings'!$F$33</f>
        <v>127219</v>
      </c>
      <c r="H84" s="6">
        <f>G84-I84</f>
        <v>55215</v>
      </c>
      <c r="I84" s="39">
        <f>'[15]Energy Savings'!F12+'[15]Energy Savings'!F13</f>
        <v>72004</v>
      </c>
      <c r="J84" s="39"/>
      <c r="K84" s="39"/>
      <c r="L84" s="39"/>
      <c r="M84" s="39"/>
    </row>
    <row r="85" spans="1:14" x14ac:dyDescent="0.2">
      <c r="A85" s="112" t="s">
        <v>311</v>
      </c>
      <c r="G85" s="39">
        <f>'[15]Energy Savings'!$G$33</f>
        <v>122129</v>
      </c>
      <c r="H85" s="6">
        <f>G85-I85</f>
        <v>52402</v>
      </c>
      <c r="I85" s="39">
        <f>'[15]Energy Savings'!G12+'[15]Energy Savings'!G13</f>
        <v>69727</v>
      </c>
      <c r="J85" s="108"/>
      <c r="K85" s="73">
        <f>K64/$G$64*$G$86</f>
        <v>0</v>
      </c>
      <c r="L85" s="108">
        <v>0</v>
      </c>
      <c r="M85" s="108">
        <f>SUM(H85:L85)</f>
        <v>122129</v>
      </c>
    </row>
    <row r="86" spans="1:14" x14ac:dyDescent="0.2">
      <c r="A86" s="112" t="s">
        <v>313</v>
      </c>
      <c r="G86" s="108">
        <f>'[15]Energy Savings'!$H$33</f>
        <v>111685</v>
      </c>
      <c r="H86" s="6">
        <f>G86-I86</f>
        <v>52000</v>
      </c>
      <c r="I86" s="39">
        <f>'[15]Energy Savings'!H12+'[15]Energy Savings'!H13</f>
        <v>59685</v>
      </c>
      <c r="J86" s="108"/>
      <c r="K86" s="73"/>
      <c r="L86" s="108"/>
      <c r="M86" s="108"/>
    </row>
    <row r="87" spans="1:14" x14ac:dyDescent="0.2">
      <c r="A87" s="338">
        <v>2016</v>
      </c>
      <c r="G87" s="108">
        <v>147000</v>
      </c>
      <c r="H87" s="108">
        <v>57000</v>
      </c>
      <c r="I87" s="108">
        <v>81000</v>
      </c>
      <c r="J87" s="108">
        <v>9000</v>
      </c>
      <c r="K87" s="73">
        <f>K65/$G$64*$G$86</f>
        <v>0</v>
      </c>
      <c r="L87" s="108">
        <v>0</v>
      </c>
      <c r="M87" s="108">
        <f>SUM(H87:L87)</f>
        <v>147000</v>
      </c>
    </row>
    <row r="88" spans="1:14" x14ac:dyDescent="0.2">
      <c r="A88" s="338">
        <v>2017</v>
      </c>
      <c r="G88" s="108">
        <v>402000</v>
      </c>
      <c r="H88" s="108">
        <v>97000</v>
      </c>
      <c r="I88" s="108">
        <v>274500</v>
      </c>
      <c r="J88" s="108">
        <v>30500</v>
      </c>
      <c r="K88" s="73">
        <f>K65/$G$65*$G$88</f>
        <v>0</v>
      </c>
      <c r="L88" s="108">
        <v>0</v>
      </c>
      <c r="M88" s="108">
        <f>SUM(H88:L88)</f>
        <v>402000</v>
      </c>
    </row>
    <row r="90" spans="1:14" x14ac:dyDescent="0.2">
      <c r="A90" s="112" t="s">
        <v>312</v>
      </c>
      <c r="J90" s="6">
        <v>3000000</v>
      </c>
    </row>
  </sheetData>
  <phoneticPr fontId="0" type="noConversion"/>
  <pageMargins left="0.38" right="0.75" top="0.73" bottom="0.74" header="0.5" footer="0.5"/>
  <pageSetup orientation="landscape" verticalDpi="300" r:id="rId1"/>
  <headerFooter alignWithMargins="0"/>
  <ignoredErrors>
    <ignoredError sqref="J6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9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5" sqref="F15"/>
    </sheetView>
  </sheetViews>
  <sheetFormatPr defaultRowHeight="12.75" x14ac:dyDescent="0.2"/>
  <cols>
    <col min="1" max="1" width="11" customWidth="1"/>
    <col min="2" max="2" width="15" style="6" customWidth="1"/>
    <col min="3" max="4" width="14.140625" style="6" bestFit="1" customWidth="1"/>
    <col min="5" max="5" width="14.140625" style="6" customWidth="1"/>
    <col min="6" max="6" width="17.5703125" style="6" customWidth="1"/>
    <col min="7" max="8" width="12.7109375" style="6" bestFit="1" customWidth="1"/>
    <col min="9" max="9" width="11.7109375" style="6" bestFit="1" customWidth="1"/>
    <col min="10" max="10" width="10.7109375" style="6" bestFit="1" customWidth="1"/>
    <col min="11" max="12" width="9.140625" style="6"/>
  </cols>
  <sheetData>
    <row r="2" spans="1:10" ht="42" customHeight="1" x14ac:dyDescent="0.2">
      <c r="B2" s="9" t="str">
        <f>'Rate Class Energy Model'!H2</f>
        <v>Residential</v>
      </c>
      <c r="C2" s="9" t="str">
        <f>'Rate Class Energy Model'!I2</f>
        <v>GS&lt;50 kW</v>
      </c>
      <c r="D2" s="9" t="str">
        <f>'Rate Class Energy Model'!J2</f>
        <v>GS&gt;50 kW</v>
      </c>
      <c r="E2" s="9" t="str">
        <f>'Rate Class Energy Model'!K2</f>
        <v>Intermediate</v>
      </c>
      <c r="F2" s="9" t="str">
        <f>'Rate Class Energy Model'!L2</f>
        <v>Street Lights</v>
      </c>
      <c r="G2" s="6" t="s">
        <v>10</v>
      </c>
    </row>
    <row r="3" spans="1:10" x14ac:dyDescent="0.2">
      <c r="A3" s="4">
        <v>2003</v>
      </c>
      <c r="B3" s="42">
        <f>(B39+B40)/2</f>
        <v>1502</v>
      </c>
      <c r="C3" s="42">
        <f>(C39+C40)/2</f>
        <v>270</v>
      </c>
      <c r="D3" s="42">
        <f>(D39+D40)/2</f>
        <v>21.5</v>
      </c>
      <c r="E3" s="42">
        <f>(E39+E40)/2</f>
        <v>1</v>
      </c>
      <c r="F3" s="42">
        <f t="shared" ref="F3:F15" si="0">(F39+F40)/2</f>
        <v>621.5</v>
      </c>
      <c r="G3" s="41">
        <f>SUM(B3:F3)</f>
        <v>2416</v>
      </c>
      <c r="J3"/>
    </row>
    <row r="4" spans="1:10" x14ac:dyDescent="0.2">
      <c r="A4" s="4">
        <v>2004</v>
      </c>
      <c r="B4" s="42">
        <f t="shared" ref="B4:E14" si="1">(B40+B41)/2</f>
        <v>1481.5</v>
      </c>
      <c r="C4" s="42">
        <f t="shared" si="1"/>
        <v>254.5</v>
      </c>
      <c r="D4" s="42">
        <f t="shared" si="1"/>
        <v>21</v>
      </c>
      <c r="E4" s="42">
        <f t="shared" si="1"/>
        <v>1</v>
      </c>
      <c r="F4" s="42">
        <f t="shared" si="0"/>
        <v>617.5</v>
      </c>
      <c r="G4" s="60">
        <f t="shared" ref="G4:G17" si="2">SUM(B4:F4)</f>
        <v>2375.5</v>
      </c>
      <c r="J4"/>
    </row>
    <row r="5" spans="1:10" x14ac:dyDescent="0.2">
      <c r="A5" s="4">
        <v>2005</v>
      </c>
      <c r="B5" s="42">
        <f t="shared" si="1"/>
        <v>1467.5</v>
      </c>
      <c r="C5" s="42">
        <f t="shared" si="1"/>
        <v>246.5</v>
      </c>
      <c r="D5" s="42">
        <f t="shared" si="1"/>
        <v>20.5</v>
      </c>
      <c r="E5" s="42">
        <f t="shared" si="1"/>
        <v>1</v>
      </c>
      <c r="F5" s="42">
        <f t="shared" si="0"/>
        <v>619.5</v>
      </c>
      <c r="G5" s="60">
        <f t="shared" si="2"/>
        <v>2355</v>
      </c>
      <c r="J5"/>
    </row>
    <row r="6" spans="1:10" x14ac:dyDescent="0.2">
      <c r="A6" s="4">
        <v>2006</v>
      </c>
      <c r="B6" s="42">
        <f t="shared" si="1"/>
        <v>1456</v>
      </c>
      <c r="C6" s="42">
        <f t="shared" si="1"/>
        <v>246</v>
      </c>
      <c r="D6" s="42">
        <f t="shared" si="1"/>
        <v>20</v>
      </c>
      <c r="E6" s="42">
        <f t="shared" si="1"/>
        <v>1</v>
      </c>
      <c r="F6" s="42">
        <f t="shared" si="0"/>
        <v>621</v>
      </c>
      <c r="G6" s="60">
        <f t="shared" si="2"/>
        <v>2344</v>
      </c>
      <c r="J6"/>
    </row>
    <row r="7" spans="1:10" x14ac:dyDescent="0.2">
      <c r="A7" s="4">
        <v>2007</v>
      </c>
      <c r="B7" s="42">
        <f t="shared" si="1"/>
        <v>1444</v>
      </c>
      <c r="C7" s="42">
        <f t="shared" si="1"/>
        <v>243.5</v>
      </c>
      <c r="D7" s="42">
        <f t="shared" si="1"/>
        <v>20</v>
      </c>
      <c r="E7" s="42">
        <f t="shared" si="1"/>
        <v>1</v>
      </c>
      <c r="F7" s="42">
        <f t="shared" si="0"/>
        <v>620.5</v>
      </c>
      <c r="G7" s="60">
        <f t="shared" si="2"/>
        <v>2329</v>
      </c>
      <c r="J7"/>
    </row>
    <row r="8" spans="1:10" x14ac:dyDescent="0.2">
      <c r="A8" s="4">
        <v>2008</v>
      </c>
      <c r="B8" s="42">
        <f t="shared" si="1"/>
        <v>1433</v>
      </c>
      <c r="C8" s="42">
        <f t="shared" si="1"/>
        <v>237.5</v>
      </c>
      <c r="D8" s="42">
        <f t="shared" si="1"/>
        <v>20.5</v>
      </c>
      <c r="E8" s="42">
        <f t="shared" si="1"/>
        <v>1</v>
      </c>
      <c r="F8" s="42">
        <f t="shared" si="0"/>
        <v>619.5</v>
      </c>
      <c r="G8" s="60">
        <f t="shared" si="2"/>
        <v>2311.5</v>
      </c>
      <c r="J8"/>
    </row>
    <row r="9" spans="1:10" x14ac:dyDescent="0.2">
      <c r="A9" s="4">
        <v>2009</v>
      </c>
      <c r="B9" s="42">
        <f t="shared" si="1"/>
        <v>1434.5</v>
      </c>
      <c r="C9" s="42">
        <f t="shared" si="1"/>
        <v>239</v>
      </c>
      <c r="D9" s="42">
        <f t="shared" si="1"/>
        <v>20.5</v>
      </c>
      <c r="E9" s="42">
        <v>0</v>
      </c>
      <c r="F9" s="42">
        <f t="shared" si="0"/>
        <v>621</v>
      </c>
      <c r="G9" s="60">
        <f t="shared" si="2"/>
        <v>2315</v>
      </c>
      <c r="J9"/>
    </row>
    <row r="10" spans="1:10" x14ac:dyDescent="0.2">
      <c r="A10" s="4">
        <v>2010</v>
      </c>
      <c r="B10" s="42">
        <f t="shared" si="1"/>
        <v>1423.5</v>
      </c>
      <c r="C10" s="42">
        <f t="shared" si="1"/>
        <v>237.5</v>
      </c>
      <c r="D10" s="42">
        <f t="shared" si="1"/>
        <v>21</v>
      </c>
      <c r="E10" s="42">
        <f t="shared" si="1"/>
        <v>9.9999999999999995E-8</v>
      </c>
      <c r="F10" s="42">
        <f t="shared" si="0"/>
        <v>625.5</v>
      </c>
      <c r="G10" s="60">
        <f t="shared" si="2"/>
        <v>2307.5000000999999</v>
      </c>
    </row>
    <row r="11" spans="1:10" x14ac:dyDescent="0.2">
      <c r="A11" s="4">
        <v>2011</v>
      </c>
      <c r="B11" s="42">
        <f t="shared" si="1"/>
        <v>1408.5</v>
      </c>
      <c r="C11" s="42">
        <f t="shared" si="1"/>
        <v>231.5</v>
      </c>
      <c r="D11" s="42">
        <f t="shared" si="1"/>
        <v>22</v>
      </c>
      <c r="E11" s="42">
        <f t="shared" si="1"/>
        <v>9.9999999999999995E-8</v>
      </c>
      <c r="F11" s="42">
        <f t="shared" si="0"/>
        <v>631.5</v>
      </c>
      <c r="G11" s="60">
        <f t="shared" si="2"/>
        <v>2293.5000000999999</v>
      </c>
    </row>
    <row r="12" spans="1:10" x14ac:dyDescent="0.2">
      <c r="A12" s="4">
        <v>2012</v>
      </c>
      <c r="B12" s="42">
        <f t="shared" si="1"/>
        <v>1410</v>
      </c>
      <c r="C12" s="42">
        <f t="shared" si="1"/>
        <v>233.5</v>
      </c>
      <c r="D12" s="42">
        <f t="shared" si="1"/>
        <v>20</v>
      </c>
      <c r="E12" s="42">
        <f t="shared" si="1"/>
        <v>9.9999999999999995E-8</v>
      </c>
      <c r="F12" s="42">
        <f t="shared" si="0"/>
        <v>635</v>
      </c>
      <c r="G12" s="60">
        <f t="shared" si="2"/>
        <v>2298.5000000999999</v>
      </c>
      <c r="I12" s="6">
        <v>6</v>
      </c>
    </row>
    <row r="13" spans="1:10" x14ac:dyDescent="0.2">
      <c r="A13" s="4">
        <v>2013</v>
      </c>
      <c r="B13" s="42">
        <f t="shared" si="1"/>
        <v>1412.5</v>
      </c>
      <c r="C13" s="42">
        <f t="shared" si="1"/>
        <v>234.5</v>
      </c>
      <c r="D13" s="42">
        <f t="shared" si="1"/>
        <v>18</v>
      </c>
      <c r="E13" s="42">
        <f t="shared" si="1"/>
        <v>9.9999999999999995E-8</v>
      </c>
      <c r="F13" s="42">
        <f t="shared" si="0"/>
        <v>635</v>
      </c>
      <c r="G13" s="60">
        <f t="shared" si="2"/>
        <v>2300.0000000999999</v>
      </c>
    </row>
    <row r="14" spans="1:10" x14ac:dyDescent="0.2">
      <c r="A14" s="4">
        <v>2014</v>
      </c>
      <c r="B14" s="42">
        <f t="shared" si="1"/>
        <v>1411</v>
      </c>
      <c r="C14" s="42">
        <f t="shared" si="1"/>
        <v>234</v>
      </c>
      <c r="D14" s="42">
        <f t="shared" si="1"/>
        <v>19</v>
      </c>
      <c r="E14" s="42">
        <f t="shared" si="1"/>
        <v>9.9999999999999995E-8</v>
      </c>
      <c r="F14" s="42">
        <f t="shared" si="0"/>
        <v>632.5</v>
      </c>
      <c r="G14" s="60">
        <f t="shared" si="2"/>
        <v>2296.5000000999999</v>
      </c>
    </row>
    <row r="15" spans="1:10" x14ac:dyDescent="0.2">
      <c r="A15" s="4">
        <v>2015</v>
      </c>
      <c r="B15" s="42">
        <f>(B51+B52)/2</f>
        <v>1405</v>
      </c>
      <c r="C15" s="42">
        <f t="shared" ref="C15:E15" si="3">(C51+C52)/2</f>
        <v>234</v>
      </c>
      <c r="D15" s="42">
        <f t="shared" si="3"/>
        <v>19</v>
      </c>
      <c r="E15" s="42">
        <f t="shared" si="3"/>
        <v>9.9999999999999995E-8</v>
      </c>
      <c r="F15" s="42">
        <f t="shared" si="0"/>
        <v>627.5</v>
      </c>
      <c r="G15" s="60">
        <f t="shared" si="2"/>
        <v>2285.5000000999999</v>
      </c>
    </row>
    <row r="16" spans="1:10" x14ac:dyDescent="0.2">
      <c r="A16" s="4">
        <v>2016</v>
      </c>
      <c r="B16" s="23">
        <f>B15*B33</f>
        <v>1397.2051900797071</v>
      </c>
      <c r="C16" s="23">
        <f t="shared" ref="C16:E16" si="4">C15*C33</f>
        <v>231.22610586256388</v>
      </c>
      <c r="D16" s="23">
        <f>D53</f>
        <v>17</v>
      </c>
      <c r="E16" s="23">
        <f t="shared" si="4"/>
        <v>9.9999999999999995E-8</v>
      </c>
      <c r="F16" s="23">
        <f>F53</f>
        <v>625</v>
      </c>
      <c r="G16" s="23">
        <f t="shared" si="2"/>
        <v>2270.4312960422712</v>
      </c>
    </row>
    <row r="17" spans="1:12" x14ac:dyDescent="0.2">
      <c r="A17" s="4">
        <v>2017</v>
      </c>
      <c r="B17" s="23">
        <f>B16*B33</f>
        <v>1389.453625043182</v>
      </c>
      <c r="C17" s="23">
        <f t="shared" ref="C17:F17" si="5">C16*C33</f>
        <v>228.48509415540855</v>
      </c>
      <c r="D17" s="23">
        <f t="shared" si="5"/>
        <v>17</v>
      </c>
      <c r="E17" s="23">
        <f t="shared" si="5"/>
        <v>9.9999999999999995E-8</v>
      </c>
      <c r="F17" s="23">
        <f t="shared" si="5"/>
        <v>625</v>
      </c>
      <c r="G17" s="23">
        <f t="shared" si="2"/>
        <v>2259.9387192985905</v>
      </c>
    </row>
    <row r="18" spans="1:12" x14ac:dyDescent="0.2">
      <c r="A18" s="22"/>
    </row>
    <row r="19" spans="1:12" x14ac:dyDescent="0.2">
      <c r="A19" s="21" t="s">
        <v>42</v>
      </c>
      <c r="B19" s="5"/>
      <c r="C19" s="5"/>
      <c r="D19" s="5"/>
      <c r="E19" s="5"/>
      <c r="F19" s="5"/>
    </row>
    <row r="20" spans="1:12" x14ac:dyDescent="0.2">
      <c r="A20" s="4">
        <v>2004</v>
      </c>
      <c r="B20" s="26">
        <f>B4/B3</f>
        <v>0.98635153129161124</v>
      </c>
      <c r="C20" s="26">
        <f t="shared" ref="C20:F20" si="6">C4/C3</f>
        <v>0.94259259259259254</v>
      </c>
      <c r="D20" s="26">
        <f t="shared" si="6"/>
        <v>0.97674418604651159</v>
      </c>
      <c r="E20" s="26">
        <f t="shared" si="6"/>
        <v>1</v>
      </c>
      <c r="F20" s="26">
        <f t="shared" si="6"/>
        <v>0.99356395816572807</v>
      </c>
      <c r="H20" s="218">
        <f>B20-1</f>
        <v>-1.3648468708388761E-2</v>
      </c>
      <c r="I20" s="218">
        <f t="shared" ref="I20:L31" si="7">C20-1</f>
        <v>-5.7407407407407463E-2</v>
      </c>
      <c r="J20" s="218">
        <f t="shared" si="7"/>
        <v>-2.3255813953488413E-2</v>
      </c>
      <c r="K20" s="218"/>
      <c r="L20" s="218">
        <f t="shared" si="7"/>
        <v>-6.4360418342719328E-3</v>
      </c>
    </row>
    <row r="21" spans="1:12" x14ac:dyDescent="0.2">
      <c r="A21" s="4">
        <v>2005</v>
      </c>
      <c r="B21" s="26">
        <f t="shared" ref="B21:F31" si="8">B5/B4</f>
        <v>0.99055011812352345</v>
      </c>
      <c r="C21" s="26">
        <f t="shared" si="8"/>
        <v>0.96856581532416508</v>
      </c>
      <c r="D21" s="26">
        <f t="shared" si="8"/>
        <v>0.97619047619047616</v>
      </c>
      <c r="E21" s="26">
        <f t="shared" si="8"/>
        <v>1</v>
      </c>
      <c r="F21" s="26">
        <f t="shared" si="8"/>
        <v>1.0032388663967611</v>
      </c>
      <c r="H21" s="218">
        <f t="shared" ref="H21:H31" si="9">B21-1</f>
        <v>-9.4498818764765513E-3</v>
      </c>
      <c r="I21" s="218">
        <f t="shared" si="7"/>
        <v>-3.143418467583492E-2</v>
      </c>
      <c r="J21" s="218">
        <f t="shared" si="7"/>
        <v>-2.3809523809523836E-2</v>
      </c>
      <c r="K21" s="218"/>
      <c r="L21" s="218">
        <f t="shared" si="7"/>
        <v>3.2388663967610754E-3</v>
      </c>
    </row>
    <row r="22" spans="1:12" x14ac:dyDescent="0.2">
      <c r="A22" s="4">
        <v>2006</v>
      </c>
      <c r="B22" s="26">
        <f t="shared" si="8"/>
        <v>0.99216354344122659</v>
      </c>
      <c r="C22" s="26">
        <f t="shared" si="8"/>
        <v>0.99797160243407712</v>
      </c>
      <c r="D22" s="26">
        <f t="shared" si="8"/>
        <v>0.97560975609756095</v>
      </c>
      <c r="E22" s="26">
        <f t="shared" si="8"/>
        <v>1</v>
      </c>
      <c r="F22" s="26">
        <f t="shared" si="8"/>
        <v>1.0024213075060533</v>
      </c>
      <c r="H22" s="218">
        <f t="shared" si="9"/>
        <v>-7.8364565587734081E-3</v>
      </c>
      <c r="I22" s="218">
        <f t="shared" si="7"/>
        <v>-2.0283975659228792E-3</v>
      </c>
      <c r="J22" s="218">
        <f t="shared" si="7"/>
        <v>-2.4390243902439046E-2</v>
      </c>
      <c r="K22" s="218"/>
      <c r="L22" s="218">
        <f t="shared" si="7"/>
        <v>2.421307506053294E-3</v>
      </c>
    </row>
    <row r="23" spans="1:12" x14ac:dyDescent="0.2">
      <c r="A23" s="4">
        <v>2007</v>
      </c>
      <c r="B23" s="26">
        <f t="shared" si="8"/>
        <v>0.99175824175824179</v>
      </c>
      <c r="C23" s="26">
        <f t="shared" si="8"/>
        <v>0.98983739837398377</v>
      </c>
      <c r="D23" s="26">
        <f t="shared" si="8"/>
        <v>1</v>
      </c>
      <c r="E23" s="26">
        <f t="shared" si="8"/>
        <v>1</v>
      </c>
      <c r="F23" s="26">
        <f t="shared" si="8"/>
        <v>0.99919484702093397</v>
      </c>
      <c r="H23" s="218">
        <f t="shared" si="9"/>
        <v>-8.2417582417582125E-3</v>
      </c>
      <c r="I23" s="218">
        <f t="shared" si="7"/>
        <v>-1.0162601626016232E-2</v>
      </c>
      <c r="J23" s="218">
        <f t="shared" si="7"/>
        <v>0</v>
      </c>
      <c r="K23" s="218"/>
      <c r="L23" s="218">
        <f t="shared" si="7"/>
        <v>-8.0515297906602612E-4</v>
      </c>
    </row>
    <row r="24" spans="1:12" x14ac:dyDescent="0.2">
      <c r="A24" s="4">
        <v>2008</v>
      </c>
      <c r="B24" s="26">
        <f t="shared" si="8"/>
        <v>0.99238227146814406</v>
      </c>
      <c r="C24" s="26">
        <f t="shared" si="8"/>
        <v>0.97535934291581106</v>
      </c>
      <c r="D24" s="26">
        <f t="shared" si="8"/>
        <v>1.0249999999999999</v>
      </c>
      <c r="E24" s="26">
        <f t="shared" si="8"/>
        <v>1</v>
      </c>
      <c r="F24" s="26">
        <f t="shared" si="8"/>
        <v>0.99838839645447219</v>
      </c>
      <c r="H24" s="218">
        <f t="shared" si="9"/>
        <v>-7.6177285318559385E-3</v>
      </c>
      <c r="I24" s="218">
        <f t="shared" si="7"/>
        <v>-2.4640657084188944E-2</v>
      </c>
      <c r="J24" s="218">
        <f t="shared" si="7"/>
        <v>2.4999999999999911E-2</v>
      </c>
      <c r="K24" s="218"/>
      <c r="L24" s="218">
        <f t="shared" si="7"/>
        <v>-1.6116035455278066E-3</v>
      </c>
    </row>
    <row r="25" spans="1:12" x14ac:dyDescent="0.2">
      <c r="A25" s="4">
        <v>2009</v>
      </c>
      <c r="B25" s="26">
        <f t="shared" si="8"/>
        <v>1.0010467550593161</v>
      </c>
      <c r="C25" s="26">
        <f t="shared" si="8"/>
        <v>1.0063157894736843</v>
      </c>
      <c r="D25" s="26">
        <f t="shared" si="8"/>
        <v>1</v>
      </c>
      <c r="E25" s="26">
        <f t="shared" si="8"/>
        <v>0</v>
      </c>
      <c r="F25" s="26">
        <f t="shared" si="8"/>
        <v>1.0024213075060533</v>
      </c>
      <c r="H25" s="218">
        <f t="shared" si="9"/>
        <v>1.0467550593160624E-3</v>
      </c>
      <c r="I25" s="218">
        <f t="shared" si="7"/>
        <v>6.3157894736842746E-3</v>
      </c>
      <c r="J25" s="218">
        <f t="shared" si="7"/>
        <v>0</v>
      </c>
      <c r="K25" s="218"/>
      <c r="L25" s="218">
        <f t="shared" si="7"/>
        <v>2.421307506053294E-3</v>
      </c>
    </row>
    <row r="26" spans="1:12" x14ac:dyDescent="0.2">
      <c r="A26" s="4">
        <v>2010</v>
      </c>
      <c r="B26" s="26">
        <f t="shared" si="8"/>
        <v>0.99233182293482047</v>
      </c>
      <c r="C26" s="26">
        <f t="shared" si="8"/>
        <v>0.99372384937238489</v>
      </c>
      <c r="D26" s="26">
        <f t="shared" si="8"/>
        <v>1.024390243902439</v>
      </c>
      <c r="E26" s="26" t="e">
        <f t="shared" si="8"/>
        <v>#DIV/0!</v>
      </c>
      <c r="F26" s="26">
        <f t="shared" si="8"/>
        <v>1.0072463768115942</v>
      </c>
      <c r="H26" s="218">
        <f t="shared" si="9"/>
        <v>-7.6681770651795267E-3</v>
      </c>
      <c r="I26" s="218">
        <f t="shared" si="7"/>
        <v>-6.2761506276151069E-3</v>
      </c>
      <c r="J26" s="218">
        <f t="shared" si="7"/>
        <v>2.4390243902439046E-2</v>
      </c>
      <c r="K26" s="218"/>
      <c r="L26" s="218">
        <f t="shared" si="7"/>
        <v>7.2463768115942351E-3</v>
      </c>
    </row>
    <row r="27" spans="1:12" x14ac:dyDescent="0.2">
      <c r="A27" s="4">
        <v>2011</v>
      </c>
      <c r="B27" s="26">
        <f t="shared" si="8"/>
        <v>0.98946259220231825</v>
      </c>
      <c r="C27" s="26">
        <f t="shared" si="8"/>
        <v>0.97473684210526312</v>
      </c>
      <c r="D27" s="26">
        <f t="shared" si="8"/>
        <v>1.0476190476190477</v>
      </c>
      <c r="E27" s="26">
        <f t="shared" si="8"/>
        <v>1</v>
      </c>
      <c r="F27" s="26">
        <f t="shared" si="8"/>
        <v>1.0095923261390887</v>
      </c>
      <c r="H27" s="218">
        <f t="shared" si="9"/>
        <v>-1.0537407797681753E-2</v>
      </c>
      <c r="I27" s="218">
        <f t="shared" si="7"/>
        <v>-2.5263157894736876E-2</v>
      </c>
      <c r="J27" s="218">
        <f t="shared" si="7"/>
        <v>4.7619047619047672E-2</v>
      </c>
      <c r="K27" s="218"/>
      <c r="L27" s="218">
        <f t="shared" si="7"/>
        <v>9.5923261390886694E-3</v>
      </c>
    </row>
    <row r="28" spans="1:12" x14ac:dyDescent="0.2">
      <c r="A28" s="4">
        <v>2012</v>
      </c>
      <c r="B28" s="26">
        <f t="shared" si="8"/>
        <v>1.0010649627263046</v>
      </c>
      <c r="C28" s="26">
        <f t="shared" si="8"/>
        <v>1.0086393088552916</v>
      </c>
      <c r="D28" s="26">
        <f t="shared" si="8"/>
        <v>0.90909090909090906</v>
      </c>
      <c r="E28" s="26">
        <f t="shared" si="8"/>
        <v>1</v>
      </c>
      <c r="F28" s="26">
        <f t="shared" si="8"/>
        <v>1.0055423594615993</v>
      </c>
      <c r="H28" s="218">
        <f t="shared" si="9"/>
        <v>1.0649627263046302E-3</v>
      </c>
      <c r="I28" s="218">
        <f t="shared" si="7"/>
        <v>8.6393088552916275E-3</v>
      </c>
      <c r="J28" s="218">
        <f t="shared" si="7"/>
        <v>-9.0909090909090939E-2</v>
      </c>
      <c r="K28" s="218"/>
      <c r="L28" s="218">
        <f t="shared" si="7"/>
        <v>5.542359461599311E-3</v>
      </c>
    </row>
    <row r="29" spans="1:12" x14ac:dyDescent="0.2">
      <c r="A29" s="4">
        <v>2013</v>
      </c>
      <c r="B29" s="26">
        <f t="shared" si="8"/>
        <v>1.00177304964539</v>
      </c>
      <c r="C29" s="26">
        <f t="shared" si="8"/>
        <v>1.0042826552462527</v>
      </c>
      <c r="D29" s="26">
        <f t="shared" si="8"/>
        <v>0.9</v>
      </c>
      <c r="E29" s="26">
        <v>0</v>
      </c>
      <c r="F29" s="26">
        <f t="shared" si="8"/>
        <v>1</v>
      </c>
      <c r="H29" s="218">
        <f t="shared" si="9"/>
        <v>1.7730496453900457E-3</v>
      </c>
      <c r="I29" s="218">
        <f t="shared" si="7"/>
        <v>4.282655246252709E-3</v>
      </c>
      <c r="J29" s="218">
        <f t="shared" si="7"/>
        <v>-9.9999999999999978E-2</v>
      </c>
      <c r="K29" s="218"/>
      <c r="L29" s="218">
        <f t="shared" si="7"/>
        <v>0</v>
      </c>
    </row>
    <row r="30" spans="1:12" x14ac:dyDescent="0.2">
      <c r="A30" s="4">
        <v>2014</v>
      </c>
      <c r="B30" s="26">
        <f t="shared" si="8"/>
        <v>0.99893805309734518</v>
      </c>
      <c r="C30" s="26">
        <f t="shared" si="8"/>
        <v>0.99786780383795304</v>
      </c>
      <c r="D30" s="26">
        <f t="shared" si="8"/>
        <v>1.0555555555555556</v>
      </c>
      <c r="E30" s="26">
        <v>0</v>
      </c>
      <c r="F30" s="26">
        <f t="shared" si="8"/>
        <v>0.99606299212598426</v>
      </c>
      <c r="H30" s="218">
        <f t="shared" si="9"/>
        <v>-1.0619469026548201E-3</v>
      </c>
      <c r="I30" s="218">
        <f t="shared" si="7"/>
        <v>-2.1321961620469621E-3</v>
      </c>
      <c r="J30" s="218">
        <f t="shared" si="7"/>
        <v>5.555555555555558E-2</v>
      </c>
      <c r="K30" s="218"/>
      <c r="L30" s="218">
        <f t="shared" si="7"/>
        <v>-3.937007874015741E-3</v>
      </c>
    </row>
    <row r="31" spans="1:12" x14ac:dyDescent="0.2">
      <c r="A31" s="4">
        <v>2015</v>
      </c>
      <c r="B31" s="26">
        <f t="shared" si="8"/>
        <v>0.99574769666902907</v>
      </c>
      <c r="C31" s="26">
        <f t="shared" si="8"/>
        <v>1</v>
      </c>
      <c r="D31" s="26">
        <f t="shared" si="8"/>
        <v>1</v>
      </c>
      <c r="E31" s="26">
        <v>0</v>
      </c>
      <c r="F31" s="26">
        <f t="shared" si="8"/>
        <v>0.9920948616600791</v>
      </c>
      <c r="H31" s="218">
        <f t="shared" si="9"/>
        <v>-4.2523033309709302E-3</v>
      </c>
      <c r="I31" s="218">
        <f t="shared" si="7"/>
        <v>0</v>
      </c>
      <c r="J31" s="218">
        <f t="shared" si="7"/>
        <v>0</v>
      </c>
      <c r="K31" s="218"/>
      <c r="L31" s="218">
        <f t="shared" si="7"/>
        <v>-7.905138339920903E-3</v>
      </c>
    </row>
    <row r="32" spans="1:12" x14ac:dyDescent="0.2">
      <c r="A32" s="4"/>
    </row>
    <row r="33" spans="1:7" x14ac:dyDescent="0.2">
      <c r="A33" t="s">
        <v>62</v>
      </c>
      <c r="B33" s="27">
        <f>B35</f>
        <v>0.99445209258342149</v>
      </c>
      <c r="C33" s="27">
        <f t="shared" ref="C33" si="10">C35</f>
        <v>0.98814575154941831</v>
      </c>
      <c r="D33" s="27">
        <v>1</v>
      </c>
      <c r="E33" s="27">
        <v>1</v>
      </c>
      <c r="F33" s="27">
        <v>1</v>
      </c>
    </row>
    <row r="34" spans="1:7" x14ac:dyDescent="0.2">
      <c r="B34" s="27"/>
      <c r="C34" s="27"/>
      <c r="D34" s="27"/>
      <c r="E34" s="27"/>
      <c r="F34" s="27"/>
    </row>
    <row r="35" spans="1:7" x14ac:dyDescent="0.2">
      <c r="A35" t="s">
        <v>15</v>
      </c>
      <c r="B35" s="109">
        <f>GEOMEAN(B20:B31)</f>
        <v>0.99445209258342149</v>
      </c>
      <c r="C35" s="109">
        <f t="shared" ref="C35:D35" si="11">GEOMEAN(C20:C31)</f>
        <v>0.98814575154941831</v>
      </c>
      <c r="D35" s="109">
        <f t="shared" si="11"/>
        <v>0.98975171226762748</v>
      </c>
      <c r="E35" s="109"/>
      <c r="F35" s="109">
        <f>GEOMEAN(F20:F31)</f>
        <v>1.0008009672743681</v>
      </c>
    </row>
    <row r="36" spans="1:7" x14ac:dyDescent="0.2">
      <c r="A36" s="4"/>
      <c r="B36" s="27"/>
      <c r="C36" s="27"/>
      <c r="D36" s="27"/>
      <c r="E36" s="27"/>
      <c r="F36" s="27"/>
    </row>
    <row r="37" spans="1:7" x14ac:dyDescent="0.2">
      <c r="A37" s="4"/>
      <c r="B37" s="27"/>
      <c r="C37" s="27"/>
      <c r="D37" s="27"/>
      <c r="E37" s="27"/>
      <c r="F37" s="27"/>
    </row>
    <row r="38" spans="1:7" x14ac:dyDescent="0.2">
      <c r="A38" s="4"/>
      <c r="B38" s="27"/>
      <c r="C38" s="27"/>
      <c r="D38" s="27"/>
      <c r="E38" s="27"/>
      <c r="F38" s="27"/>
    </row>
    <row r="39" spans="1:7" x14ac:dyDescent="0.2">
      <c r="A39" s="4">
        <v>2002</v>
      </c>
      <c r="B39" s="42">
        <f>'[13]Data Input'!$H$85</f>
        <v>1516</v>
      </c>
      <c r="C39" s="42">
        <f>'[13]Data Input'!$K$85</f>
        <v>279</v>
      </c>
      <c r="D39" s="42">
        <f>'[13]Data Input'!$O$85</f>
        <v>22</v>
      </c>
      <c r="E39" s="60">
        <v>1</v>
      </c>
      <c r="F39" s="42">
        <f>'[13]Data Input'!$W$85</f>
        <v>626</v>
      </c>
      <c r="G39" s="41">
        <f t="shared" ref="G39:G52" si="12">SUM(B39:F39)</f>
        <v>2444</v>
      </c>
    </row>
    <row r="40" spans="1:7" x14ac:dyDescent="0.2">
      <c r="A40" s="4">
        <v>2003</v>
      </c>
      <c r="B40" s="42">
        <f>'[13]Data Input'!$H$94</f>
        <v>1488</v>
      </c>
      <c r="C40" s="42">
        <f>'[13]Data Input'!$K$94</f>
        <v>261</v>
      </c>
      <c r="D40" s="42">
        <f>'[13]Data Input'!$O$94</f>
        <v>21</v>
      </c>
      <c r="E40" s="60">
        <v>1</v>
      </c>
      <c r="F40" s="42">
        <f>'[13]Data Input'!$W$94</f>
        <v>617</v>
      </c>
      <c r="G40" s="60">
        <f t="shared" si="12"/>
        <v>2388</v>
      </c>
    </row>
    <row r="41" spans="1:7" x14ac:dyDescent="0.2">
      <c r="A41" s="4">
        <v>2004</v>
      </c>
      <c r="B41" s="42">
        <f>'[13]Data Input'!$H$106</f>
        <v>1475</v>
      </c>
      <c r="C41" s="42">
        <f>'[13]Data Input'!$K$106</f>
        <v>248</v>
      </c>
      <c r="D41" s="42">
        <f>'[13]Data Input'!$O$106</f>
        <v>21</v>
      </c>
      <c r="E41" s="60">
        <v>1</v>
      </c>
      <c r="F41" s="42">
        <f>'[13]Data Input'!$W$106</f>
        <v>618</v>
      </c>
      <c r="G41" s="60">
        <f t="shared" si="12"/>
        <v>2363</v>
      </c>
    </row>
    <row r="42" spans="1:7" x14ac:dyDescent="0.2">
      <c r="A42" s="4">
        <v>2005</v>
      </c>
      <c r="B42" s="42">
        <f>'[13]Data Input'!$H$118</f>
        <v>1460</v>
      </c>
      <c r="C42" s="42">
        <f>'[13]Data Input'!$K$118</f>
        <v>245</v>
      </c>
      <c r="D42" s="42">
        <f>'[13]Data Input'!$O$118</f>
        <v>20</v>
      </c>
      <c r="E42" s="60">
        <v>1</v>
      </c>
      <c r="F42" s="42">
        <f>'[13]Data Input'!$W$118</f>
        <v>621</v>
      </c>
      <c r="G42" s="60">
        <f t="shared" si="12"/>
        <v>2347</v>
      </c>
    </row>
    <row r="43" spans="1:7" x14ac:dyDescent="0.2">
      <c r="A43" s="4">
        <v>2006</v>
      </c>
      <c r="B43" s="42">
        <f>'[13]Data Input'!$H$130</f>
        <v>1452</v>
      </c>
      <c r="C43" s="42">
        <f>'[13]Data Input'!$K$130</f>
        <v>247</v>
      </c>
      <c r="D43" s="42">
        <f>'[13]Data Input'!$O$130</f>
        <v>20</v>
      </c>
      <c r="E43" s="60">
        <v>1</v>
      </c>
      <c r="F43" s="42">
        <f>'[13]Data Input'!$W$130</f>
        <v>621</v>
      </c>
      <c r="G43" s="60">
        <f t="shared" si="12"/>
        <v>2341</v>
      </c>
    </row>
    <row r="44" spans="1:7" x14ac:dyDescent="0.2">
      <c r="A44" s="4">
        <v>2007</v>
      </c>
      <c r="B44" s="42">
        <f>'[13]Data Input'!$H$142</f>
        <v>1436</v>
      </c>
      <c r="C44" s="42">
        <f>'[13]Data Input'!$K$142</f>
        <v>240</v>
      </c>
      <c r="D44" s="42">
        <f>'[13]Data Input'!$O$142</f>
        <v>20</v>
      </c>
      <c r="E44" s="60">
        <v>1</v>
      </c>
      <c r="F44" s="42">
        <f>'[13]Data Input'!$W$142</f>
        <v>620</v>
      </c>
      <c r="G44" s="60">
        <f t="shared" si="12"/>
        <v>2317</v>
      </c>
    </row>
    <row r="45" spans="1:7" x14ac:dyDescent="0.2">
      <c r="A45" s="4">
        <v>2008</v>
      </c>
      <c r="B45" s="42">
        <f>'[13]Data Input'!$H$153</f>
        <v>1430</v>
      </c>
      <c r="C45" s="42">
        <f>'[13]Data Input'!$K$153</f>
        <v>235</v>
      </c>
      <c r="D45" s="42">
        <f>'[13]Data Input'!$O$153</f>
        <v>21</v>
      </c>
      <c r="E45" s="60">
        <v>1</v>
      </c>
      <c r="F45" s="42">
        <f>'[13]Data Input'!$W$153</f>
        <v>619</v>
      </c>
      <c r="G45" s="60">
        <f t="shared" si="12"/>
        <v>2306</v>
      </c>
    </row>
    <row r="46" spans="1:7" x14ac:dyDescent="0.2">
      <c r="A46" s="4">
        <v>2009</v>
      </c>
      <c r="B46" s="41">
        <f>'[13]Data Input'!$H$165</f>
        <v>1439</v>
      </c>
      <c r="C46" s="60">
        <f>'[13]Data Input'!$K$165</f>
        <v>243</v>
      </c>
      <c r="D46" s="60">
        <f>'[13]Data Input'!$O$165</f>
        <v>20</v>
      </c>
      <c r="E46" s="60">
        <v>9.9999999999999995E-8</v>
      </c>
      <c r="F46" s="60">
        <f>'[13]Data Input'!$W$165</f>
        <v>623</v>
      </c>
      <c r="G46" s="60">
        <f t="shared" si="12"/>
        <v>2325.0000000999999</v>
      </c>
    </row>
    <row r="47" spans="1:7" x14ac:dyDescent="0.2">
      <c r="A47" s="4">
        <v>2010</v>
      </c>
      <c r="B47" s="42">
        <f>'[13]Data Input'!$H$177</f>
        <v>1408</v>
      </c>
      <c r="C47" s="42">
        <f>'[13]Data Input'!$K$177</f>
        <v>232</v>
      </c>
      <c r="D47" s="42">
        <f>'[13]Data Input'!$O$177</f>
        <v>22</v>
      </c>
      <c r="E47" s="60">
        <v>9.9999999999999995E-8</v>
      </c>
      <c r="F47" s="42">
        <f>'[13]Data Input'!$W$177</f>
        <v>628</v>
      </c>
      <c r="G47" s="60">
        <f t="shared" si="12"/>
        <v>2290.0000000999999</v>
      </c>
    </row>
    <row r="48" spans="1:7" x14ac:dyDescent="0.2">
      <c r="A48" s="4">
        <v>2011</v>
      </c>
      <c r="B48" s="42">
        <f>'[13]Data Input'!$H$189</f>
        <v>1409</v>
      </c>
      <c r="C48" s="42">
        <f>'[13]Data Input'!$K$189</f>
        <v>231</v>
      </c>
      <c r="D48" s="42">
        <f>'[13]Data Input'!$O$189</f>
        <v>22</v>
      </c>
      <c r="E48" s="60">
        <v>9.9999999999999995E-8</v>
      </c>
      <c r="F48" s="42">
        <f>'[13]Data Input'!$W$189</f>
        <v>635</v>
      </c>
      <c r="G48" s="60">
        <f t="shared" si="12"/>
        <v>2297.0000000999999</v>
      </c>
    </row>
    <row r="49" spans="1:7" x14ac:dyDescent="0.2">
      <c r="A49" s="4">
        <v>2012</v>
      </c>
      <c r="B49" s="42">
        <f>'[13]Data Input'!$H$201</f>
        <v>1411</v>
      </c>
      <c r="C49" s="42">
        <f>'[13]Data Input'!$K$201</f>
        <v>236</v>
      </c>
      <c r="D49" s="42">
        <f>'[13]Data Input'!$O$201</f>
        <v>18</v>
      </c>
      <c r="E49" s="60">
        <v>9.9999999999999995E-8</v>
      </c>
      <c r="F49" s="42">
        <f>'[13]Data Input'!$W$201</f>
        <v>635</v>
      </c>
      <c r="G49" s="60">
        <f t="shared" si="12"/>
        <v>2300.0000000999999</v>
      </c>
    </row>
    <row r="50" spans="1:7" x14ac:dyDescent="0.2">
      <c r="A50" s="4">
        <v>2013</v>
      </c>
      <c r="B50" s="42">
        <f>'[13]Data Input'!$H$213</f>
        <v>1414</v>
      </c>
      <c r="C50" s="42">
        <f>'[13]Data Input'!$K$213</f>
        <v>233</v>
      </c>
      <c r="D50" s="42">
        <f>'[13]Data Input'!$O$213</f>
        <v>18</v>
      </c>
      <c r="E50" s="60">
        <v>9.9999999999999995E-8</v>
      </c>
      <c r="F50" s="42">
        <f>'[13]Data Input'!$W$213</f>
        <v>635</v>
      </c>
      <c r="G50" s="60">
        <f t="shared" si="12"/>
        <v>2300.0000000999999</v>
      </c>
    </row>
    <row r="51" spans="1:7" x14ac:dyDescent="0.2">
      <c r="A51" s="4">
        <v>2014</v>
      </c>
      <c r="B51" s="42">
        <f>'[13]Data Input'!$H$225</f>
        <v>1408</v>
      </c>
      <c r="C51" s="42">
        <f>'[13]Data Input'!$K$225</f>
        <v>235</v>
      </c>
      <c r="D51" s="42">
        <f>'[13]Data Input'!$O$225</f>
        <v>20</v>
      </c>
      <c r="E51" s="60">
        <v>9.9999999999999995E-8</v>
      </c>
      <c r="F51" s="42">
        <f>'[13]Data Input'!$W$225</f>
        <v>630</v>
      </c>
      <c r="G51" s="60">
        <f t="shared" si="12"/>
        <v>2293.0000000999999</v>
      </c>
    </row>
    <row r="52" spans="1:7" x14ac:dyDescent="0.2">
      <c r="A52" s="4">
        <v>2015</v>
      </c>
      <c r="B52" s="42">
        <f>'[13]Data Input'!$H$237</f>
        <v>1402</v>
      </c>
      <c r="C52" s="42">
        <f>'[13]Data Input'!$K$237</f>
        <v>233</v>
      </c>
      <c r="D52" s="42">
        <f>'[13]Data Input'!$O$237</f>
        <v>18</v>
      </c>
      <c r="E52" s="60">
        <v>9.9999999999999995E-8</v>
      </c>
      <c r="F52" s="42">
        <f>'[13]Data Input'!$W$237</f>
        <v>625</v>
      </c>
      <c r="G52" s="60">
        <f t="shared" si="12"/>
        <v>2278.0000000999999</v>
      </c>
    </row>
    <row r="53" spans="1:7" x14ac:dyDescent="0.2">
      <c r="A53" s="93">
        <v>42552</v>
      </c>
      <c r="B53" s="27"/>
      <c r="C53" s="27"/>
      <c r="D53" s="42">
        <v>17</v>
      </c>
      <c r="E53" s="27"/>
      <c r="F53" s="42">
        <f>F52</f>
        <v>625</v>
      </c>
    </row>
    <row r="54" spans="1:7" x14ac:dyDescent="0.2">
      <c r="B54" s="27"/>
      <c r="C54" s="27"/>
      <c r="D54" s="27"/>
      <c r="E54" s="27"/>
      <c r="F54" s="27"/>
    </row>
    <row r="55" spans="1:7" x14ac:dyDescent="0.2">
      <c r="B55" s="27"/>
      <c r="C55" s="27"/>
      <c r="D55" s="27"/>
      <c r="E55" s="27"/>
      <c r="F55" s="27"/>
    </row>
    <row r="56" spans="1:7" x14ac:dyDescent="0.2">
      <c r="B56" s="27"/>
      <c r="C56" s="27"/>
      <c r="D56" s="27"/>
      <c r="E56" s="27"/>
      <c r="F56" s="27"/>
    </row>
    <row r="57" spans="1:7" x14ac:dyDescent="0.2">
      <c r="B57" s="27"/>
      <c r="C57" s="27"/>
      <c r="D57" s="27"/>
      <c r="E57" s="27"/>
      <c r="F57" s="27"/>
    </row>
    <row r="58" spans="1:7" x14ac:dyDescent="0.2">
      <c r="B58" s="27"/>
      <c r="C58" s="27"/>
      <c r="D58" s="27"/>
      <c r="E58" s="27"/>
      <c r="F58" s="27"/>
    </row>
    <row r="59" spans="1:7" x14ac:dyDescent="0.2">
      <c r="B59" s="27"/>
      <c r="C59" s="27"/>
      <c r="D59" s="27"/>
      <c r="E59" s="27"/>
      <c r="F59" s="27"/>
    </row>
    <row r="60" spans="1:7" x14ac:dyDescent="0.2">
      <c r="B60" s="27"/>
      <c r="C60" s="27"/>
      <c r="D60" s="27"/>
      <c r="E60" s="27"/>
      <c r="F60" s="27"/>
    </row>
    <row r="61" spans="1:7" x14ac:dyDescent="0.2">
      <c r="B61" s="27"/>
      <c r="C61" s="27"/>
      <c r="D61" s="27"/>
      <c r="E61" s="27"/>
      <c r="F61" s="27"/>
    </row>
    <row r="62" spans="1:7" x14ac:dyDescent="0.2">
      <c r="B62" s="27"/>
      <c r="C62" s="27"/>
      <c r="D62" s="27"/>
      <c r="E62" s="27"/>
      <c r="F62" s="27"/>
    </row>
    <row r="63" spans="1:7" x14ac:dyDescent="0.2">
      <c r="B63" s="27"/>
      <c r="C63" s="27"/>
      <c r="F63" s="27"/>
    </row>
    <row r="69" spans="2:6" x14ac:dyDescent="0.2">
      <c r="D69" s="28"/>
      <c r="E69" s="28"/>
    </row>
    <row r="70" spans="2:6" x14ac:dyDescent="0.2">
      <c r="B70" s="28"/>
      <c r="C70" s="28"/>
      <c r="D70" s="28"/>
      <c r="E70" s="28"/>
      <c r="F70" s="28"/>
    </row>
    <row r="71" spans="2:6" x14ac:dyDescent="0.2">
      <c r="B71" s="28"/>
      <c r="C71" s="28"/>
      <c r="F71" s="28"/>
    </row>
    <row r="89" spans="2:6" x14ac:dyDescent="0.2">
      <c r="D89" s="16"/>
      <c r="E89" s="16"/>
    </row>
    <row r="90" spans="2:6" x14ac:dyDescent="0.2">
      <c r="B90" s="16"/>
      <c r="C90" s="16"/>
      <c r="D90" s="16"/>
      <c r="E90" s="16"/>
      <c r="F90" s="16"/>
    </row>
    <row r="91" spans="2:6" x14ac:dyDescent="0.2">
      <c r="B91" s="16"/>
      <c r="C91" s="16"/>
      <c r="F91" s="16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B16" sqref="B16"/>
    </sheetView>
  </sheetViews>
  <sheetFormatPr defaultRowHeight="12.75" x14ac:dyDescent="0.2"/>
  <cols>
    <col min="1" max="1" width="11" customWidth="1"/>
    <col min="2" max="2" width="14.140625" style="6" bestFit="1" customWidth="1"/>
    <col min="3" max="3" width="14.140625" style="6" customWidth="1"/>
    <col min="4" max="4" width="17.7109375" style="6" customWidth="1"/>
    <col min="5" max="6" width="12.7109375" style="6" bestFit="1" customWidth="1"/>
    <col min="7" max="7" width="11.7109375" style="6" bestFit="1" customWidth="1"/>
    <col min="8" max="8" width="10.7109375" style="6" bestFit="1" customWidth="1"/>
    <col min="9" max="10" width="9.140625" style="6"/>
  </cols>
  <sheetData>
    <row r="1" spans="1:5" ht="42" customHeight="1" x14ac:dyDescent="0.2">
      <c r="B1" s="8" t="str">
        <f>'Rate Class Customer Model'!D2</f>
        <v>GS&gt;50 kW</v>
      </c>
      <c r="C1" s="8" t="str">
        <f>'Rate Class Customer Model'!E2</f>
        <v>Intermediate</v>
      </c>
      <c r="D1" s="8" t="str">
        <f>'Rate Class Customer Model'!F2</f>
        <v>Street Lights</v>
      </c>
      <c r="E1" s="6" t="s">
        <v>10</v>
      </c>
    </row>
    <row r="2" spans="1:5" x14ac:dyDescent="0.2">
      <c r="A2" s="32">
        <v>2003</v>
      </c>
      <c r="B2" s="49">
        <f>'[13]Data Input'!$N$94</f>
        <v>20708.099999999999</v>
      </c>
      <c r="C2" s="49">
        <f>'[13]Data Input'!$R$94</f>
        <v>36500.199999999997</v>
      </c>
      <c r="D2" s="49">
        <f>'[13]Data Input'!$V$94</f>
        <v>1601.2</v>
      </c>
      <c r="E2" s="6">
        <f>SUM(B2:D2)</f>
        <v>58809.499999999993</v>
      </c>
    </row>
    <row r="3" spans="1:5" x14ac:dyDescent="0.2">
      <c r="A3" s="32">
        <v>2004</v>
      </c>
      <c r="B3" s="49">
        <f>'[13]Data Input'!$N$106</f>
        <v>16243.6</v>
      </c>
      <c r="C3" s="49">
        <f>'[13]Data Input'!$R$106</f>
        <v>1549</v>
      </c>
      <c r="D3" s="49">
        <f>'[13]Data Input'!$V$106</f>
        <v>956.2</v>
      </c>
      <c r="E3" s="6">
        <f>SUM(B3:D3)</f>
        <v>18748.8</v>
      </c>
    </row>
    <row r="4" spans="1:5" x14ac:dyDescent="0.2">
      <c r="A4" s="32">
        <v>2005</v>
      </c>
      <c r="B4" s="49">
        <f>'[13]Data Input'!$N$118</f>
        <v>20152.599999999999</v>
      </c>
      <c r="C4" s="49">
        <f>'[13]Data Input'!$R$118</f>
        <v>33896.300000000003</v>
      </c>
      <c r="D4" s="49">
        <f>'[13]Data Input'!$V$118</f>
        <v>1511.5</v>
      </c>
      <c r="E4" s="6">
        <f t="shared" ref="E4:E11" si="0">SUM(B4:D4)</f>
        <v>55560.4</v>
      </c>
    </row>
    <row r="5" spans="1:5" x14ac:dyDescent="0.2">
      <c r="A5" s="32">
        <v>2006</v>
      </c>
      <c r="B5" s="49">
        <f>'[13]Data Input'!$N$130</f>
        <v>18816.900000000001</v>
      </c>
      <c r="C5" s="49">
        <f>'[13]Data Input'!$R$130</f>
        <v>33997.300000000003</v>
      </c>
      <c r="D5" s="49">
        <f>'[13]Data Input'!$V$130</f>
        <v>1462.4</v>
      </c>
      <c r="E5" s="6">
        <f t="shared" si="0"/>
        <v>54276.600000000006</v>
      </c>
    </row>
    <row r="6" spans="1:5" x14ac:dyDescent="0.2">
      <c r="A6" s="32">
        <v>2007</v>
      </c>
      <c r="B6" s="49">
        <f>'[13]Data Input'!$N$142</f>
        <v>18838.400000000001</v>
      </c>
      <c r="C6" s="49">
        <f>'[13]Data Input'!$R$142</f>
        <v>31272.7</v>
      </c>
      <c r="D6" s="49">
        <f>'[13]Data Input'!$V$142</f>
        <v>1453.9</v>
      </c>
      <c r="E6" s="6">
        <f t="shared" si="0"/>
        <v>51565.000000000007</v>
      </c>
    </row>
    <row r="7" spans="1:5" x14ac:dyDescent="0.2">
      <c r="A7" s="32">
        <v>2008</v>
      </c>
      <c r="B7" s="49">
        <f>'[13]Data Input'!$N$153</f>
        <v>18111</v>
      </c>
      <c r="C7" s="49">
        <f>'[13]Data Input'!$R$153</f>
        <v>2568.3000000000002</v>
      </c>
      <c r="D7" s="49">
        <f>'[13]Data Input'!$V$153</f>
        <v>1458.6</v>
      </c>
      <c r="E7" s="6">
        <f t="shared" si="0"/>
        <v>22137.899999999998</v>
      </c>
    </row>
    <row r="8" spans="1:5" x14ac:dyDescent="0.2">
      <c r="A8" s="32">
        <v>2009</v>
      </c>
      <c r="B8" s="49">
        <f>'[13]Data Input'!$N$165</f>
        <v>21388.390000000003</v>
      </c>
      <c r="C8" s="49">
        <v>0</v>
      </c>
      <c r="D8" s="49">
        <f>'[13]Data Input'!$V$165</f>
        <v>1040.5999999999999</v>
      </c>
      <c r="E8" s="6">
        <f t="shared" si="0"/>
        <v>22428.99</v>
      </c>
    </row>
    <row r="9" spans="1:5" x14ac:dyDescent="0.2">
      <c r="A9" s="32">
        <v>2010</v>
      </c>
      <c r="B9" s="49">
        <f>'[13]Data Input'!$N$177</f>
        <v>22208.129999999997</v>
      </c>
      <c r="C9" s="49">
        <v>0</v>
      </c>
      <c r="D9" s="49">
        <f>'[13]Data Input'!$V$177</f>
        <v>1449.25</v>
      </c>
      <c r="E9" s="6">
        <f t="shared" si="0"/>
        <v>23657.379999999997</v>
      </c>
    </row>
    <row r="10" spans="1:5" x14ac:dyDescent="0.2">
      <c r="A10" s="32">
        <v>2011</v>
      </c>
      <c r="B10" s="49">
        <f>'[13]Data Input'!$N$189</f>
        <v>20693.859999999997</v>
      </c>
      <c r="C10" s="49">
        <v>0</v>
      </c>
      <c r="D10" s="49">
        <f>'[13]Data Input'!$V$189</f>
        <v>1450.33</v>
      </c>
      <c r="E10" s="6">
        <f t="shared" si="0"/>
        <v>22144.189999999995</v>
      </c>
    </row>
    <row r="11" spans="1:5" x14ac:dyDescent="0.2">
      <c r="A11" s="32">
        <v>2012</v>
      </c>
      <c r="B11" s="49">
        <f>'[13]Data Input'!$N$201</f>
        <v>22334.590000000004</v>
      </c>
      <c r="C11" s="49">
        <v>0</v>
      </c>
      <c r="D11" s="49">
        <f>'[13]Data Input'!$V$201</f>
        <v>1450</v>
      </c>
      <c r="E11" s="6">
        <f t="shared" si="0"/>
        <v>23784.590000000004</v>
      </c>
    </row>
    <row r="12" spans="1:5" x14ac:dyDescent="0.2">
      <c r="A12" s="32">
        <v>2013</v>
      </c>
      <c r="B12" s="49">
        <f>'[13]Data Input'!$N$213</f>
        <v>21680</v>
      </c>
      <c r="C12" s="49">
        <v>0</v>
      </c>
      <c r="D12" s="49">
        <f>'[13]Data Input'!$V$213</f>
        <v>1450</v>
      </c>
      <c r="E12" s="6">
        <f>SUM(B12:D12)</f>
        <v>23130</v>
      </c>
    </row>
    <row r="13" spans="1:5" x14ac:dyDescent="0.2">
      <c r="A13" s="32">
        <v>2014</v>
      </c>
      <c r="B13" s="49">
        <f>'[13]Data Input'!$N$225</f>
        <v>24636</v>
      </c>
      <c r="C13" s="49">
        <v>0</v>
      </c>
      <c r="D13" s="49">
        <f>'[13]Data Input'!$V$225</f>
        <v>1455</v>
      </c>
      <c r="E13" s="6">
        <f>SUM(B13:D13)</f>
        <v>26091</v>
      </c>
    </row>
    <row r="14" spans="1:5" x14ac:dyDescent="0.2">
      <c r="A14" s="32">
        <v>2015</v>
      </c>
      <c r="B14" s="49">
        <f>'[13]Data Input'!$N$237</f>
        <v>50899</v>
      </c>
      <c r="C14" s="49">
        <v>0</v>
      </c>
      <c r="D14" s="49">
        <f>'[13]Data Input'!$V$237</f>
        <v>1436.01</v>
      </c>
      <c r="E14" s="6">
        <f t="shared" ref="E14:E16" si="1">SUM(B14:D14)</f>
        <v>52335.01</v>
      </c>
    </row>
    <row r="15" spans="1:5" x14ac:dyDescent="0.2">
      <c r="A15" s="32">
        <v>2016</v>
      </c>
      <c r="B15" s="33">
        <f>'Rate Class Energy Model'!J68*'Rate Class Load Model'!B33</f>
        <v>33612.901500235763</v>
      </c>
      <c r="C15" s="49">
        <v>0</v>
      </c>
      <c r="D15" s="33">
        <f>'Rate Class Energy Model'!L68*'Rate Class Load Model'!D33</f>
        <v>1430.2888446215138</v>
      </c>
      <c r="E15" s="6">
        <f t="shared" si="1"/>
        <v>35043.190344857278</v>
      </c>
    </row>
    <row r="16" spans="1:5" x14ac:dyDescent="0.2">
      <c r="A16" s="32">
        <v>2017</v>
      </c>
      <c r="B16" s="33">
        <f>'Rate Class Energy Model'!J69*'Rate Class Load Model'!B33</f>
        <v>42599.409463245327</v>
      </c>
      <c r="C16" s="49">
        <v>0</v>
      </c>
      <c r="D16" s="33">
        <f>'Rate Class Energy Model'!L69*'Rate Class Load Model'!D33</f>
        <v>1430.2888446215138</v>
      </c>
      <c r="E16" s="6">
        <f t="shared" si="1"/>
        <v>44029.698307866842</v>
      </c>
    </row>
    <row r="17" spans="1:4" x14ac:dyDescent="0.2">
      <c r="A17" s="22"/>
    </row>
    <row r="18" spans="1:4" x14ac:dyDescent="0.2">
      <c r="A18" s="21" t="s">
        <v>63</v>
      </c>
      <c r="B18" s="5"/>
      <c r="C18" s="5"/>
      <c r="D18" s="5"/>
    </row>
    <row r="19" spans="1:4" x14ac:dyDescent="0.2">
      <c r="A19" s="4">
        <v>2003</v>
      </c>
      <c r="B19" s="30">
        <f>B2/'Rate Class Energy Model'!J8</f>
        <v>2.7620612865925801E-3</v>
      </c>
      <c r="C19" s="30">
        <f>C2/'Rate Class Energy Model'!K8</f>
        <v>2.2697229126718435E-3</v>
      </c>
      <c r="D19" s="30">
        <f>D2/'Rate Class Energy Model'!L8</f>
        <v>2.9830676008060181E-3</v>
      </c>
    </row>
    <row r="20" spans="1:4" x14ac:dyDescent="0.2">
      <c r="A20" s="4">
        <v>2004</v>
      </c>
      <c r="B20" s="30">
        <f>B3/'Rate Class Energy Model'!J9</f>
        <v>2.2699168659507298E-3</v>
      </c>
      <c r="C20" s="30">
        <f>C3/'Rate Class Energy Model'!K9</f>
        <v>1.2872667462683393E-4</v>
      </c>
      <c r="D20" s="30">
        <f>D3/'Rate Class Energy Model'!L9</f>
        <v>1.8386658231596517E-3</v>
      </c>
    </row>
    <row r="21" spans="1:4" x14ac:dyDescent="0.2">
      <c r="A21" s="4">
        <v>2005</v>
      </c>
      <c r="B21" s="30">
        <f>B4/'Rate Class Energy Model'!J10</f>
        <v>2.7905876690216742E-3</v>
      </c>
      <c r="C21" s="30">
        <f>C4/'Rate Class Energy Model'!K10</f>
        <v>1.8060257299911001E-3</v>
      </c>
      <c r="D21" s="30">
        <f>D4/'Rate Class Energy Model'!L10</f>
        <v>2.9882821381193294E-3</v>
      </c>
    </row>
    <row r="22" spans="1:4" x14ac:dyDescent="0.2">
      <c r="A22" s="4">
        <v>2006</v>
      </c>
      <c r="B22" s="30">
        <f>B5/'Rate Class Energy Model'!J11</f>
        <v>2.7134203626286331E-3</v>
      </c>
      <c r="C22" s="30">
        <f>C5/'Rate Class Energy Model'!K11</f>
        <v>1.7311205547276636E-3</v>
      </c>
      <c r="D22" s="30">
        <f>D5/'Rate Class Energy Model'!L11</f>
        <v>3.0010691719355707E-3</v>
      </c>
    </row>
    <row r="23" spans="1:4" x14ac:dyDescent="0.2">
      <c r="A23" s="4">
        <v>2007</v>
      </c>
      <c r="B23" s="30">
        <f>B6/'Rate Class Energy Model'!J12</f>
        <v>2.6086500155853769E-3</v>
      </c>
      <c r="C23" s="30">
        <f>C6/'Rate Class Energy Model'!K12</f>
        <v>2.2143857217520077E-3</v>
      </c>
      <c r="D23" s="30">
        <f>D6/'Rate Class Energy Model'!L12</f>
        <v>2.8610898471553422E-3</v>
      </c>
    </row>
    <row r="24" spans="1:4" x14ac:dyDescent="0.2">
      <c r="A24" s="4">
        <v>2008</v>
      </c>
      <c r="B24" s="30">
        <f>B7/'Rate Class Energy Model'!J13</f>
        <v>2.513247943129075E-3</v>
      </c>
      <c r="C24" s="30">
        <f>C7/'Rate Class Energy Model'!K13</f>
        <v>2.2512714516375034E-3</v>
      </c>
      <c r="D24" s="30">
        <f>D7/'Rate Class Energy Model'!L13</f>
        <v>2.9832003239674558E-3</v>
      </c>
    </row>
    <row r="25" spans="1:4" x14ac:dyDescent="0.2">
      <c r="A25" s="4">
        <v>2009</v>
      </c>
      <c r="B25" s="30">
        <f>B8/'Rate Class Energy Model'!J14</f>
        <v>2.6422117879188098E-3</v>
      </c>
      <c r="C25" s="30"/>
      <c r="D25" s="30">
        <f>D8/'Rate Class Energy Model'!L14</f>
        <v>2.0944162271649808E-3</v>
      </c>
    </row>
    <row r="26" spans="1:4" x14ac:dyDescent="0.2">
      <c r="A26" s="4">
        <v>2010</v>
      </c>
      <c r="B26" s="30">
        <f>B9/'Rate Class Energy Model'!J15</f>
        <v>2.965489531247621E-3</v>
      </c>
      <c r="C26" s="30"/>
      <c r="D26" s="30">
        <f>D9/'Rate Class Energy Model'!L15</f>
        <v>2.9846471234766998E-3</v>
      </c>
    </row>
    <row r="27" spans="1:4" x14ac:dyDescent="0.2">
      <c r="A27" s="4">
        <v>2011</v>
      </c>
      <c r="B27" s="30">
        <f>B10/'Rate Class Energy Model'!J16</f>
        <v>3.0997857966716092E-3</v>
      </c>
      <c r="C27" s="30"/>
      <c r="D27" s="30">
        <f>D10/'Rate Class Energy Model'!L16</f>
        <v>3.0877741745383444E-3</v>
      </c>
    </row>
    <row r="28" spans="1:4" x14ac:dyDescent="0.2">
      <c r="A28" s="4">
        <v>2012</v>
      </c>
      <c r="B28" s="30">
        <f>B11/'Rate Class Energy Model'!J17</f>
        <v>3.3222401546985987E-3</v>
      </c>
      <c r="C28" s="30"/>
      <c r="D28" s="30">
        <f>D11/'Rate Class Energy Model'!L17</f>
        <v>3.0881516947819094E-3</v>
      </c>
    </row>
    <row r="29" spans="1:4" x14ac:dyDescent="0.2">
      <c r="A29" s="4">
        <v>2013</v>
      </c>
      <c r="B29" s="30">
        <f>B12/'Rate Class Energy Model'!J18</f>
        <v>3.0882011911795961E-3</v>
      </c>
      <c r="C29" s="30"/>
      <c r="D29" s="30">
        <f>D12/'Rate Class Energy Model'!L18</f>
        <v>3.100121524763771E-3</v>
      </c>
    </row>
    <row r="30" spans="1:4" x14ac:dyDescent="0.2">
      <c r="A30" s="4">
        <v>2014</v>
      </c>
      <c r="B30" s="30">
        <f>B13/'Rate Class Energy Model'!J19</f>
        <v>3.1375761421950118E-3</v>
      </c>
      <c r="C30" s="30"/>
      <c r="D30" s="30">
        <f>D13/'Rate Class Energy Model'!L19</f>
        <v>3.1185525800825013E-3</v>
      </c>
    </row>
    <row r="31" spans="1:4" x14ac:dyDescent="0.2">
      <c r="A31" s="4">
        <v>2015</v>
      </c>
      <c r="B31" s="30">
        <f>B14/'Rate Class Energy Model'!J20</f>
        <v>2.8967452236911746E-3</v>
      </c>
      <c r="C31" s="30"/>
      <c r="D31" s="30">
        <f>D14/'Rate Class Energy Model'!L20</f>
        <v>3.0975452707079328E-3</v>
      </c>
    </row>
    <row r="33" spans="1:4" x14ac:dyDescent="0.2">
      <c r="A33" s="112" t="s">
        <v>62</v>
      </c>
      <c r="B33" s="30">
        <f>B35</f>
        <v>2.8315487669623449E-3</v>
      </c>
      <c r="C33" s="30"/>
      <c r="D33" s="30">
        <f>D31</f>
        <v>3.0975452707079328E-3</v>
      </c>
    </row>
    <row r="35" spans="1:4" x14ac:dyDescent="0.2">
      <c r="A35" t="s">
        <v>14</v>
      </c>
      <c r="B35" s="30">
        <f>AVERAGE(B19:B31)</f>
        <v>2.8315487669623449E-3</v>
      </c>
      <c r="C35" s="30"/>
      <c r="D35" s="30">
        <f>AVERAGE(D19:D31)</f>
        <v>2.8635833462045774E-3</v>
      </c>
    </row>
    <row r="40" spans="1:4" x14ac:dyDescent="0.2">
      <c r="B40" s="28"/>
      <c r="C40" s="28"/>
      <c r="D40" s="28"/>
    </row>
    <row r="41" spans="1:4" x14ac:dyDescent="0.2">
      <c r="B41" s="28"/>
      <c r="C41" s="28"/>
      <c r="D41" s="28"/>
    </row>
    <row r="60" spans="2:4" x14ac:dyDescent="0.2">
      <c r="B60" s="16"/>
      <c r="C60" s="16"/>
      <c r="D60" s="16"/>
    </row>
    <row r="61" spans="2:4" x14ac:dyDescent="0.2">
      <c r="B61" s="16"/>
      <c r="C61" s="16"/>
      <c r="D61" s="16"/>
    </row>
  </sheetData>
  <phoneticPr fontId="0" type="noConversion"/>
  <pageMargins left="0.38" right="0.75" top="0.73" bottom="0.74" header="0.5" footer="0.5"/>
  <pageSetup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4"/>
  <sheetViews>
    <sheetView topLeftCell="A7" workbookViewId="0">
      <selection activeCell="AB28" sqref="AB28:AB39"/>
    </sheetView>
  </sheetViews>
  <sheetFormatPr defaultRowHeight="12.75" x14ac:dyDescent="0.2"/>
  <cols>
    <col min="7" max="7" width="9.28515625" style="74" customWidth="1"/>
    <col min="8" max="8" width="9.5703125" style="74" customWidth="1"/>
    <col min="27" max="27" width="9.85546875" bestFit="1" customWidth="1"/>
    <col min="28" max="28" width="11" bestFit="1" customWidth="1"/>
  </cols>
  <sheetData>
    <row r="1" spans="1:28" x14ac:dyDescent="0.2">
      <c r="A1" s="21" t="s">
        <v>74</v>
      </c>
    </row>
    <row r="2" spans="1:28" x14ac:dyDescent="0.2">
      <c r="A2" s="75"/>
      <c r="C2" s="75"/>
    </row>
    <row r="3" spans="1:28" x14ac:dyDescent="0.2">
      <c r="A3" s="76" t="s">
        <v>75</v>
      </c>
      <c r="B3" s="76"/>
      <c r="C3" s="76"/>
      <c r="D3" s="76"/>
      <c r="E3" s="76"/>
      <c r="F3" s="76"/>
      <c r="G3" s="77"/>
      <c r="H3" s="77"/>
    </row>
    <row r="4" spans="1:28" x14ac:dyDescent="0.2">
      <c r="A4" s="78"/>
      <c r="B4" s="78"/>
      <c r="C4" s="78"/>
      <c r="D4" s="78"/>
      <c r="E4" s="78"/>
      <c r="F4" s="78"/>
      <c r="G4" s="79"/>
      <c r="H4" s="79"/>
    </row>
    <row r="5" spans="1:28" x14ac:dyDescent="0.2">
      <c r="A5" s="80" t="s">
        <v>76</v>
      </c>
      <c r="B5" s="80">
        <f t="shared" ref="B5:Z5" si="0">B25</f>
        <v>1991</v>
      </c>
      <c r="C5" s="80">
        <f t="shared" si="0"/>
        <v>1992</v>
      </c>
      <c r="D5" s="80">
        <f t="shared" si="0"/>
        <v>1993</v>
      </c>
      <c r="E5" s="80">
        <f t="shared" si="0"/>
        <v>1994</v>
      </c>
      <c r="F5" s="80">
        <f t="shared" si="0"/>
        <v>1995</v>
      </c>
      <c r="G5" s="80">
        <f t="shared" si="0"/>
        <v>1996</v>
      </c>
      <c r="H5" s="80">
        <f t="shared" si="0"/>
        <v>1997</v>
      </c>
      <c r="I5" s="80">
        <f t="shared" si="0"/>
        <v>1998</v>
      </c>
      <c r="J5" s="80">
        <f t="shared" si="0"/>
        <v>1999</v>
      </c>
      <c r="K5" s="80">
        <f t="shared" si="0"/>
        <v>2000</v>
      </c>
      <c r="L5" s="80">
        <f t="shared" si="0"/>
        <v>2001</v>
      </c>
      <c r="M5" s="80">
        <f t="shared" si="0"/>
        <v>2002</v>
      </c>
      <c r="N5" s="80">
        <f t="shared" si="0"/>
        <v>2003</v>
      </c>
      <c r="O5" s="80">
        <f t="shared" si="0"/>
        <v>2004</v>
      </c>
      <c r="P5" s="80">
        <f t="shared" si="0"/>
        <v>2005</v>
      </c>
      <c r="Q5" s="80">
        <f t="shared" si="0"/>
        <v>2006</v>
      </c>
      <c r="R5" s="80">
        <f t="shared" si="0"/>
        <v>2007</v>
      </c>
      <c r="S5" s="80">
        <f t="shared" si="0"/>
        <v>2008</v>
      </c>
      <c r="T5" s="80">
        <f t="shared" si="0"/>
        <v>2009</v>
      </c>
      <c r="U5" s="80">
        <f t="shared" si="0"/>
        <v>2010</v>
      </c>
      <c r="V5" s="80">
        <f t="shared" si="0"/>
        <v>2011</v>
      </c>
      <c r="W5" s="80">
        <f t="shared" si="0"/>
        <v>2012</v>
      </c>
      <c r="X5" s="80">
        <f t="shared" si="0"/>
        <v>2013</v>
      </c>
      <c r="Y5" s="80">
        <f t="shared" si="0"/>
        <v>2014</v>
      </c>
      <c r="Z5" s="80">
        <f t="shared" si="0"/>
        <v>2015</v>
      </c>
      <c r="AA5" s="85" t="s">
        <v>90</v>
      </c>
      <c r="AB5" s="85" t="s">
        <v>91</v>
      </c>
    </row>
    <row r="6" spans="1:28" x14ac:dyDescent="0.2">
      <c r="A6" s="78"/>
      <c r="B6" s="78"/>
      <c r="C6" s="78"/>
      <c r="D6" s="78"/>
      <c r="E6" s="78"/>
      <c r="F6" s="78"/>
      <c r="G6" s="77"/>
      <c r="H6" s="77"/>
    </row>
    <row r="7" spans="1:28" x14ac:dyDescent="0.2">
      <c r="A7" s="81"/>
      <c r="B7" s="81"/>
      <c r="C7" s="81"/>
      <c r="D7" s="81"/>
      <c r="E7" s="81"/>
      <c r="F7" s="81"/>
      <c r="G7" s="77"/>
      <c r="H7" s="77"/>
      <c r="I7" s="77"/>
      <c r="J7" s="77"/>
    </row>
    <row r="8" spans="1:28" x14ac:dyDescent="0.2">
      <c r="A8" s="81" t="s">
        <v>77</v>
      </c>
      <c r="B8" s="82">
        <v>1091.9000000000001</v>
      </c>
      <c r="C8" s="82">
        <v>922.6</v>
      </c>
      <c r="D8" s="82">
        <v>936.3</v>
      </c>
      <c r="E8" s="82">
        <v>1020.2</v>
      </c>
      <c r="F8" s="82">
        <v>802.9</v>
      </c>
      <c r="G8" s="82">
        <v>1135.4000000000001</v>
      </c>
      <c r="H8" s="82">
        <v>1112.0999999999999</v>
      </c>
      <c r="I8" s="82">
        <v>748.3</v>
      </c>
      <c r="J8" s="82">
        <v>1033</v>
      </c>
      <c r="K8" s="82">
        <v>924.2</v>
      </c>
      <c r="L8" s="82">
        <v>884.2</v>
      </c>
      <c r="M8" s="82">
        <v>926.6</v>
      </c>
      <c r="N8" s="82">
        <v>989.2</v>
      </c>
      <c r="O8" s="82">
        <v>1187.2</v>
      </c>
      <c r="P8" s="82">
        <v>1124.7</v>
      </c>
      <c r="Q8" s="82">
        <v>809.2</v>
      </c>
      <c r="R8" s="82">
        <v>997.6</v>
      </c>
      <c r="S8" s="82">
        <v>1024.4000000000001</v>
      </c>
      <c r="T8" s="82">
        <v>1184.2</v>
      </c>
      <c r="U8" s="82">
        <v>988.6</v>
      </c>
      <c r="V8" s="82">
        <f>'[16]eng-daily-01012011-12312011'!$M$57</f>
        <v>1125.8</v>
      </c>
      <c r="W8" s="82">
        <f>'[17]eng-daily-01012012-12312012'!$M$57</f>
        <v>622.4</v>
      </c>
      <c r="X8" s="82">
        <f>'[18]eng-daily-01012013-12312013'!$M$57</f>
        <v>1010.4000000000001</v>
      </c>
      <c r="Y8" s="82">
        <f>'[19]eng-daily-01012014-12312014'!$M$57</f>
        <v>1216.3</v>
      </c>
      <c r="Z8" s="82">
        <f>'[20]eng-daily-01012015-12312015'!$M$57</f>
        <v>1031.4999999999998</v>
      </c>
      <c r="AA8" s="83">
        <f>AVERAGE(Q8:Z8)</f>
        <v>1001.04</v>
      </c>
      <c r="AB8" s="84">
        <f>TREND(G8:Z8,$G$5:$Z$5,2017)</f>
        <v>1026.6188721804506</v>
      </c>
    </row>
    <row r="9" spans="1:28" x14ac:dyDescent="0.2">
      <c r="A9" s="81" t="s">
        <v>78</v>
      </c>
      <c r="B9" s="82">
        <v>781.6</v>
      </c>
      <c r="C9" s="82">
        <v>799.3</v>
      </c>
      <c r="D9" s="82">
        <v>875.6</v>
      </c>
      <c r="E9" s="82">
        <v>820</v>
      </c>
      <c r="F9" s="82">
        <v>855.5</v>
      </c>
      <c r="G9" s="82">
        <v>828.5</v>
      </c>
      <c r="H9" s="82">
        <v>864.3</v>
      </c>
      <c r="I9" s="82">
        <v>484.5</v>
      </c>
      <c r="J9" s="82">
        <v>505.9</v>
      </c>
      <c r="K9" s="82">
        <v>776.9</v>
      </c>
      <c r="L9" s="82">
        <v>928.2</v>
      </c>
      <c r="M9" s="82">
        <v>753.8</v>
      </c>
      <c r="N9" s="82">
        <v>994.6</v>
      </c>
      <c r="O9" s="82">
        <v>811.7</v>
      </c>
      <c r="P9" s="82">
        <v>812.6</v>
      </c>
      <c r="Q9" s="82">
        <v>934.6</v>
      </c>
      <c r="R9" s="82">
        <v>999.6</v>
      </c>
      <c r="S9" s="82">
        <v>986.1</v>
      </c>
      <c r="T9" s="82">
        <v>880.6</v>
      </c>
      <c r="U9" s="82">
        <v>856.1</v>
      </c>
      <c r="V9" s="82">
        <f>'[16]eng-daily-01012011-12312011'!$M$86</f>
        <v>858.99999999999989</v>
      </c>
      <c r="W9" s="82">
        <f>'[17]eng-daily-01012012-12312012'!$M$86</f>
        <v>759.70000000000027</v>
      </c>
      <c r="X9" s="82">
        <f>'[18]eng-daily-01012013-12312013'!$M$86</f>
        <v>925.09999999999957</v>
      </c>
      <c r="Y9" s="82">
        <f>'[19]eng-daily-01012014-12312014'!$M$86</f>
        <v>1021.7999999999998</v>
      </c>
      <c r="Z9" s="82">
        <f>'[20]eng-daily-01012015-12312015'!$M$86</f>
        <v>1110.2000000000003</v>
      </c>
      <c r="AA9" s="83">
        <f t="shared" ref="AA9:AA19" si="1">AVERAGE(Q9:Z9)</f>
        <v>933.28000000000009</v>
      </c>
      <c r="AB9" s="84">
        <f t="shared" ref="AB9:AB19" si="2">TREND(G9:Z9,$G$5:$Z$5,2017)</f>
        <v>1025.2289473684214</v>
      </c>
    </row>
    <row r="10" spans="1:28" x14ac:dyDescent="0.2">
      <c r="A10" s="81" t="s">
        <v>79</v>
      </c>
      <c r="B10" s="82">
        <v>716.7</v>
      </c>
      <c r="C10" s="82">
        <v>736</v>
      </c>
      <c r="D10" s="82">
        <v>679.9</v>
      </c>
      <c r="E10" s="82">
        <v>656.2</v>
      </c>
      <c r="F10" s="82">
        <v>665.1</v>
      </c>
      <c r="G10" s="82">
        <v>700.7</v>
      </c>
      <c r="H10" s="82">
        <v>726</v>
      </c>
      <c r="I10" s="82">
        <v>600.1</v>
      </c>
      <c r="J10" s="82">
        <v>591.9</v>
      </c>
      <c r="K10" s="82">
        <v>569.5</v>
      </c>
      <c r="L10" s="82">
        <v>708.5</v>
      </c>
      <c r="M10" s="82">
        <v>852</v>
      </c>
      <c r="N10" s="82">
        <v>769.1</v>
      </c>
      <c r="O10" s="82">
        <v>708.5</v>
      </c>
      <c r="P10" s="82">
        <v>824.2</v>
      </c>
      <c r="Q10" s="82">
        <v>678.9</v>
      </c>
      <c r="R10" s="82">
        <v>674.4</v>
      </c>
      <c r="S10" s="82">
        <v>828.7</v>
      </c>
      <c r="T10" s="82">
        <v>748.1</v>
      </c>
      <c r="U10" s="82">
        <v>527.79999999999995</v>
      </c>
      <c r="V10" s="82">
        <f>'[16]eng-daily-01012011-12312011'!$M$117</f>
        <v>760.4</v>
      </c>
      <c r="W10" s="82">
        <f>'[17]eng-daily-01012012-12312012'!$M$117</f>
        <v>497.09999999999985</v>
      </c>
      <c r="X10" s="82">
        <f>'[18]eng-daily-01012013-12312013'!$M$117</f>
        <v>830.70000000000016</v>
      </c>
      <c r="Y10" s="82">
        <f>'[19]eng-daily-01012014-12312014'!$M$117</f>
        <v>928.20000000000027</v>
      </c>
      <c r="Z10" s="82">
        <f>'[20]eng-daily-01012015-12312015'!$M$117</f>
        <v>713.69999999999982</v>
      </c>
      <c r="AA10" s="83">
        <f t="shared" si="1"/>
        <v>718.8</v>
      </c>
      <c r="AB10" s="84">
        <f t="shared" si="2"/>
        <v>761.27729323308358</v>
      </c>
    </row>
    <row r="11" spans="1:28" x14ac:dyDescent="0.2">
      <c r="A11" s="81" t="s">
        <v>80</v>
      </c>
      <c r="B11" s="82">
        <v>397.2</v>
      </c>
      <c r="C11" s="82">
        <v>505.7</v>
      </c>
      <c r="D11" s="82">
        <v>477.5</v>
      </c>
      <c r="E11" s="82">
        <v>439.9</v>
      </c>
      <c r="F11" s="82">
        <v>489.4</v>
      </c>
      <c r="G11" s="82">
        <v>520.20000000000005</v>
      </c>
      <c r="H11" s="82">
        <v>394.9</v>
      </c>
      <c r="I11" s="82">
        <v>258.60000000000002</v>
      </c>
      <c r="J11" s="82">
        <v>324.60000000000002</v>
      </c>
      <c r="K11" s="82">
        <v>386.3</v>
      </c>
      <c r="L11" s="82">
        <v>413.8</v>
      </c>
      <c r="M11" s="82">
        <v>487.4</v>
      </c>
      <c r="N11" s="82">
        <v>433.3</v>
      </c>
      <c r="O11" s="82">
        <v>457</v>
      </c>
      <c r="P11" s="82">
        <v>368</v>
      </c>
      <c r="Q11" s="82">
        <v>324.7</v>
      </c>
      <c r="R11" s="82">
        <v>478.8</v>
      </c>
      <c r="S11" s="82">
        <v>496.9</v>
      </c>
      <c r="T11" s="82">
        <v>451.1</v>
      </c>
      <c r="U11" s="82">
        <v>331.5</v>
      </c>
      <c r="V11" s="82">
        <f>'[16]eng-daily-01012011-12312011'!$M$147</f>
        <v>438.2</v>
      </c>
      <c r="W11" s="82">
        <f>'[17]eng-daily-01012012-12312012'!$M$147</f>
        <v>434.7999999999999</v>
      </c>
      <c r="X11" s="82">
        <f>'[18]eng-daily-01012013-12312013'!$M$147</f>
        <v>584.19999999999993</v>
      </c>
      <c r="Y11" s="82">
        <f>'[19]eng-daily-01012014-12312014'!$M$147</f>
        <v>554.60000000000014</v>
      </c>
      <c r="Z11" s="82">
        <f>'[20]eng-daily-01012015-12312015'!$M$147</f>
        <v>459</v>
      </c>
      <c r="AA11" s="83">
        <f t="shared" si="1"/>
        <v>455.37999999999994</v>
      </c>
      <c r="AB11" s="84">
        <f t="shared" si="2"/>
        <v>497.2080451127822</v>
      </c>
    </row>
    <row r="12" spans="1:28" x14ac:dyDescent="0.2">
      <c r="A12" s="81" t="s">
        <v>81</v>
      </c>
      <c r="B12" s="82">
        <v>220.5</v>
      </c>
      <c r="C12" s="82">
        <v>189</v>
      </c>
      <c r="D12" s="82">
        <v>238.5</v>
      </c>
      <c r="E12" s="82">
        <v>212.1</v>
      </c>
      <c r="F12" s="82">
        <v>231.5</v>
      </c>
      <c r="G12" s="82">
        <v>271.5</v>
      </c>
      <c r="H12" s="82">
        <v>295.60000000000002</v>
      </c>
      <c r="I12" s="82">
        <v>139.69999999999999</v>
      </c>
      <c r="J12" s="82">
        <v>197.4</v>
      </c>
      <c r="K12" s="82">
        <v>227.5</v>
      </c>
      <c r="L12" s="82">
        <v>181.5</v>
      </c>
      <c r="M12" s="82">
        <v>338.7</v>
      </c>
      <c r="N12" s="82">
        <v>212.6</v>
      </c>
      <c r="O12" s="82">
        <v>347.3</v>
      </c>
      <c r="P12" s="82">
        <v>264.60000000000002</v>
      </c>
      <c r="Q12" s="82">
        <v>200</v>
      </c>
      <c r="R12" s="82">
        <v>186.5</v>
      </c>
      <c r="S12" s="82">
        <v>340</v>
      </c>
      <c r="T12" s="82">
        <v>318.5</v>
      </c>
      <c r="U12" s="82">
        <v>194.7</v>
      </c>
      <c r="V12" s="82">
        <f>'[16]eng-daily-01012011-12312011'!$M$178</f>
        <v>198.20000000000002</v>
      </c>
      <c r="W12" s="82">
        <f>'[17]eng-daily-01012012-12312012'!$M$178</f>
        <v>199.29999999999998</v>
      </c>
      <c r="X12" s="82">
        <f>'[18]eng-daily-01012013-12312013'!$M$178</f>
        <v>279.30000000000007</v>
      </c>
      <c r="Y12" s="82">
        <f>'[19]eng-daily-01012014-12312014'!$M$178</f>
        <v>237.80000000000007</v>
      </c>
      <c r="Z12" s="82">
        <f>'[20]eng-daily-01012015-12312015'!$M$178</f>
        <v>245.7</v>
      </c>
      <c r="AA12" s="83">
        <f t="shared" si="1"/>
        <v>240</v>
      </c>
      <c r="AB12" s="84">
        <f t="shared" si="2"/>
        <v>247.2008270676692</v>
      </c>
    </row>
    <row r="13" spans="1:28" x14ac:dyDescent="0.2">
      <c r="A13" s="81" t="s">
        <v>82</v>
      </c>
      <c r="B13" s="82">
        <v>70.099999999999994</v>
      </c>
      <c r="C13" s="82">
        <v>115.1</v>
      </c>
      <c r="D13" s="82">
        <v>107</v>
      </c>
      <c r="E13" s="82">
        <v>43.6</v>
      </c>
      <c r="F13" s="82">
        <v>43.7</v>
      </c>
      <c r="G13" s="82">
        <v>56.7</v>
      </c>
      <c r="H13" s="82">
        <v>28.7</v>
      </c>
      <c r="I13" s="82">
        <v>76.7</v>
      </c>
      <c r="J13" s="82">
        <v>78</v>
      </c>
      <c r="K13" s="82">
        <v>154.69999999999999</v>
      </c>
      <c r="L13" s="82">
        <v>79.099999999999994</v>
      </c>
      <c r="M13" s="82">
        <v>79.7</v>
      </c>
      <c r="N13" s="82">
        <v>86</v>
      </c>
      <c r="O13" s="82">
        <v>137.19999999999999</v>
      </c>
      <c r="P13" s="82">
        <v>56.4</v>
      </c>
      <c r="Q13" s="82">
        <v>56.3</v>
      </c>
      <c r="R13" s="82">
        <v>57.9</v>
      </c>
      <c r="S13" s="82">
        <v>119.1</v>
      </c>
      <c r="T13" s="82">
        <v>125.4</v>
      </c>
      <c r="U13" s="82">
        <v>98.7</v>
      </c>
      <c r="V13" s="82">
        <f>'[16]eng-daily-01012011-12312011'!$M$208</f>
        <v>128</v>
      </c>
      <c r="W13" s="82">
        <f>'[17]eng-daily-01012012-12312012'!$M$208</f>
        <v>42.2</v>
      </c>
      <c r="X13" s="82">
        <f>'[18]eng-daily-01012013-12312013'!$M$208</f>
        <v>82.399999999999991</v>
      </c>
      <c r="Y13" s="82">
        <f>'[19]eng-daily-01012014-12312014'!$M$208</f>
        <v>78.7</v>
      </c>
      <c r="Z13" s="82">
        <f>'[20]eng-daily-01012015-12312015'!$M$208</f>
        <v>80.2</v>
      </c>
      <c r="AA13" s="83">
        <f t="shared" si="1"/>
        <v>86.890000000000015</v>
      </c>
      <c r="AB13" s="84">
        <f t="shared" si="2"/>
        <v>94.15541353383469</v>
      </c>
    </row>
    <row r="14" spans="1:28" x14ac:dyDescent="0.2">
      <c r="A14" s="81" t="s">
        <v>83</v>
      </c>
      <c r="B14" s="82">
        <v>51</v>
      </c>
      <c r="C14" s="82">
        <v>92.8</v>
      </c>
      <c r="D14" s="82">
        <v>24.9</v>
      </c>
      <c r="E14" s="82">
        <v>18.3</v>
      </c>
      <c r="F14" s="82">
        <v>27.4</v>
      </c>
      <c r="G14" s="82">
        <v>35.200000000000003</v>
      </c>
      <c r="H14" s="82">
        <v>34.700000000000003</v>
      </c>
      <c r="I14" s="82">
        <v>25.9</v>
      </c>
      <c r="J14" s="82">
        <v>21.1</v>
      </c>
      <c r="K14" s="82">
        <v>27.9</v>
      </c>
      <c r="L14" s="82">
        <v>39</v>
      </c>
      <c r="M14" s="82">
        <v>12.1</v>
      </c>
      <c r="N14" s="82">
        <v>28.4</v>
      </c>
      <c r="O14" s="82">
        <v>31.4</v>
      </c>
      <c r="P14" s="82">
        <v>34.200000000000003</v>
      </c>
      <c r="Q14" s="82">
        <v>10.3</v>
      </c>
      <c r="R14" s="82">
        <v>41.2</v>
      </c>
      <c r="S14" s="82">
        <v>42.8</v>
      </c>
      <c r="T14" s="82">
        <v>90.9</v>
      </c>
      <c r="U14" s="82">
        <v>5.5</v>
      </c>
      <c r="V14" s="82">
        <f>'[16]eng-daily-01012011-12312011'!$M$239</f>
        <v>31.6</v>
      </c>
      <c r="W14" s="82">
        <f>'[17]eng-daily-01012012-12312012'!$M$239</f>
        <v>1.4</v>
      </c>
      <c r="X14" s="82">
        <f>'[18]eng-daily-01012013-12312013'!$M$239</f>
        <v>44.400000000000006</v>
      </c>
      <c r="Y14" s="82">
        <f>'[19]eng-daily-01012014-12312014'!$M$239</f>
        <v>54.20000000000001</v>
      </c>
      <c r="Z14" s="82">
        <f>'[20]eng-daily-01012015-12312015'!$M$239</f>
        <v>22.4</v>
      </c>
      <c r="AA14" s="83">
        <f t="shared" si="1"/>
        <v>34.47</v>
      </c>
      <c r="AB14" s="84">
        <f t="shared" si="2"/>
        <v>35.863082706766932</v>
      </c>
    </row>
    <row r="15" spans="1:28" x14ac:dyDescent="0.2">
      <c r="A15" s="81" t="s">
        <v>84</v>
      </c>
      <c r="B15" s="82">
        <v>48.1</v>
      </c>
      <c r="C15" s="82">
        <v>83.5</v>
      </c>
      <c r="D15" s="82">
        <v>37.9</v>
      </c>
      <c r="E15" s="82">
        <v>71.5</v>
      </c>
      <c r="F15" s="82">
        <v>16.899999999999999</v>
      </c>
      <c r="G15" s="82">
        <v>17.600000000000001</v>
      </c>
      <c r="H15" s="82">
        <v>61.9</v>
      </c>
      <c r="I15" s="82">
        <v>18.7</v>
      </c>
      <c r="J15" s="82">
        <v>49.2</v>
      </c>
      <c r="K15" s="82">
        <v>30.3</v>
      </c>
      <c r="L15" s="82">
        <v>37.299999999999997</v>
      </c>
      <c r="M15" s="82">
        <v>33.700000000000003</v>
      </c>
      <c r="N15" s="82">
        <v>29.7</v>
      </c>
      <c r="O15" s="82">
        <v>140.5</v>
      </c>
      <c r="P15" s="82">
        <v>69.5</v>
      </c>
      <c r="Q15" s="82">
        <v>38.299999999999997</v>
      </c>
      <c r="R15" s="82">
        <v>65.5</v>
      </c>
      <c r="S15" s="82">
        <v>47.2</v>
      </c>
      <c r="T15" s="82">
        <v>88.2</v>
      </c>
      <c r="U15" s="82">
        <v>46.1</v>
      </c>
      <c r="V15" s="82">
        <f>'[16]eng-daily-01012011-12312011'!$M$270</f>
        <v>23.6</v>
      </c>
      <c r="W15" s="82">
        <f>'[17]eng-daily-01012012-12312012'!$M$270</f>
        <v>45.099999999999994</v>
      </c>
      <c r="X15" s="82">
        <f>'[18]eng-daily-01012013-12312013'!$M$270</f>
        <v>67.2</v>
      </c>
      <c r="Y15" s="82">
        <f>'[19]eng-daily-01012014-12312014'!$M$270</f>
        <v>59.599999999999994</v>
      </c>
      <c r="Z15" s="82">
        <f>'[20]eng-daily-01012015-12312015'!$M$270</f>
        <v>66.7</v>
      </c>
      <c r="AA15" s="83">
        <f t="shared" si="1"/>
        <v>54.75</v>
      </c>
      <c r="AB15" s="84">
        <f t="shared" si="2"/>
        <v>67.240451127819597</v>
      </c>
    </row>
    <row r="16" spans="1:28" x14ac:dyDescent="0.2">
      <c r="A16" s="81" t="s">
        <v>85</v>
      </c>
      <c r="B16" s="82">
        <v>235.8</v>
      </c>
      <c r="C16" s="82">
        <v>194.5</v>
      </c>
      <c r="D16" s="82">
        <v>278</v>
      </c>
      <c r="E16" s="82">
        <v>109.9</v>
      </c>
      <c r="F16" s="82">
        <v>198.9</v>
      </c>
      <c r="G16" s="82">
        <v>150.80000000000001</v>
      </c>
      <c r="H16" s="82">
        <v>119.3</v>
      </c>
      <c r="I16" s="82">
        <v>114.2</v>
      </c>
      <c r="J16" s="82">
        <v>140.9</v>
      </c>
      <c r="K16" s="82">
        <v>158.5</v>
      </c>
      <c r="L16" s="82">
        <v>196.4</v>
      </c>
      <c r="M16" s="82">
        <v>143.80000000000001</v>
      </c>
      <c r="N16" s="82">
        <v>173.2</v>
      </c>
      <c r="O16" s="82">
        <v>123.6</v>
      </c>
      <c r="P16" s="82">
        <v>149.9</v>
      </c>
      <c r="Q16" s="82">
        <v>205.7</v>
      </c>
      <c r="R16" s="82">
        <v>175.6</v>
      </c>
      <c r="S16" s="82">
        <v>192.5</v>
      </c>
      <c r="T16" s="82">
        <v>81</v>
      </c>
      <c r="U16" s="82">
        <v>256.3</v>
      </c>
      <c r="V16" s="82">
        <f>'[16]eng-daily-01012011-12312011'!$M$300</f>
        <v>176.29999999999995</v>
      </c>
      <c r="W16" s="82">
        <f>'[17]eng-daily-01012012-12312012'!$M$300</f>
        <v>210.2</v>
      </c>
      <c r="X16" s="82">
        <f>'[18]eng-daily-01012013-12312013'!$M$300</f>
        <v>133.6</v>
      </c>
      <c r="Y16" s="82">
        <f>'[19]eng-daily-01012014-12312014'!$M$300</f>
        <v>167.50000000000003</v>
      </c>
      <c r="Z16" s="82">
        <f>'[20]eng-daily-01012015-12312015'!$M$300</f>
        <v>101.2</v>
      </c>
      <c r="AA16" s="83">
        <f t="shared" si="1"/>
        <v>169.98999999999998</v>
      </c>
      <c r="AB16" s="84">
        <f t="shared" si="2"/>
        <v>172.98646616541373</v>
      </c>
    </row>
    <row r="17" spans="1:33" x14ac:dyDescent="0.2">
      <c r="A17" s="81" t="s">
        <v>86</v>
      </c>
      <c r="B17" s="82">
        <v>454.1</v>
      </c>
      <c r="C17" s="82">
        <v>431.9</v>
      </c>
      <c r="D17" s="82">
        <v>392.9</v>
      </c>
      <c r="E17" s="82">
        <v>266.2</v>
      </c>
      <c r="F17" s="82">
        <v>323.7</v>
      </c>
      <c r="G17" s="82">
        <v>398.6</v>
      </c>
      <c r="H17" s="82">
        <v>369.6</v>
      </c>
      <c r="I17" s="82">
        <v>346.2</v>
      </c>
      <c r="J17" s="82">
        <v>354.5</v>
      </c>
      <c r="K17" s="82">
        <v>301</v>
      </c>
      <c r="L17" s="82">
        <v>430.2</v>
      </c>
      <c r="M17" s="82">
        <v>540.70000000000005</v>
      </c>
      <c r="N17" s="82">
        <v>412.9</v>
      </c>
      <c r="O17" s="82">
        <v>369.7</v>
      </c>
      <c r="P17" s="82">
        <v>372.3</v>
      </c>
      <c r="Q17" s="82">
        <v>462.4</v>
      </c>
      <c r="R17" s="82">
        <v>333</v>
      </c>
      <c r="S17" s="82">
        <v>390.1</v>
      </c>
      <c r="T17" s="82">
        <v>468.3</v>
      </c>
      <c r="U17" s="82">
        <v>334.4</v>
      </c>
      <c r="V17" s="82">
        <f>'[16]eng-daily-01012011-12312011'!$M$331</f>
        <v>353.1</v>
      </c>
      <c r="W17" s="82">
        <f>'[17]eng-daily-01012012-12312012'!$M$331</f>
        <v>423.09999999999991</v>
      </c>
      <c r="X17" s="82">
        <f>'[18]eng-daily-01012013-12312013'!$M$331</f>
        <v>346.4</v>
      </c>
      <c r="Y17" s="82">
        <f>'[19]eng-daily-01012014-12312014'!$M$331</f>
        <v>389.5</v>
      </c>
      <c r="Z17" s="82">
        <f>'[20]eng-daily-01012015-12312015'!$M$331</f>
        <v>357.5</v>
      </c>
      <c r="AA17" s="83">
        <f t="shared" si="1"/>
        <v>385.78</v>
      </c>
      <c r="AB17" s="84">
        <f t="shared" si="2"/>
        <v>383.54451127819561</v>
      </c>
    </row>
    <row r="18" spans="1:33" x14ac:dyDescent="0.2">
      <c r="A18" s="81" t="s">
        <v>87</v>
      </c>
      <c r="B18" s="82">
        <v>702</v>
      </c>
      <c r="C18" s="82">
        <v>696.6</v>
      </c>
      <c r="D18" s="82">
        <v>722.2</v>
      </c>
      <c r="E18" s="82">
        <v>404.5</v>
      </c>
      <c r="F18" s="82">
        <v>826.5</v>
      </c>
      <c r="G18" s="82">
        <v>691.9</v>
      </c>
      <c r="H18" s="82">
        <v>710.7</v>
      </c>
      <c r="I18" s="82">
        <v>438.4</v>
      </c>
      <c r="J18" s="82">
        <v>474.4</v>
      </c>
      <c r="K18" s="82">
        <v>603</v>
      </c>
      <c r="L18" s="82">
        <v>490.8</v>
      </c>
      <c r="M18" s="82">
        <v>706.8</v>
      </c>
      <c r="N18" s="82">
        <v>667.8</v>
      </c>
      <c r="O18" s="82">
        <v>562.4</v>
      </c>
      <c r="P18" s="82">
        <v>640.1</v>
      </c>
      <c r="Q18" s="82">
        <v>568.6</v>
      </c>
      <c r="R18" s="82">
        <v>663.5</v>
      </c>
      <c r="S18" s="82">
        <v>644.79999999999995</v>
      </c>
      <c r="T18" s="82">
        <v>507.2</v>
      </c>
      <c r="U18" s="82">
        <v>585.20000000000005</v>
      </c>
      <c r="V18" s="82">
        <f>'[16]eng-daily-01012011-12312011'!$M$361</f>
        <v>566</v>
      </c>
      <c r="W18" s="82">
        <f>'[17]eng-daily-01012012-12312012'!$M$361</f>
        <v>643.69999999999993</v>
      </c>
      <c r="X18" s="82">
        <f>'[18]eng-daily-01012013-12312013'!$M$361</f>
        <v>610.9</v>
      </c>
      <c r="Y18" s="82">
        <f>'[19]eng-daily-01012014-12312014'!$M$361</f>
        <v>781.20000000000027</v>
      </c>
      <c r="Z18" s="82">
        <f>'[20]eng-daily-01012015-12312015'!$M$361</f>
        <v>502.50000000000006</v>
      </c>
      <c r="AA18" s="83">
        <f t="shared" si="1"/>
        <v>607.36</v>
      </c>
      <c r="AB18" s="84">
        <f t="shared" si="2"/>
        <v>616.40157894736853</v>
      </c>
    </row>
    <row r="19" spans="1:33" x14ac:dyDescent="0.2">
      <c r="A19" s="81" t="s">
        <v>88</v>
      </c>
      <c r="B19" s="82">
        <v>875.9</v>
      </c>
      <c r="C19" s="82">
        <v>671.2</v>
      </c>
      <c r="D19" s="82">
        <v>523.70000000000005</v>
      </c>
      <c r="E19" s="82">
        <v>656.3</v>
      </c>
      <c r="F19" s="82">
        <v>718.2</v>
      </c>
      <c r="G19" s="82">
        <v>782</v>
      </c>
      <c r="H19" s="82">
        <v>615.70000000000005</v>
      </c>
      <c r="I19" s="82">
        <v>610.1</v>
      </c>
      <c r="J19" s="82">
        <v>783</v>
      </c>
      <c r="K19" s="82">
        <v>1109.8</v>
      </c>
      <c r="L19" s="82">
        <v>790.5</v>
      </c>
      <c r="M19" s="82">
        <v>850.9</v>
      </c>
      <c r="N19" s="82">
        <v>832.8</v>
      </c>
      <c r="O19" s="82">
        <v>972.9</v>
      </c>
      <c r="P19" s="82">
        <v>872.2</v>
      </c>
      <c r="Q19" s="82">
        <v>809.9</v>
      </c>
      <c r="R19" s="82">
        <v>989.2</v>
      </c>
      <c r="S19" s="82">
        <v>1128.5</v>
      </c>
      <c r="T19" s="82">
        <v>995.3</v>
      </c>
      <c r="U19" s="82">
        <v>645.20000000000005</v>
      </c>
      <c r="V19" s="82">
        <f>'[16]eng-daily-01012011-12312011'!$M$392</f>
        <v>776.49999999999989</v>
      </c>
      <c r="W19" s="82">
        <f>'[17]eng-daily-01012012-12312012'!$M$392</f>
        <v>897.5</v>
      </c>
      <c r="X19" s="82">
        <f>'[18]eng-daily-01012013-12312013'!$M$392</f>
        <v>1170.2000000000003</v>
      </c>
      <c r="Y19" s="82">
        <f>'[19]eng-daily-01012014-12312014'!$M$392</f>
        <v>821.99999999999977</v>
      </c>
      <c r="Z19" s="82">
        <f>'[20]eng-daily-01012015-12312015'!$M$392</f>
        <v>733.30000000000018</v>
      </c>
      <c r="AA19" s="83">
        <f t="shared" si="1"/>
        <v>896.75999999999988</v>
      </c>
      <c r="AB19" s="84">
        <f t="shared" si="2"/>
        <v>945.61375939849677</v>
      </c>
    </row>
    <row r="20" spans="1:33" x14ac:dyDescent="0.2">
      <c r="A20" s="81"/>
      <c r="B20" s="81"/>
      <c r="C20" s="81"/>
      <c r="D20" s="81"/>
      <c r="E20" s="81"/>
      <c r="F20" s="81"/>
    </row>
    <row r="21" spans="1:33" x14ac:dyDescent="0.2">
      <c r="A21" s="81" t="s">
        <v>10</v>
      </c>
      <c r="B21" s="82">
        <f t="shared" ref="B21:W21" si="3">SUM(B8:B20)</f>
        <v>5644.9</v>
      </c>
      <c r="C21" s="82">
        <f t="shared" si="3"/>
        <v>5438.2</v>
      </c>
      <c r="D21" s="82">
        <f t="shared" si="3"/>
        <v>5294.4000000000005</v>
      </c>
      <c r="E21" s="82">
        <f t="shared" si="3"/>
        <v>4718.7</v>
      </c>
      <c r="F21" s="82">
        <f t="shared" si="3"/>
        <v>5199.7</v>
      </c>
      <c r="G21" s="82">
        <f t="shared" si="3"/>
        <v>5589.0999999999995</v>
      </c>
      <c r="H21" s="82">
        <f t="shared" si="3"/>
        <v>5333.4999999999991</v>
      </c>
      <c r="I21" s="82">
        <f t="shared" si="3"/>
        <v>3861.3999999999992</v>
      </c>
      <c r="J21" s="82">
        <f t="shared" si="3"/>
        <v>4553.8999999999996</v>
      </c>
      <c r="K21" s="82">
        <f t="shared" si="3"/>
        <v>5269.6</v>
      </c>
      <c r="L21" s="82">
        <f t="shared" si="3"/>
        <v>5179.5</v>
      </c>
      <c r="M21" s="82">
        <f t="shared" si="3"/>
        <v>5726.2</v>
      </c>
      <c r="N21" s="82">
        <f t="shared" si="3"/>
        <v>5629.6</v>
      </c>
      <c r="O21" s="82">
        <f t="shared" si="3"/>
        <v>5849.4</v>
      </c>
      <c r="P21" s="82">
        <f t="shared" si="3"/>
        <v>5588.7</v>
      </c>
      <c r="Q21" s="82">
        <f t="shared" si="3"/>
        <v>5098.9000000000005</v>
      </c>
      <c r="R21" s="82">
        <f t="shared" si="3"/>
        <v>5662.8</v>
      </c>
      <c r="S21" s="82">
        <f t="shared" si="3"/>
        <v>6241.1</v>
      </c>
      <c r="T21" s="82">
        <f t="shared" si="3"/>
        <v>5938.8</v>
      </c>
      <c r="U21" s="82">
        <f t="shared" si="3"/>
        <v>4870.0999999999995</v>
      </c>
      <c r="V21" s="82">
        <f t="shared" si="3"/>
        <v>5436.6999999999989</v>
      </c>
      <c r="W21" s="82">
        <f t="shared" si="3"/>
        <v>4776.5</v>
      </c>
      <c r="X21" s="82">
        <f t="shared" ref="X21:Z21" si="4">SUM(X8:X20)</f>
        <v>6084.7999999999993</v>
      </c>
      <c r="Y21" s="82">
        <f t="shared" si="4"/>
        <v>6311.4000000000015</v>
      </c>
      <c r="Z21" s="82">
        <f t="shared" si="4"/>
        <v>5423.8999999999987</v>
      </c>
    </row>
    <row r="22" spans="1:33" x14ac:dyDescent="0.2">
      <c r="A22" s="76"/>
      <c r="B22" s="76"/>
      <c r="C22" s="76"/>
      <c r="D22" s="76"/>
      <c r="E22" s="76"/>
      <c r="F22" s="76"/>
      <c r="G22" s="77"/>
      <c r="H22" s="77"/>
    </row>
    <row r="23" spans="1:33" x14ac:dyDescent="0.2">
      <c r="A23" s="76" t="s">
        <v>89</v>
      </c>
      <c r="B23" s="76"/>
      <c r="C23" s="76"/>
      <c r="D23" s="76"/>
      <c r="E23" s="76"/>
      <c r="F23" s="76"/>
      <c r="G23" s="77"/>
      <c r="H23" s="77"/>
    </row>
    <row r="24" spans="1:33" x14ac:dyDescent="0.2">
      <c r="A24" s="78"/>
      <c r="B24" s="78"/>
      <c r="C24" s="78"/>
      <c r="D24" s="78"/>
      <c r="E24" s="78"/>
      <c r="F24" s="78"/>
      <c r="G24" s="79"/>
      <c r="H24" s="79"/>
    </row>
    <row r="25" spans="1:33" x14ac:dyDescent="0.2">
      <c r="A25" s="80" t="s">
        <v>76</v>
      </c>
      <c r="B25" s="80">
        <v>1991</v>
      </c>
      <c r="C25" s="80">
        <v>1992</v>
      </c>
      <c r="D25" s="80">
        <v>1993</v>
      </c>
      <c r="E25" s="80">
        <v>1994</v>
      </c>
      <c r="F25" s="80">
        <v>1995</v>
      </c>
      <c r="G25" s="80">
        <v>1996</v>
      </c>
      <c r="H25" s="80">
        <v>1997</v>
      </c>
      <c r="I25" s="80">
        <v>1998</v>
      </c>
      <c r="J25" s="80">
        <v>1999</v>
      </c>
      <c r="K25" s="80">
        <v>2000</v>
      </c>
      <c r="L25" s="80">
        <v>2001</v>
      </c>
      <c r="M25" s="80">
        <v>2002</v>
      </c>
      <c r="N25" s="80">
        <v>2003</v>
      </c>
      <c r="O25" s="80">
        <v>2004</v>
      </c>
      <c r="P25" s="80">
        <v>2005</v>
      </c>
      <c r="Q25" s="80">
        <v>2006</v>
      </c>
      <c r="R25" s="80">
        <v>2007</v>
      </c>
      <c r="S25" s="80">
        <v>2008</v>
      </c>
      <c r="T25" s="80">
        <v>2009</v>
      </c>
      <c r="U25" s="80">
        <v>2010</v>
      </c>
      <c r="V25" s="80">
        <v>2011</v>
      </c>
      <c r="W25" s="80">
        <v>2012</v>
      </c>
      <c r="X25" s="80">
        <v>2013</v>
      </c>
      <c r="Y25" s="80">
        <v>2014</v>
      </c>
      <c r="Z25" s="80">
        <v>2015</v>
      </c>
      <c r="AA25" s="85" t="s">
        <v>90</v>
      </c>
      <c r="AB25" s="85" t="s">
        <v>91</v>
      </c>
    </row>
    <row r="26" spans="1:33" x14ac:dyDescent="0.2">
      <c r="A26" s="78"/>
      <c r="B26" s="78"/>
      <c r="C26" s="78"/>
      <c r="D26" s="78"/>
      <c r="E26" s="78"/>
      <c r="F26" s="78"/>
      <c r="G26" s="77"/>
      <c r="H26" s="77"/>
      <c r="AA26" s="86"/>
      <c r="AB26" s="86"/>
    </row>
    <row r="27" spans="1:33" x14ac:dyDescent="0.2">
      <c r="G27" s="77"/>
      <c r="H27" s="77"/>
      <c r="AA27" s="86"/>
      <c r="AB27" s="86"/>
    </row>
    <row r="28" spans="1:33" x14ac:dyDescent="0.2">
      <c r="A28" s="81" t="s">
        <v>77</v>
      </c>
      <c r="B28" s="82">
        <v>0</v>
      </c>
      <c r="C28" s="82">
        <v>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2">
        <v>0</v>
      </c>
      <c r="O28" s="82">
        <v>0</v>
      </c>
      <c r="P28" s="82">
        <v>0</v>
      </c>
      <c r="Q28" s="82">
        <v>0</v>
      </c>
      <c r="R28" s="82">
        <v>0</v>
      </c>
      <c r="S28" s="82">
        <v>0</v>
      </c>
      <c r="T28" s="82">
        <v>0</v>
      </c>
      <c r="U28" s="82">
        <v>0</v>
      </c>
      <c r="V28" s="82">
        <v>0</v>
      </c>
      <c r="W28" s="82">
        <v>0</v>
      </c>
      <c r="X28" s="82">
        <v>0</v>
      </c>
      <c r="Y28" s="82">
        <v>0</v>
      </c>
      <c r="Z28" s="82">
        <v>0</v>
      </c>
      <c r="AA28" s="83">
        <f>AVERAGE(Q28:Z28)</f>
        <v>0</v>
      </c>
      <c r="AB28" s="84">
        <f>TREND(G28:Z28,$G$5:$Z$5,2017)</f>
        <v>0</v>
      </c>
      <c r="AF28" s="82"/>
      <c r="AG28" s="82"/>
    </row>
    <row r="29" spans="1:33" x14ac:dyDescent="0.2">
      <c r="A29" s="81" t="s">
        <v>78</v>
      </c>
      <c r="B29" s="82">
        <v>0</v>
      </c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82">
        <v>0</v>
      </c>
      <c r="J29" s="82">
        <v>0</v>
      </c>
      <c r="K29" s="82">
        <v>0</v>
      </c>
      <c r="L29" s="82">
        <v>0</v>
      </c>
      <c r="M29" s="82">
        <v>0</v>
      </c>
      <c r="N29" s="82">
        <v>0</v>
      </c>
      <c r="O29" s="82">
        <v>0</v>
      </c>
      <c r="P29" s="82">
        <v>0</v>
      </c>
      <c r="Q29" s="82">
        <v>0</v>
      </c>
      <c r="R29" s="82">
        <v>0</v>
      </c>
      <c r="S29" s="82">
        <v>0</v>
      </c>
      <c r="T29" s="82">
        <v>0</v>
      </c>
      <c r="U29" s="82">
        <v>0</v>
      </c>
      <c r="V29" s="82">
        <v>0</v>
      </c>
      <c r="W29" s="82">
        <v>0</v>
      </c>
      <c r="X29" s="82">
        <v>0</v>
      </c>
      <c r="Y29" s="82">
        <v>0</v>
      </c>
      <c r="Z29" s="82">
        <v>0</v>
      </c>
      <c r="AA29" s="83">
        <f t="shared" ref="AA29:AA39" si="5">AVERAGE(Q29:Z29)</f>
        <v>0</v>
      </c>
      <c r="AB29" s="84">
        <f t="shared" ref="AB29:AB39" si="6">TREND(G29:Z29,$G$5:$Z$5,2017)</f>
        <v>0</v>
      </c>
      <c r="AF29" s="82"/>
      <c r="AG29" s="82"/>
    </row>
    <row r="30" spans="1:33" x14ac:dyDescent="0.2">
      <c r="A30" s="81" t="s">
        <v>79</v>
      </c>
      <c r="B30" s="82">
        <v>0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2">
        <v>0</v>
      </c>
      <c r="O30" s="82">
        <v>0</v>
      </c>
      <c r="P30" s="82">
        <v>0</v>
      </c>
      <c r="Q30" s="82">
        <v>0</v>
      </c>
      <c r="R30" s="82">
        <v>0</v>
      </c>
      <c r="S30" s="82">
        <v>0</v>
      </c>
      <c r="T30" s="82">
        <v>0</v>
      </c>
      <c r="U30" s="82">
        <v>0</v>
      </c>
      <c r="V30" s="82">
        <v>0</v>
      </c>
      <c r="W30" s="82">
        <v>0</v>
      </c>
      <c r="X30" s="82">
        <v>0</v>
      </c>
      <c r="Y30" s="82">
        <v>0</v>
      </c>
      <c r="Z30" s="82">
        <v>0</v>
      </c>
      <c r="AA30" s="83">
        <f t="shared" si="5"/>
        <v>0</v>
      </c>
      <c r="AB30" s="84">
        <f t="shared" si="6"/>
        <v>0</v>
      </c>
      <c r="AF30" s="82"/>
      <c r="AG30" s="82"/>
    </row>
    <row r="31" spans="1:33" x14ac:dyDescent="0.2">
      <c r="A31" s="81" t="s">
        <v>80</v>
      </c>
      <c r="B31" s="82">
        <v>0</v>
      </c>
      <c r="C31" s="82">
        <v>0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82">
        <v>0</v>
      </c>
      <c r="J31" s="82">
        <v>0</v>
      </c>
      <c r="K31" s="82">
        <v>0</v>
      </c>
      <c r="L31" s="82">
        <v>0.6</v>
      </c>
      <c r="M31" s="82">
        <v>0</v>
      </c>
      <c r="N31" s="82">
        <v>0</v>
      </c>
      <c r="O31" s="82">
        <v>0</v>
      </c>
      <c r="P31" s="82">
        <v>0</v>
      </c>
      <c r="Q31" s="82">
        <v>0</v>
      </c>
      <c r="R31" s="82">
        <v>0</v>
      </c>
      <c r="S31" s="82">
        <v>0</v>
      </c>
      <c r="T31" s="82">
        <v>0</v>
      </c>
      <c r="U31" s="82">
        <v>0</v>
      </c>
      <c r="V31" s="82">
        <v>0</v>
      </c>
      <c r="W31" s="82">
        <v>0</v>
      </c>
      <c r="X31" s="82">
        <v>0</v>
      </c>
      <c r="Y31" s="82">
        <v>0</v>
      </c>
      <c r="Z31" s="82">
        <v>0</v>
      </c>
      <c r="AA31" s="83">
        <f t="shared" si="5"/>
        <v>0</v>
      </c>
      <c r="AB31" s="84">
        <f t="shared" si="6"/>
        <v>-1.669172932330909E-2</v>
      </c>
      <c r="AF31" s="82"/>
      <c r="AG31" s="82"/>
    </row>
    <row r="32" spans="1:33" x14ac:dyDescent="0.2">
      <c r="A32" s="81" t="s">
        <v>81</v>
      </c>
      <c r="B32" s="82">
        <v>5</v>
      </c>
      <c r="C32" s="82">
        <v>21.4</v>
      </c>
      <c r="D32" s="82">
        <v>2.8</v>
      </c>
      <c r="E32" s="82">
        <v>11.1</v>
      </c>
      <c r="F32" s="82">
        <v>5</v>
      </c>
      <c r="G32" s="82">
        <v>0.3</v>
      </c>
      <c r="H32" s="82">
        <v>1</v>
      </c>
      <c r="I32" s="82">
        <v>1.5</v>
      </c>
      <c r="J32" s="82">
        <v>5.3</v>
      </c>
      <c r="K32" s="82">
        <v>2.5</v>
      </c>
      <c r="L32" s="82">
        <v>0.6</v>
      </c>
      <c r="M32" s="82">
        <v>2.9</v>
      </c>
      <c r="N32" s="82">
        <v>0</v>
      </c>
      <c r="O32" s="82">
        <v>0</v>
      </c>
      <c r="P32" s="82">
        <v>0</v>
      </c>
      <c r="Q32" s="82">
        <v>15.1</v>
      </c>
      <c r="R32" s="82">
        <v>8.1</v>
      </c>
      <c r="S32" s="82">
        <v>0</v>
      </c>
      <c r="T32" s="82">
        <v>0</v>
      </c>
      <c r="U32" s="82">
        <v>15</v>
      </c>
      <c r="V32" s="82">
        <v>0</v>
      </c>
      <c r="W32" s="82">
        <v>4.9000000000000004</v>
      </c>
      <c r="X32" s="82">
        <v>0.5</v>
      </c>
      <c r="Y32" s="82">
        <v>8.2999999999999989</v>
      </c>
      <c r="Z32" s="82">
        <v>0</v>
      </c>
      <c r="AA32" s="83">
        <f t="shared" si="5"/>
        <v>5.1899999999999995</v>
      </c>
      <c r="AB32" s="84">
        <f t="shared" si="6"/>
        <v>5.1970676691729523</v>
      </c>
      <c r="AF32" s="82"/>
      <c r="AG32" s="82"/>
    </row>
    <row r="33" spans="1:33" x14ac:dyDescent="0.2">
      <c r="A33" s="81" t="s">
        <v>82</v>
      </c>
      <c r="B33" s="82">
        <v>11.6</v>
      </c>
      <c r="C33" s="82">
        <v>13</v>
      </c>
      <c r="D33" s="82">
        <v>14.6</v>
      </c>
      <c r="E33" s="82">
        <v>23.3</v>
      </c>
      <c r="F33" s="82">
        <v>83.7</v>
      </c>
      <c r="G33" s="82">
        <v>51</v>
      </c>
      <c r="H33" s="82">
        <v>33.5</v>
      </c>
      <c r="I33" s="82">
        <v>23.5</v>
      </c>
      <c r="J33" s="82">
        <v>18.600000000000001</v>
      </c>
      <c r="K33" s="82">
        <v>1.3</v>
      </c>
      <c r="L33" s="82">
        <v>43.8</v>
      </c>
      <c r="M33" s="82">
        <v>35.299999999999997</v>
      </c>
      <c r="N33" s="82">
        <v>16</v>
      </c>
      <c r="O33" s="82">
        <v>0.4</v>
      </c>
      <c r="P33" s="82">
        <v>26.6</v>
      </c>
      <c r="Q33" s="82">
        <v>14.3</v>
      </c>
      <c r="R33" s="82">
        <v>39.1</v>
      </c>
      <c r="S33" s="82">
        <v>2.6</v>
      </c>
      <c r="T33" s="82">
        <v>16.7</v>
      </c>
      <c r="U33" s="82">
        <v>4.8</v>
      </c>
      <c r="V33" s="82">
        <v>0</v>
      </c>
      <c r="W33" s="82">
        <v>30.000000000000007</v>
      </c>
      <c r="X33" s="82">
        <v>10.3</v>
      </c>
      <c r="Y33" s="82">
        <v>15.7</v>
      </c>
      <c r="Z33" s="82">
        <v>2</v>
      </c>
      <c r="AA33" s="83">
        <f t="shared" si="5"/>
        <v>13.55</v>
      </c>
      <c r="AB33" s="84">
        <f t="shared" si="6"/>
        <v>4.2117293233086457</v>
      </c>
      <c r="AF33" s="82"/>
      <c r="AG33" s="82"/>
    </row>
    <row r="34" spans="1:33" x14ac:dyDescent="0.2">
      <c r="A34" s="81" t="s">
        <v>83</v>
      </c>
      <c r="B34" s="82">
        <v>33.200000000000003</v>
      </c>
      <c r="C34" s="82">
        <v>1.8</v>
      </c>
      <c r="D34" s="82">
        <v>21.8</v>
      </c>
      <c r="E34" s="82">
        <v>22.2</v>
      </c>
      <c r="F34" s="82">
        <v>41.7</v>
      </c>
      <c r="G34" s="82">
        <v>24.8</v>
      </c>
      <c r="H34" s="82">
        <v>45</v>
      </c>
      <c r="I34" s="82">
        <v>43.5</v>
      </c>
      <c r="J34" s="82">
        <v>74.5</v>
      </c>
      <c r="K34" s="82">
        <v>54.7</v>
      </c>
      <c r="L34" s="82">
        <v>54.9</v>
      </c>
      <c r="M34" s="82">
        <v>84.5</v>
      </c>
      <c r="N34" s="82">
        <v>35.299999999999997</v>
      </c>
      <c r="O34" s="82">
        <v>27.4</v>
      </c>
      <c r="P34" s="82">
        <v>71</v>
      </c>
      <c r="Q34" s="82">
        <v>75.2</v>
      </c>
      <c r="R34" s="82">
        <v>57.4</v>
      </c>
      <c r="S34" s="82">
        <v>22.8</v>
      </c>
      <c r="T34" s="82">
        <v>0.5</v>
      </c>
      <c r="U34" s="82">
        <v>42.4</v>
      </c>
      <c r="V34" s="82">
        <v>60.599999999999994</v>
      </c>
      <c r="W34" s="82">
        <v>81.5</v>
      </c>
      <c r="X34" s="82">
        <v>52.7</v>
      </c>
      <c r="Y34" s="82">
        <v>21.099999999999998</v>
      </c>
      <c r="Z34" s="82">
        <v>48.800000000000004</v>
      </c>
      <c r="AA34" s="83">
        <f t="shared" si="5"/>
        <v>46.3</v>
      </c>
      <c r="AB34" s="84">
        <f t="shared" si="6"/>
        <v>46.118120300751912</v>
      </c>
      <c r="AF34" s="82"/>
      <c r="AG34" s="82"/>
    </row>
    <row r="35" spans="1:33" x14ac:dyDescent="0.2">
      <c r="A35" s="81" t="s">
        <v>84</v>
      </c>
      <c r="B35" s="82">
        <v>57.5</v>
      </c>
      <c r="C35" s="82">
        <v>8.9</v>
      </c>
      <c r="D35" s="82">
        <v>40.299999999999997</v>
      </c>
      <c r="E35" s="82">
        <v>11.5</v>
      </c>
      <c r="F35" s="82">
        <v>50.7</v>
      </c>
      <c r="G35" s="82">
        <v>40.5</v>
      </c>
      <c r="H35" s="82">
        <v>26.8</v>
      </c>
      <c r="I35" s="82">
        <v>50</v>
      </c>
      <c r="J35" s="82">
        <v>25.7</v>
      </c>
      <c r="K35" s="82">
        <v>30</v>
      </c>
      <c r="L35" s="82">
        <v>47.9</v>
      </c>
      <c r="M35" s="82">
        <v>28.2</v>
      </c>
      <c r="N35" s="82">
        <v>56.8</v>
      </c>
      <c r="O35" s="82">
        <v>1.7</v>
      </c>
      <c r="P35" s="82">
        <v>28</v>
      </c>
      <c r="Q35" s="82">
        <v>18.5</v>
      </c>
      <c r="R35" s="82">
        <v>21.9</v>
      </c>
      <c r="S35" s="82">
        <v>32.299999999999997</v>
      </c>
      <c r="T35" s="82">
        <v>22.4</v>
      </c>
      <c r="U35" s="82">
        <v>69.7</v>
      </c>
      <c r="V35" s="82">
        <v>32.500000000000014</v>
      </c>
      <c r="W35" s="82">
        <v>25.099999999999998</v>
      </c>
      <c r="X35" s="82">
        <v>48.4</v>
      </c>
      <c r="Y35" s="82">
        <v>10.899999999999999</v>
      </c>
      <c r="Z35" s="82">
        <v>32.099999999999994</v>
      </c>
      <c r="AA35" s="83">
        <f t="shared" si="5"/>
        <v>31.379999999999995</v>
      </c>
      <c r="AB35" s="84">
        <f t="shared" si="6"/>
        <v>29.443684210526271</v>
      </c>
      <c r="AD35" t="s">
        <v>92</v>
      </c>
      <c r="AF35" s="82"/>
      <c r="AG35" s="82"/>
    </row>
    <row r="36" spans="1:33" x14ac:dyDescent="0.2">
      <c r="A36" s="81" t="s">
        <v>85</v>
      </c>
      <c r="B36" s="82">
        <v>1.8</v>
      </c>
      <c r="C36" s="82">
        <v>0.5</v>
      </c>
      <c r="D36" s="82">
        <v>0</v>
      </c>
      <c r="E36" s="82">
        <v>1.1000000000000001</v>
      </c>
      <c r="F36" s="82">
        <v>7.6</v>
      </c>
      <c r="G36" s="82">
        <v>15.4</v>
      </c>
      <c r="H36" s="82">
        <v>4.3</v>
      </c>
      <c r="I36" s="82">
        <v>11.7</v>
      </c>
      <c r="J36" s="82">
        <v>6.5</v>
      </c>
      <c r="K36" s="82">
        <v>0</v>
      </c>
      <c r="L36" s="82">
        <v>10.4</v>
      </c>
      <c r="M36" s="82">
        <v>23.3</v>
      </c>
      <c r="N36" s="82">
        <v>9</v>
      </c>
      <c r="O36" s="82">
        <v>20.9</v>
      </c>
      <c r="P36" s="82">
        <v>18.2</v>
      </c>
      <c r="Q36" s="82">
        <v>4.2</v>
      </c>
      <c r="R36" s="82">
        <v>6.6</v>
      </c>
      <c r="S36" s="82">
        <v>7.8</v>
      </c>
      <c r="T36" s="82">
        <v>6.2</v>
      </c>
      <c r="U36" s="82">
        <v>0</v>
      </c>
      <c r="V36" s="82">
        <v>8.8000000000000007</v>
      </c>
      <c r="W36" s="82">
        <v>4.2</v>
      </c>
      <c r="X36" s="82">
        <v>3.4000000000000004</v>
      </c>
      <c r="Y36" s="82">
        <v>2.4</v>
      </c>
      <c r="Z36" s="82">
        <v>24.1</v>
      </c>
      <c r="AA36" s="83">
        <f t="shared" si="5"/>
        <v>6.7700000000000005</v>
      </c>
      <c r="AB36" s="84">
        <f t="shared" si="6"/>
        <v>7.6337593984962382</v>
      </c>
      <c r="AF36" s="82"/>
      <c r="AG36" s="82"/>
    </row>
    <row r="37" spans="1:33" x14ac:dyDescent="0.2">
      <c r="A37" s="81" t="s">
        <v>86</v>
      </c>
      <c r="B37" s="82">
        <v>0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82">
        <v>0</v>
      </c>
      <c r="J37" s="82">
        <v>0</v>
      </c>
      <c r="K37" s="82">
        <v>0</v>
      </c>
      <c r="L37" s="82">
        <v>0</v>
      </c>
      <c r="M37" s="82">
        <v>0</v>
      </c>
      <c r="N37" s="82">
        <v>1.4</v>
      </c>
      <c r="O37" s="82">
        <v>0</v>
      </c>
      <c r="P37" s="82">
        <v>1</v>
      </c>
      <c r="Q37" s="82">
        <v>0</v>
      </c>
      <c r="R37" s="82">
        <v>0</v>
      </c>
      <c r="S37" s="82">
        <v>0</v>
      </c>
      <c r="T37" s="82">
        <v>0</v>
      </c>
      <c r="U37" s="82">
        <v>0</v>
      </c>
      <c r="V37" s="82">
        <v>5.3</v>
      </c>
      <c r="W37" s="82">
        <v>0</v>
      </c>
      <c r="X37" s="82">
        <v>0</v>
      </c>
      <c r="Y37" s="82">
        <v>0</v>
      </c>
      <c r="Z37" s="82">
        <v>0</v>
      </c>
      <c r="AA37" s="83">
        <f t="shared" si="5"/>
        <v>0.53</v>
      </c>
      <c r="AB37" s="84">
        <f t="shared" si="6"/>
        <v>0.81992481203008083</v>
      </c>
      <c r="AF37" s="82"/>
      <c r="AG37" s="82"/>
    </row>
    <row r="38" spans="1:33" x14ac:dyDescent="0.2">
      <c r="A38" s="81" t="s">
        <v>87</v>
      </c>
      <c r="B38" s="82">
        <v>0</v>
      </c>
      <c r="C38" s="82">
        <v>0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82">
        <v>0</v>
      </c>
      <c r="J38" s="82">
        <v>0</v>
      </c>
      <c r="K38" s="82">
        <v>0</v>
      </c>
      <c r="L38" s="82">
        <v>0</v>
      </c>
      <c r="M38" s="82">
        <v>0</v>
      </c>
      <c r="N38" s="82">
        <v>0</v>
      </c>
      <c r="O38" s="82">
        <v>0</v>
      </c>
      <c r="P38" s="82">
        <v>0</v>
      </c>
      <c r="Q38" s="82">
        <v>0</v>
      </c>
      <c r="R38" s="82">
        <v>0</v>
      </c>
      <c r="S38" s="82">
        <v>0</v>
      </c>
      <c r="T38" s="82">
        <v>0</v>
      </c>
      <c r="U38" s="82">
        <v>0</v>
      </c>
      <c r="V38" s="82">
        <v>0</v>
      </c>
      <c r="W38" s="82">
        <v>0</v>
      </c>
      <c r="X38" s="82">
        <v>0</v>
      </c>
      <c r="Y38" s="82">
        <v>0</v>
      </c>
      <c r="Z38" s="82">
        <v>0</v>
      </c>
      <c r="AA38" s="83">
        <f t="shared" si="5"/>
        <v>0</v>
      </c>
      <c r="AB38" s="84">
        <f t="shared" si="6"/>
        <v>0</v>
      </c>
      <c r="AF38" s="82"/>
      <c r="AG38" s="82"/>
    </row>
    <row r="39" spans="1:33" x14ac:dyDescent="0.2">
      <c r="A39" s="81" t="s">
        <v>88</v>
      </c>
      <c r="B39" s="82">
        <v>0</v>
      </c>
      <c r="C39" s="82">
        <v>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82">
        <v>0</v>
      </c>
      <c r="J39" s="82">
        <v>0</v>
      </c>
      <c r="K39" s="82">
        <v>0</v>
      </c>
      <c r="L39" s="82">
        <v>0</v>
      </c>
      <c r="M39" s="82">
        <v>0</v>
      </c>
      <c r="N39" s="82">
        <v>0</v>
      </c>
      <c r="O39" s="82">
        <v>0</v>
      </c>
      <c r="P39" s="82">
        <v>0</v>
      </c>
      <c r="Q39" s="82">
        <v>0</v>
      </c>
      <c r="R39" s="82">
        <v>0</v>
      </c>
      <c r="S39" s="82">
        <v>0</v>
      </c>
      <c r="T39" s="82">
        <v>0</v>
      </c>
      <c r="U39" s="82">
        <v>0</v>
      </c>
      <c r="V39" s="82">
        <v>0</v>
      </c>
      <c r="W39" s="82">
        <v>0</v>
      </c>
      <c r="X39" s="82">
        <v>0</v>
      </c>
      <c r="Y39" s="82">
        <v>0</v>
      </c>
      <c r="Z39" s="82">
        <v>0</v>
      </c>
      <c r="AA39" s="83">
        <f t="shared" si="5"/>
        <v>0</v>
      </c>
      <c r="AB39" s="84">
        <f t="shared" si="6"/>
        <v>0</v>
      </c>
      <c r="AF39" s="82"/>
      <c r="AG39" s="82"/>
    </row>
    <row r="40" spans="1:33" x14ac:dyDescent="0.2">
      <c r="A40" s="81"/>
      <c r="B40" s="81"/>
      <c r="C40" s="81"/>
      <c r="D40" s="81"/>
      <c r="E40" s="81"/>
      <c r="F40" s="81"/>
      <c r="G40" s="77"/>
      <c r="H40" s="77"/>
      <c r="I40" s="77"/>
      <c r="J40" s="77"/>
    </row>
    <row r="41" spans="1:33" x14ac:dyDescent="0.2">
      <c r="A41" s="81" t="s">
        <v>10</v>
      </c>
      <c r="B41" s="82">
        <f t="shared" ref="B41:U41" si="7">SUM(B28:B40)</f>
        <v>109.10000000000001</v>
      </c>
      <c r="C41" s="82">
        <f t="shared" si="7"/>
        <v>45.599999999999994</v>
      </c>
      <c r="D41" s="82">
        <f t="shared" si="7"/>
        <v>79.5</v>
      </c>
      <c r="E41" s="82">
        <f t="shared" si="7"/>
        <v>69.199999999999989</v>
      </c>
      <c r="F41" s="82">
        <f t="shared" si="7"/>
        <v>188.70000000000002</v>
      </c>
      <c r="G41" s="82">
        <f t="shared" si="7"/>
        <v>132</v>
      </c>
      <c r="H41" s="82">
        <f t="shared" si="7"/>
        <v>110.6</v>
      </c>
      <c r="I41" s="82">
        <f t="shared" si="7"/>
        <v>130.19999999999999</v>
      </c>
      <c r="J41" s="82">
        <f t="shared" si="7"/>
        <v>130.60000000000002</v>
      </c>
      <c r="K41" s="82">
        <f t="shared" si="7"/>
        <v>88.5</v>
      </c>
      <c r="L41" s="82">
        <f t="shared" si="7"/>
        <v>158.20000000000002</v>
      </c>
      <c r="M41" s="82">
        <f t="shared" si="7"/>
        <v>174.2</v>
      </c>
      <c r="N41" s="82">
        <f t="shared" si="7"/>
        <v>118.5</v>
      </c>
      <c r="O41" s="82">
        <f t="shared" si="7"/>
        <v>50.399999999999991</v>
      </c>
      <c r="P41" s="82">
        <f t="shared" si="7"/>
        <v>144.79999999999998</v>
      </c>
      <c r="Q41" s="82">
        <f t="shared" si="7"/>
        <v>127.3</v>
      </c>
      <c r="R41" s="82">
        <f t="shared" si="7"/>
        <v>133.1</v>
      </c>
      <c r="S41" s="82">
        <f t="shared" si="7"/>
        <v>65.5</v>
      </c>
      <c r="T41" s="82">
        <f t="shared" si="7"/>
        <v>45.8</v>
      </c>
      <c r="U41" s="82">
        <f t="shared" si="7"/>
        <v>131.9</v>
      </c>
      <c r="V41" s="82">
        <f>SUM(V28:V40)</f>
        <v>107.2</v>
      </c>
      <c r="W41" s="82">
        <f>SUM(W28:W40)</f>
        <v>145.69999999999999</v>
      </c>
      <c r="X41" s="82">
        <f>SUM(X28:X40)</f>
        <v>115.30000000000001</v>
      </c>
      <c r="Y41" s="82">
        <f>SUM(Y28:Y40)</f>
        <v>58.399999999999991</v>
      </c>
      <c r="Z41" s="82">
        <f>SUM(Z28:Z40)</f>
        <v>107</v>
      </c>
      <c r="AA41" s="87"/>
      <c r="AB41" s="87"/>
    </row>
    <row r="42" spans="1:33" x14ac:dyDescent="0.2">
      <c r="A42" s="81"/>
      <c r="B42" s="81"/>
      <c r="C42" s="81"/>
      <c r="D42" s="81"/>
      <c r="E42" s="81"/>
      <c r="F42" s="81"/>
      <c r="G42" s="77"/>
      <c r="H42" s="77"/>
      <c r="I42" s="77"/>
      <c r="J42" s="77"/>
    </row>
    <row r="43" spans="1:33" x14ac:dyDescent="0.2">
      <c r="A43" s="81"/>
      <c r="B43" s="81"/>
      <c r="C43" s="81"/>
      <c r="D43" s="81"/>
      <c r="E43" s="81"/>
      <c r="F43" s="81"/>
      <c r="G43" s="77"/>
      <c r="H43" s="77"/>
      <c r="I43" s="77"/>
      <c r="J43" s="77"/>
    </row>
    <row r="44" spans="1:33" x14ac:dyDescent="0.2">
      <c r="A44" s="76"/>
      <c r="B44" s="76"/>
      <c r="C44" s="76"/>
      <c r="D44" s="76"/>
      <c r="E44" s="76"/>
      <c r="F44" s="76"/>
      <c r="G44" s="77"/>
      <c r="H44" s="77"/>
    </row>
  </sheetData>
  <phoneticPr fontId="9" type="noConversion"/>
  <pageMargins left="0.5" right="0.5" top="0.75" bottom="0.75" header="0.5" footer="0.5"/>
  <pageSetup paperSize="5" scale="10" orientation="landscape" r:id="rId1"/>
  <headerFooter alignWithMargins="0">
    <oddFooter>&amp;L&amp;8&amp;D
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0"/>
  <sheetViews>
    <sheetView topLeftCell="A11" workbookViewId="0">
      <selection activeCell="H15" sqref="H15"/>
    </sheetView>
  </sheetViews>
  <sheetFormatPr defaultRowHeight="12.75" x14ac:dyDescent="0.2"/>
  <cols>
    <col min="1" max="1" width="10.140625" bestFit="1" customWidth="1"/>
    <col min="4" max="4" width="11.7109375" style="92" bestFit="1" customWidth="1"/>
    <col min="5" max="5" width="9.140625" style="92" hidden="1" customWidth="1"/>
    <col min="6" max="6" width="10" hidden="1" customWidth="1"/>
    <col min="7" max="7" width="11.7109375" bestFit="1" customWidth="1"/>
    <col min="8" max="8" width="12.7109375" bestFit="1" customWidth="1"/>
    <col min="10" max="10" width="10.140625" style="93" bestFit="1" customWidth="1"/>
    <col min="12" max="12" width="11.5703125" customWidth="1"/>
    <col min="13" max="13" width="11.7109375" bestFit="1" customWidth="1"/>
    <col min="14" max="14" width="10.140625" bestFit="1" customWidth="1"/>
  </cols>
  <sheetData>
    <row r="1" spans="1:19" x14ac:dyDescent="0.2">
      <c r="A1" t="s">
        <v>93</v>
      </c>
      <c r="B1" t="s">
        <v>94</v>
      </c>
      <c r="C1" t="s">
        <v>95</v>
      </c>
      <c r="D1" s="92" t="s">
        <v>96</v>
      </c>
      <c r="E1" s="92" t="s">
        <v>97</v>
      </c>
      <c r="F1" t="s">
        <v>98</v>
      </c>
    </row>
    <row r="3" spans="1:19" x14ac:dyDescent="0.2">
      <c r="A3" t="s">
        <v>99</v>
      </c>
      <c r="D3" s="92">
        <v>36358.559999999998</v>
      </c>
      <c r="I3" s="3">
        <v>37263</v>
      </c>
      <c r="J3" s="93">
        <v>37287</v>
      </c>
      <c r="K3">
        <v>31</v>
      </c>
      <c r="L3" t="s">
        <v>100</v>
      </c>
      <c r="M3" s="94">
        <f>D170</f>
        <v>1818495</v>
      </c>
      <c r="O3" s="94">
        <f t="shared" ref="O3:O12" si="0">M3/K3*R3+M4/K4*(S3-R3)</f>
        <v>1818495</v>
      </c>
      <c r="P3">
        <v>1</v>
      </c>
      <c r="R3">
        <v>31</v>
      </c>
      <c r="S3">
        <v>31</v>
      </c>
    </row>
    <row r="4" spans="1:19" x14ac:dyDescent="0.2">
      <c r="A4" s="93">
        <v>40663</v>
      </c>
      <c r="D4" s="92">
        <v>53716.32</v>
      </c>
      <c r="I4" s="3">
        <v>37294</v>
      </c>
      <c r="J4" s="93">
        <v>37315</v>
      </c>
      <c r="K4">
        <v>28</v>
      </c>
      <c r="L4" t="s">
        <v>100</v>
      </c>
      <c r="M4" s="94">
        <f>D169</f>
        <v>2145406.1</v>
      </c>
      <c r="O4" s="94">
        <f t="shared" si="0"/>
        <v>2145406.1</v>
      </c>
      <c r="P4">
        <v>1</v>
      </c>
      <c r="R4">
        <v>28</v>
      </c>
      <c r="S4">
        <v>28</v>
      </c>
    </row>
    <row r="5" spans="1:19" x14ac:dyDescent="0.2">
      <c r="A5" s="93">
        <v>40633</v>
      </c>
      <c r="D5" s="92">
        <v>73500</v>
      </c>
      <c r="I5" s="3">
        <v>37322</v>
      </c>
      <c r="J5" s="93">
        <v>37346</v>
      </c>
      <c r="K5">
        <v>31</v>
      </c>
      <c r="L5" t="s">
        <v>100</v>
      </c>
      <c r="M5" s="94">
        <f>D168</f>
        <v>2383084.1</v>
      </c>
      <c r="O5" s="94">
        <f t="shared" si="0"/>
        <v>2383084.1</v>
      </c>
      <c r="P5">
        <v>1</v>
      </c>
      <c r="R5">
        <v>31</v>
      </c>
      <c r="S5">
        <v>31</v>
      </c>
    </row>
    <row r="6" spans="1:19" x14ac:dyDescent="0.2">
      <c r="A6" s="93">
        <v>40602</v>
      </c>
      <c r="D6" s="92">
        <v>66528</v>
      </c>
      <c r="I6" s="3">
        <v>37353</v>
      </c>
      <c r="J6" s="93">
        <v>37376</v>
      </c>
      <c r="K6">
        <v>30</v>
      </c>
      <c r="L6" t="s">
        <v>100</v>
      </c>
      <c r="M6" s="94">
        <f>D167</f>
        <v>2178836</v>
      </c>
      <c r="O6" s="94">
        <f t="shared" si="0"/>
        <v>2178836</v>
      </c>
      <c r="P6">
        <v>1</v>
      </c>
      <c r="R6">
        <v>30</v>
      </c>
      <c r="S6">
        <v>30</v>
      </c>
    </row>
    <row r="7" spans="1:19" x14ac:dyDescent="0.2">
      <c r="A7" s="93">
        <v>40574</v>
      </c>
      <c r="D7" s="92">
        <v>75393.36</v>
      </c>
      <c r="I7" s="3">
        <v>37407</v>
      </c>
      <c r="J7" s="93">
        <v>37407</v>
      </c>
      <c r="K7">
        <v>31</v>
      </c>
      <c r="L7" t="s">
        <v>100</v>
      </c>
      <c r="M7" s="94">
        <f>D166</f>
        <v>2206935.1</v>
      </c>
      <c r="O7" s="94">
        <f t="shared" si="0"/>
        <v>2206935.1</v>
      </c>
      <c r="P7">
        <v>1</v>
      </c>
      <c r="R7">
        <v>31</v>
      </c>
      <c r="S7">
        <v>31</v>
      </c>
    </row>
    <row r="8" spans="1:19" x14ac:dyDescent="0.2">
      <c r="A8" s="93">
        <v>40543</v>
      </c>
      <c r="D8" s="92">
        <v>74815.44</v>
      </c>
      <c r="I8" s="3">
        <v>37408</v>
      </c>
      <c r="J8" s="93">
        <v>37437</v>
      </c>
      <c r="K8">
        <v>30</v>
      </c>
      <c r="L8" t="s">
        <v>100</v>
      </c>
      <c r="M8" s="94">
        <f>D165</f>
        <v>2126642.6</v>
      </c>
      <c r="O8" s="94">
        <f t="shared" si="0"/>
        <v>2126642.6</v>
      </c>
      <c r="P8">
        <v>1</v>
      </c>
      <c r="R8">
        <v>30</v>
      </c>
      <c r="S8">
        <v>30</v>
      </c>
    </row>
    <row r="9" spans="1:19" x14ac:dyDescent="0.2">
      <c r="A9" s="93">
        <v>40512</v>
      </c>
      <c r="D9" s="92">
        <v>57288</v>
      </c>
      <c r="I9" s="3">
        <v>37440</v>
      </c>
      <c r="J9" s="93">
        <v>37468</v>
      </c>
      <c r="K9">
        <v>31</v>
      </c>
      <c r="L9" t="s">
        <v>100</v>
      </c>
      <c r="M9" s="94">
        <f>D164</f>
        <v>2044065.7</v>
      </c>
      <c r="O9" s="94">
        <f t="shared" si="0"/>
        <v>2044065.7</v>
      </c>
      <c r="P9">
        <v>1</v>
      </c>
      <c r="R9">
        <v>31</v>
      </c>
      <c r="S9">
        <v>31</v>
      </c>
    </row>
    <row r="10" spans="1:19" x14ac:dyDescent="0.2">
      <c r="A10" s="93">
        <v>40482</v>
      </c>
      <c r="D10" s="92">
        <v>34923.839999999997</v>
      </c>
      <c r="I10" s="3">
        <v>37473</v>
      </c>
      <c r="J10" s="93">
        <v>37488</v>
      </c>
      <c r="K10">
        <v>20</v>
      </c>
      <c r="L10" t="s">
        <v>100</v>
      </c>
      <c r="M10" s="94">
        <f>D163</f>
        <v>1442278.1</v>
      </c>
      <c r="O10" s="94">
        <f t="shared" si="0"/>
        <v>2166594.3548387098</v>
      </c>
      <c r="P10">
        <v>1</v>
      </c>
      <c r="R10">
        <v>20</v>
      </c>
      <c r="S10">
        <v>31</v>
      </c>
    </row>
    <row r="11" spans="1:19" x14ac:dyDescent="0.2">
      <c r="A11" s="93">
        <v>40451</v>
      </c>
      <c r="D11" s="92">
        <v>30508.799999999999</v>
      </c>
      <c r="I11" s="3">
        <v>37506</v>
      </c>
      <c r="J11" s="93">
        <v>37519</v>
      </c>
      <c r="K11">
        <v>31</v>
      </c>
      <c r="L11" t="s">
        <v>100</v>
      </c>
      <c r="M11" s="94">
        <f>D162</f>
        <v>2041254.9</v>
      </c>
      <c r="O11" s="94">
        <f t="shared" si="0"/>
        <v>1891540.2523041475</v>
      </c>
      <c r="P11">
        <v>1</v>
      </c>
      <c r="R11">
        <v>20</v>
      </c>
      <c r="S11">
        <v>30</v>
      </c>
    </row>
    <row r="12" spans="1:19" x14ac:dyDescent="0.2">
      <c r="A12" s="93">
        <v>40421</v>
      </c>
      <c r="D12" s="92">
        <v>33398.400000000001</v>
      </c>
      <c r="I12" s="3">
        <v>37539</v>
      </c>
      <c r="J12" s="93">
        <v>37547</v>
      </c>
      <c r="K12">
        <v>28</v>
      </c>
      <c r="L12" t="s">
        <v>100</v>
      </c>
      <c r="M12" s="94">
        <f>D161</f>
        <v>1608884.5</v>
      </c>
      <c r="O12" s="94">
        <f t="shared" si="0"/>
        <v>1716405.010714286</v>
      </c>
      <c r="P12">
        <v>1</v>
      </c>
      <c r="R12">
        <v>18</v>
      </c>
      <c r="S12">
        <v>31</v>
      </c>
    </row>
    <row r="13" spans="1:19" x14ac:dyDescent="0.2">
      <c r="A13" s="93">
        <v>40390</v>
      </c>
      <c r="D13" s="92">
        <v>37931.040000000001</v>
      </c>
      <c r="I13" s="3">
        <v>37572</v>
      </c>
      <c r="J13" s="93">
        <v>37575</v>
      </c>
      <c r="K13">
        <v>28</v>
      </c>
      <c r="L13" t="s">
        <v>100</v>
      </c>
      <c r="M13" s="94">
        <f>D160</f>
        <v>1469186.1</v>
      </c>
      <c r="O13" s="94">
        <f t="shared" ref="O13:O25" si="1">M13/K13*R13+M14/K14*(S13-R13)</f>
        <v>1997866.6607142857</v>
      </c>
      <c r="P13">
        <v>1</v>
      </c>
      <c r="R13">
        <v>15</v>
      </c>
      <c r="S13">
        <v>30</v>
      </c>
    </row>
    <row r="14" spans="1:19" x14ac:dyDescent="0.2">
      <c r="A14" s="93">
        <v>40359</v>
      </c>
      <c r="D14" s="92">
        <v>39216.239999999998</v>
      </c>
      <c r="I14" s="34">
        <v>37605</v>
      </c>
      <c r="J14" s="93">
        <v>37603</v>
      </c>
      <c r="K14">
        <v>28</v>
      </c>
      <c r="L14" t="s">
        <v>100</v>
      </c>
      <c r="M14" s="94">
        <f>D159</f>
        <v>2260165</v>
      </c>
      <c r="O14" s="94">
        <f t="shared" si="1"/>
        <v>1847688.37012987</v>
      </c>
      <c r="P14">
        <v>1</v>
      </c>
      <c r="R14">
        <v>12</v>
      </c>
      <c r="S14">
        <v>31</v>
      </c>
    </row>
    <row r="15" spans="1:19" x14ac:dyDescent="0.2">
      <c r="A15" s="93">
        <v>40329</v>
      </c>
      <c r="D15" s="92">
        <v>43515.360000000001</v>
      </c>
      <c r="I15" s="3">
        <v>37622</v>
      </c>
      <c r="J15" s="93">
        <v>37636</v>
      </c>
      <c r="K15">
        <v>33</v>
      </c>
      <c r="L15" t="s">
        <v>100</v>
      </c>
      <c r="M15" s="94">
        <f>D158</f>
        <v>1526764.5</v>
      </c>
      <c r="O15" s="94">
        <f t="shared" si="1"/>
        <v>1956224.8236363637</v>
      </c>
      <c r="P15">
        <v>1</v>
      </c>
      <c r="R15">
        <v>15</v>
      </c>
      <c r="S15">
        <v>31</v>
      </c>
    </row>
    <row r="16" spans="1:19" x14ac:dyDescent="0.2">
      <c r="A16" s="93">
        <v>40298</v>
      </c>
      <c r="D16" s="92">
        <v>48471.360000000001</v>
      </c>
      <c r="I16" s="3">
        <v>37653</v>
      </c>
      <c r="J16" s="93">
        <v>37666</v>
      </c>
      <c r="K16">
        <v>30</v>
      </c>
      <c r="L16" t="s">
        <v>100</v>
      </c>
      <c r="M16" s="94">
        <f>D157</f>
        <v>2366701.7999999998</v>
      </c>
      <c r="O16" s="94">
        <f t="shared" si="1"/>
        <v>1932767.0999999999</v>
      </c>
      <c r="P16">
        <v>1</v>
      </c>
      <c r="R16">
        <v>14</v>
      </c>
      <c r="S16">
        <v>28</v>
      </c>
    </row>
    <row r="17" spans="1:19" x14ac:dyDescent="0.2">
      <c r="A17" s="93">
        <v>40268</v>
      </c>
      <c r="D17" s="92">
        <v>72268.56</v>
      </c>
      <c r="I17" s="3">
        <v>37681</v>
      </c>
      <c r="J17" s="93">
        <v>37694</v>
      </c>
      <c r="K17">
        <v>28</v>
      </c>
      <c r="L17" t="s">
        <v>100</v>
      </c>
      <c r="M17" s="94">
        <f>D156</f>
        <v>1656612.52</v>
      </c>
      <c r="O17" s="94">
        <f t="shared" si="1"/>
        <v>1721422.1381250001</v>
      </c>
      <c r="P17">
        <v>1</v>
      </c>
      <c r="R17">
        <v>14</v>
      </c>
      <c r="S17">
        <v>31</v>
      </c>
    </row>
    <row r="18" spans="1:19" x14ac:dyDescent="0.2">
      <c r="A18" s="93">
        <v>40237</v>
      </c>
      <c r="D18" s="92">
        <v>64515.360000000001</v>
      </c>
      <c r="I18" s="3">
        <v>37712</v>
      </c>
      <c r="J18" s="93">
        <v>37726</v>
      </c>
      <c r="K18">
        <v>32</v>
      </c>
      <c r="L18" t="s">
        <v>100</v>
      </c>
      <c r="M18" s="94">
        <f>D155</f>
        <v>1681159.3</v>
      </c>
      <c r="O18" s="94">
        <f t="shared" si="1"/>
        <v>1760272.0025201612</v>
      </c>
      <c r="P18">
        <v>1</v>
      </c>
      <c r="R18">
        <v>15</v>
      </c>
      <c r="S18">
        <v>30</v>
      </c>
    </row>
    <row r="19" spans="1:19" x14ac:dyDescent="0.2">
      <c r="A19" s="93">
        <v>40209</v>
      </c>
      <c r="D19" s="92">
        <v>72523.92</v>
      </c>
      <c r="I19" s="3">
        <v>37742</v>
      </c>
      <c r="J19" s="93">
        <v>37757</v>
      </c>
      <c r="K19">
        <v>31</v>
      </c>
      <c r="L19" t="s">
        <v>100</v>
      </c>
      <c r="M19" s="94">
        <f>D154</f>
        <v>2009272.4</v>
      </c>
      <c r="O19" s="94">
        <f t="shared" si="1"/>
        <v>1910815.8838709677</v>
      </c>
      <c r="P19">
        <v>1</v>
      </c>
      <c r="R19">
        <v>16</v>
      </c>
      <c r="S19">
        <v>31</v>
      </c>
    </row>
    <row r="20" spans="1:19" x14ac:dyDescent="0.2">
      <c r="A20" s="93">
        <v>40177</v>
      </c>
      <c r="D20" s="92">
        <v>68673.990000000005</v>
      </c>
      <c r="I20" s="3">
        <v>37773</v>
      </c>
      <c r="J20" s="93">
        <v>37788</v>
      </c>
      <c r="K20">
        <v>31</v>
      </c>
      <c r="L20" t="s">
        <v>100</v>
      </c>
      <c r="M20" s="94">
        <f>D153</f>
        <v>1805795.6</v>
      </c>
      <c r="O20" s="94">
        <f t="shared" si="1"/>
        <v>1618706.7821505377</v>
      </c>
      <c r="P20">
        <v>1</v>
      </c>
      <c r="R20">
        <v>16</v>
      </c>
      <c r="S20">
        <v>30</v>
      </c>
    </row>
    <row r="21" spans="1:19" x14ac:dyDescent="0.2">
      <c r="A21" s="93">
        <v>40147</v>
      </c>
      <c r="D21" s="92">
        <v>57750</v>
      </c>
      <c r="I21" s="3">
        <v>37803</v>
      </c>
      <c r="J21" s="93">
        <v>37818</v>
      </c>
      <c r="K21">
        <v>30</v>
      </c>
      <c r="L21" t="s">
        <v>100</v>
      </c>
      <c r="M21" s="94">
        <f>D152</f>
        <v>1471464.1</v>
      </c>
      <c r="O21" s="94">
        <f t="shared" si="1"/>
        <v>1648561.8219047617</v>
      </c>
      <c r="P21">
        <v>1</v>
      </c>
      <c r="R21">
        <v>13</v>
      </c>
      <c r="S21">
        <v>31</v>
      </c>
    </row>
    <row r="22" spans="1:19" x14ac:dyDescent="0.2">
      <c r="A22" s="93">
        <v>40117</v>
      </c>
      <c r="D22" s="92">
        <v>44881.2</v>
      </c>
      <c r="I22" s="3">
        <v>37834</v>
      </c>
      <c r="J22" s="93">
        <v>37846</v>
      </c>
      <c r="K22">
        <v>28</v>
      </c>
      <c r="L22" t="s">
        <v>100</v>
      </c>
      <c r="M22" s="94">
        <f>D151</f>
        <v>1572553.7</v>
      </c>
      <c r="O22" s="94">
        <f t="shared" si="1"/>
        <v>810198.12373949576</v>
      </c>
      <c r="P22">
        <v>0.5</v>
      </c>
      <c r="R22">
        <v>13</v>
      </c>
      <c r="S22">
        <v>31</v>
      </c>
    </row>
    <row r="23" spans="1:19" x14ac:dyDescent="0.2">
      <c r="A23" s="93">
        <v>40086</v>
      </c>
      <c r="D23" s="92">
        <v>46877.04</v>
      </c>
      <c r="I23" s="3">
        <v>37865</v>
      </c>
      <c r="J23" s="93">
        <v>37880</v>
      </c>
      <c r="K23">
        <v>34</v>
      </c>
      <c r="L23" t="s">
        <v>100</v>
      </c>
      <c r="M23" s="94">
        <f>D150</f>
        <v>151269.6</v>
      </c>
      <c r="O23" s="94">
        <f t="shared" si="1"/>
        <v>113405.30745098038</v>
      </c>
      <c r="P23">
        <v>0</v>
      </c>
      <c r="R23">
        <v>16</v>
      </c>
      <c r="S23">
        <v>30</v>
      </c>
    </row>
    <row r="24" spans="1:19" x14ac:dyDescent="0.2">
      <c r="A24" s="93">
        <v>40056</v>
      </c>
      <c r="D24" s="92">
        <v>46322.64</v>
      </c>
      <c r="I24" s="3">
        <v>37895</v>
      </c>
      <c r="J24" s="93">
        <v>37910</v>
      </c>
      <c r="K24" s="94">
        <v>30</v>
      </c>
      <c r="L24" s="94" t="s">
        <v>101</v>
      </c>
      <c r="M24" s="94">
        <f>D149+D148</f>
        <v>90470.6</v>
      </c>
      <c r="O24" s="94">
        <f t="shared" si="1"/>
        <v>110064.48666666668</v>
      </c>
      <c r="P24">
        <v>0</v>
      </c>
      <c r="R24">
        <v>16</v>
      </c>
      <c r="S24">
        <v>31</v>
      </c>
    </row>
    <row r="25" spans="1:19" x14ac:dyDescent="0.2">
      <c r="A25" s="93">
        <v>40025</v>
      </c>
      <c r="D25" s="92">
        <v>48856.08</v>
      </c>
      <c r="I25" s="3">
        <v>37926</v>
      </c>
      <c r="J25" s="93">
        <v>37939</v>
      </c>
      <c r="K25">
        <v>29</v>
      </c>
      <c r="L25" t="s">
        <v>100</v>
      </c>
      <c r="M25" s="94">
        <f>D147</f>
        <v>119506.1</v>
      </c>
      <c r="O25" s="94">
        <f t="shared" si="1"/>
        <v>143152.02857142856</v>
      </c>
      <c r="P25">
        <v>0</v>
      </c>
      <c r="R25">
        <v>14</v>
      </c>
      <c r="S25">
        <v>30</v>
      </c>
    </row>
    <row r="26" spans="1:19" x14ac:dyDescent="0.2">
      <c r="A26" s="93">
        <v>39993</v>
      </c>
      <c r="B26" t="s">
        <v>102</v>
      </c>
      <c r="D26" s="92">
        <v>41934.480000000003</v>
      </c>
      <c r="I26" s="3">
        <v>37956</v>
      </c>
      <c r="J26" s="93">
        <v>37967</v>
      </c>
      <c r="K26">
        <v>28</v>
      </c>
      <c r="L26" t="s">
        <v>100</v>
      </c>
      <c r="M26" s="94">
        <f>D146</f>
        <v>149554</v>
      </c>
      <c r="N26" s="94">
        <f>SUM(M15:M26)</f>
        <v>14601124.219999997</v>
      </c>
      <c r="O26" s="94">
        <f>M26/K26*R26+M27/K27*(S26-R26)</f>
        <v>176850.77714285714</v>
      </c>
      <c r="P26">
        <v>0</v>
      </c>
      <c r="R26">
        <v>12</v>
      </c>
      <c r="S26">
        <v>31</v>
      </c>
    </row>
    <row r="27" spans="1:19" x14ac:dyDescent="0.2">
      <c r="A27" s="93">
        <v>39964</v>
      </c>
      <c r="D27" s="92">
        <v>48394.080000000002</v>
      </c>
      <c r="I27" s="3">
        <v>37987</v>
      </c>
      <c r="J27" s="93">
        <v>38002</v>
      </c>
      <c r="K27">
        <v>35</v>
      </c>
      <c r="L27" t="s">
        <v>100</v>
      </c>
      <c r="M27" s="94">
        <f>D145</f>
        <v>207708.79999999999</v>
      </c>
      <c r="O27" s="94">
        <f>M27/K27*R27+M28/K28*(S27-R27)</f>
        <v>189323.54071428571</v>
      </c>
      <c r="P27">
        <v>0</v>
      </c>
      <c r="R27">
        <v>16</v>
      </c>
      <c r="S27">
        <v>31</v>
      </c>
    </row>
    <row r="28" spans="1:19" x14ac:dyDescent="0.2">
      <c r="A28" s="93">
        <v>39933</v>
      </c>
      <c r="D28" s="92">
        <v>67141.2</v>
      </c>
      <c r="I28" s="3">
        <v>38018</v>
      </c>
      <c r="J28" s="93">
        <v>38030</v>
      </c>
      <c r="K28">
        <v>28</v>
      </c>
      <c r="L28" t="s">
        <v>100</v>
      </c>
      <c r="M28" s="94">
        <f>D144</f>
        <v>176159.1</v>
      </c>
      <c r="O28" s="94">
        <f>M28/K28*R28+M29/K29*(S28-R28)</f>
        <v>169354.57292626728</v>
      </c>
      <c r="P28">
        <v>0</v>
      </c>
      <c r="R28">
        <v>13</v>
      </c>
      <c r="S28">
        <v>28</v>
      </c>
    </row>
    <row r="29" spans="1:19" x14ac:dyDescent="0.2">
      <c r="A29" s="93">
        <v>39903</v>
      </c>
      <c r="D29" s="92">
        <v>80443.44</v>
      </c>
      <c r="I29" s="3">
        <v>38047</v>
      </c>
      <c r="J29" s="93">
        <v>38061</v>
      </c>
      <c r="K29">
        <v>31</v>
      </c>
      <c r="L29" t="s">
        <v>100</v>
      </c>
      <c r="M29" s="94">
        <f>D143</f>
        <v>180970.6</v>
      </c>
      <c r="O29" s="94">
        <f>M29/K29*R29+M30/K30*(S29-R29)</f>
        <v>173418.91935483873</v>
      </c>
      <c r="P29">
        <v>0</v>
      </c>
      <c r="R29">
        <v>15</v>
      </c>
      <c r="S29">
        <v>31</v>
      </c>
    </row>
    <row r="30" spans="1:19" x14ac:dyDescent="0.2">
      <c r="A30" t="s">
        <v>103</v>
      </c>
      <c r="D30" s="92">
        <v>77406</v>
      </c>
      <c r="I30" s="3">
        <v>38078</v>
      </c>
      <c r="J30" s="93">
        <v>38093</v>
      </c>
      <c r="K30">
        <v>32</v>
      </c>
      <c r="L30" t="s">
        <v>100</v>
      </c>
      <c r="M30" s="94">
        <f>D142</f>
        <v>171705</v>
      </c>
      <c r="O30" s="94">
        <f>M30/K30*R30+M31/K31*(S30-R30)</f>
        <v>170956.42499999999</v>
      </c>
      <c r="P30">
        <v>0</v>
      </c>
      <c r="R30">
        <v>16</v>
      </c>
      <c r="S30">
        <v>30</v>
      </c>
    </row>
    <row r="31" spans="1:19" x14ac:dyDescent="0.2">
      <c r="A31" s="93">
        <v>39844</v>
      </c>
      <c r="D31" s="92">
        <v>93255.12</v>
      </c>
      <c r="I31" s="3">
        <v>38108</v>
      </c>
      <c r="J31" s="93">
        <v>38121</v>
      </c>
      <c r="K31">
        <v>28</v>
      </c>
      <c r="L31" t="s">
        <v>104</v>
      </c>
      <c r="M31" s="94">
        <f>D141+D140</f>
        <v>170207.85</v>
      </c>
      <c r="O31" s="94">
        <f>M31</f>
        <v>170207.85</v>
      </c>
      <c r="P31">
        <v>0</v>
      </c>
      <c r="R31">
        <v>14</v>
      </c>
      <c r="S31">
        <v>31</v>
      </c>
    </row>
    <row r="32" spans="1:19" x14ac:dyDescent="0.2">
      <c r="A32" s="95">
        <v>39813</v>
      </c>
      <c r="B32">
        <v>8</v>
      </c>
      <c r="C32" t="s">
        <v>105</v>
      </c>
      <c r="D32">
        <v>25821.26</v>
      </c>
      <c r="E32">
        <v>3227.6579999999999</v>
      </c>
      <c r="F32">
        <v>2617.16</v>
      </c>
      <c r="I32" s="3">
        <v>38139</v>
      </c>
      <c r="M32" s="96">
        <v>1469122.3582417599</v>
      </c>
      <c r="O32" s="96">
        <f>M32</f>
        <v>1469122.3582417599</v>
      </c>
      <c r="P32">
        <v>1</v>
      </c>
      <c r="S32">
        <v>30</v>
      </c>
    </row>
    <row r="33" spans="1:19" x14ac:dyDescent="0.2">
      <c r="A33" s="95">
        <v>39805</v>
      </c>
      <c r="B33">
        <v>22</v>
      </c>
      <c r="C33" t="s">
        <v>102</v>
      </c>
      <c r="D33" s="92">
        <v>85114.34</v>
      </c>
      <c r="E33" s="92">
        <v>3868.8339999999998</v>
      </c>
      <c r="F33">
        <v>7702.94</v>
      </c>
      <c r="I33" s="3">
        <v>38169</v>
      </c>
      <c r="M33" s="96">
        <v>1475521.78796703</v>
      </c>
      <c r="O33" s="96">
        <f t="shared" ref="O33:O41" si="2">M33</f>
        <v>1475521.78796703</v>
      </c>
      <c r="P33">
        <v>1</v>
      </c>
      <c r="S33">
        <v>31</v>
      </c>
    </row>
    <row r="34" spans="1:19" x14ac:dyDescent="0.2">
      <c r="A34" s="95">
        <v>39783</v>
      </c>
      <c r="B34">
        <v>30</v>
      </c>
      <c r="C34" t="s">
        <v>100</v>
      </c>
      <c r="D34" s="92">
        <v>86458.07</v>
      </c>
      <c r="E34" s="92">
        <v>2881.9360000000001</v>
      </c>
      <c r="F34">
        <v>7250.01</v>
      </c>
      <c r="I34" s="3">
        <v>38200</v>
      </c>
      <c r="M34" s="96">
        <v>1481921.21769231</v>
      </c>
      <c r="O34" s="96">
        <f t="shared" si="2"/>
        <v>1481921.21769231</v>
      </c>
      <c r="P34">
        <v>1</v>
      </c>
      <c r="S34">
        <v>31</v>
      </c>
    </row>
    <row r="35" spans="1:19" x14ac:dyDescent="0.2">
      <c r="A35" s="95">
        <v>39753</v>
      </c>
      <c r="B35">
        <v>31</v>
      </c>
      <c r="C35" t="s">
        <v>100</v>
      </c>
      <c r="D35" s="92">
        <v>82632.899999999994</v>
      </c>
      <c r="E35" s="92">
        <v>2665.5770000000002</v>
      </c>
      <c r="F35">
        <v>6651.6</v>
      </c>
      <c r="I35" s="3">
        <v>38231</v>
      </c>
      <c r="M35" s="96">
        <v>1488320.64741758</v>
      </c>
      <c r="O35" s="96">
        <f t="shared" si="2"/>
        <v>1488320.64741758</v>
      </c>
      <c r="P35">
        <v>1</v>
      </c>
      <c r="S35">
        <v>30</v>
      </c>
    </row>
    <row r="36" spans="1:19" x14ac:dyDescent="0.2">
      <c r="A36" s="95">
        <v>39722</v>
      </c>
      <c r="B36">
        <v>30</v>
      </c>
      <c r="C36" t="s">
        <v>100</v>
      </c>
      <c r="D36" s="92">
        <v>75786.39</v>
      </c>
      <c r="E36" s="92">
        <v>2526.2130000000002</v>
      </c>
      <c r="F36">
        <v>8594.5</v>
      </c>
      <c r="I36" s="3">
        <v>38261</v>
      </c>
      <c r="M36" s="96">
        <v>1494720.07714286</v>
      </c>
      <c r="O36" s="96">
        <f t="shared" si="2"/>
        <v>1494720.07714286</v>
      </c>
      <c r="P36">
        <v>1</v>
      </c>
      <c r="S36">
        <v>31</v>
      </c>
    </row>
    <row r="37" spans="1:19" x14ac:dyDescent="0.2">
      <c r="A37" s="95">
        <v>39692</v>
      </c>
      <c r="B37">
        <v>31</v>
      </c>
      <c r="C37" t="s">
        <v>100</v>
      </c>
      <c r="D37" s="92">
        <v>75248.479999999996</v>
      </c>
      <c r="E37" s="92">
        <v>2427.37</v>
      </c>
      <c r="F37">
        <v>7018.62</v>
      </c>
      <c r="I37" s="3">
        <v>38292</v>
      </c>
      <c r="M37" s="96">
        <v>1501119.5068681301</v>
      </c>
      <c r="O37" s="96">
        <f t="shared" si="2"/>
        <v>1501119.5068681301</v>
      </c>
      <c r="P37">
        <v>1</v>
      </c>
      <c r="S37">
        <v>30</v>
      </c>
    </row>
    <row r="38" spans="1:19" x14ac:dyDescent="0.2">
      <c r="A38" s="95">
        <v>39661</v>
      </c>
      <c r="B38">
        <v>31</v>
      </c>
      <c r="C38" t="s">
        <v>100</v>
      </c>
      <c r="D38" s="92">
        <v>79433.62</v>
      </c>
      <c r="E38" s="92">
        <v>2562.375</v>
      </c>
      <c r="F38">
        <v>8876.51</v>
      </c>
      <c r="I38" s="3">
        <v>38322</v>
      </c>
      <c r="M38" s="96">
        <v>1507518.9365934101</v>
      </c>
      <c r="O38" s="96">
        <f t="shared" si="2"/>
        <v>1507518.9365934101</v>
      </c>
      <c r="P38">
        <v>1</v>
      </c>
      <c r="S38">
        <v>31</v>
      </c>
    </row>
    <row r="39" spans="1:19" x14ac:dyDescent="0.2">
      <c r="A39" s="95">
        <v>39630</v>
      </c>
      <c r="B39">
        <v>30</v>
      </c>
      <c r="C39" t="s">
        <v>100</v>
      </c>
      <c r="D39" s="92">
        <v>84635.06</v>
      </c>
      <c r="E39" s="92">
        <v>2821.1689999999999</v>
      </c>
      <c r="F39">
        <v>10668.31</v>
      </c>
      <c r="I39" s="3">
        <v>38353</v>
      </c>
      <c r="M39" s="96">
        <v>1513918.3663186801</v>
      </c>
      <c r="O39" s="96">
        <f t="shared" si="2"/>
        <v>1513918.3663186801</v>
      </c>
      <c r="P39">
        <v>1</v>
      </c>
    </row>
    <row r="40" spans="1:19" x14ac:dyDescent="0.2">
      <c r="A40" s="95">
        <v>39600</v>
      </c>
      <c r="B40">
        <v>31</v>
      </c>
      <c r="C40" t="s">
        <v>100</v>
      </c>
      <c r="D40" s="92">
        <v>99169.48</v>
      </c>
      <c r="E40" s="92">
        <v>3199.0149999999999</v>
      </c>
      <c r="F40">
        <v>8474.4699999999993</v>
      </c>
      <c r="I40" s="3">
        <v>38384</v>
      </c>
      <c r="M40" s="96">
        <v>1520317.7960439599</v>
      </c>
      <c r="O40" s="96">
        <f t="shared" si="2"/>
        <v>1520317.7960439599</v>
      </c>
      <c r="P40">
        <v>1</v>
      </c>
    </row>
    <row r="41" spans="1:19" x14ac:dyDescent="0.2">
      <c r="A41" s="95">
        <v>39569</v>
      </c>
      <c r="B41">
        <v>30</v>
      </c>
      <c r="C41" t="s">
        <v>100</v>
      </c>
      <c r="D41" s="92">
        <v>113947.86</v>
      </c>
      <c r="E41" s="92">
        <v>3798.2620000000002</v>
      </c>
      <c r="F41">
        <v>10802.77</v>
      </c>
      <c r="I41" s="3">
        <v>38412</v>
      </c>
      <c r="M41" s="96">
        <v>1526717.2257692299</v>
      </c>
      <c r="O41" s="96">
        <f t="shared" si="2"/>
        <v>1526717.2257692299</v>
      </c>
      <c r="P41">
        <v>1</v>
      </c>
    </row>
    <row r="42" spans="1:19" x14ac:dyDescent="0.2">
      <c r="A42" s="95">
        <v>39539</v>
      </c>
      <c r="B42">
        <v>31</v>
      </c>
      <c r="C42" t="s">
        <v>100</v>
      </c>
      <c r="D42" s="92">
        <v>123421.21</v>
      </c>
      <c r="E42" s="92">
        <v>3981.3290000000002</v>
      </c>
      <c r="F42">
        <v>12846.46</v>
      </c>
      <c r="I42" s="3">
        <v>38443</v>
      </c>
      <c r="J42" s="93">
        <v>38472</v>
      </c>
      <c r="K42">
        <v>30</v>
      </c>
      <c r="L42" t="s">
        <v>100</v>
      </c>
      <c r="M42" s="94">
        <f>785030.7/15*30</f>
        <v>1570061.4</v>
      </c>
      <c r="O42" s="94">
        <f>M42</f>
        <v>1570061.4</v>
      </c>
      <c r="P42">
        <v>1</v>
      </c>
    </row>
    <row r="43" spans="1:19" x14ac:dyDescent="0.2">
      <c r="A43" s="95">
        <v>39508</v>
      </c>
      <c r="B43">
        <v>29</v>
      </c>
      <c r="C43" t="s">
        <v>100</v>
      </c>
      <c r="D43" s="92">
        <v>126862.64</v>
      </c>
      <c r="E43" s="92">
        <v>4374.5739999999996</v>
      </c>
      <c r="F43">
        <v>13092.6</v>
      </c>
      <c r="I43" s="3">
        <v>38473</v>
      </c>
      <c r="J43" s="94" t="str">
        <f>A138</f>
        <v>`May 2005</v>
      </c>
      <c r="M43" s="94">
        <f>D138</f>
        <v>1524627.6800000002</v>
      </c>
      <c r="O43" s="94">
        <f t="shared" ref="O43:O68" si="3">M43</f>
        <v>1524627.6800000002</v>
      </c>
      <c r="P43">
        <v>1</v>
      </c>
    </row>
    <row r="44" spans="1:19" x14ac:dyDescent="0.2">
      <c r="A44" s="95">
        <v>39479</v>
      </c>
      <c r="B44">
        <v>31</v>
      </c>
      <c r="C44" t="s">
        <v>100</v>
      </c>
      <c r="D44" s="92">
        <v>138361.32999999999</v>
      </c>
      <c r="E44" s="92">
        <v>4463.2690000000002</v>
      </c>
      <c r="F44">
        <v>11988.55</v>
      </c>
      <c r="I44" s="3">
        <v>38504</v>
      </c>
      <c r="J44" s="94" t="str">
        <f>A135</f>
        <v>`June 2005</v>
      </c>
      <c r="M44" s="94">
        <f>D135</f>
        <v>1459494.16</v>
      </c>
      <c r="O44" s="94">
        <f t="shared" si="3"/>
        <v>1459494.16</v>
      </c>
      <c r="P44">
        <v>1</v>
      </c>
    </row>
    <row r="45" spans="1:19" x14ac:dyDescent="0.2">
      <c r="A45" s="95">
        <v>39448</v>
      </c>
      <c r="B45">
        <v>32</v>
      </c>
      <c r="C45" t="s">
        <v>100</v>
      </c>
      <c r="D45" s="92">
        <v>147749.73000000001</v>
      </c>
      <c r="E45" s="92">
        <v>4617.1790000000001</v>
      </c>
      <c r="F45">
        <v>14050.42</v>
      </c>
      <c r="I45" s="3">
        <v>38534</v>
      </c>
      <c r="J45" s="94" t="str">
        <f>A132</f>
        <v>`July 2005</v>
      </c>
      <c r="M45" s="94">
        <f>D132</f>
        <v>1623144.1400000001</v>
      </c>
      <c r="O45" s="94">
        <f t="shared" si="3"/>
        <v>1623144.1400000001</v>
      </c>
      <c r="P45">
        <v>1</v>
      </c>
    </row>
    <row r="46" spans="1:19" x14ac:dyDescent="0.2">
      <c r="A46" s="93">
        <v>39416</v>
      </c>
      <c r="B46">
        <v>18</v>
      </c>
      <c r="C46" t="s">
        <v>105</v>
      </c>
      <c r="D46" s="92">
        <v>82122.25</v>
      </c>
      <c r="E46" s="92">
        <v>4562.3469999999998</v>
      </c>
      <c r="F46">
        <v>9071.61</v>
      </c>
      <c r="I46" s="3">
        <v>38565</v>
      </c>
      <c r="J46" s="94" t="str">
        <f>A129</f>
        <v>`August 2005</v>
      </c>
      <c r="M46" s="94">
        <f>D129</f>
        <v>1446408.96</v>
      </c>
      <c r="O46" s="94">
        <f t="shared" si="3"/>
        <v>1446408.96</v>
      </c>
      <c r="P46">
        <v>1</v>
      </c>
    </row>
    <row r="47" spans="1:19" x14ac:dyDescent="0.2">
      <c r="A47" s="93">
        <v>39805</v>
      </c>
      <c r="B47">
        <v>22</v>
      </c>
      <c r="C47" t="s">
        <v>102</v>
      </c>
      <c r="D47" s="92">
        <v>85114.34</v>
      </c>
      <c r="E47" s="92">
        <v>3868.8339999999998</v>
      </c>
      <c r="F47">
        <v>7702.94</v>
      </c>
      <c r="I47" s="3">
        <v>38596</v>
      </c>
      <c r="J47" s="94" t="str">
        <f>A126</f>
        <v>`Sept 2005</v>
      </c>
      <c r="M47" s="94">
        <f>D126</f>
        <v>1572739.95</v>
      </c>
      <c r="O47" s="94">
        <f t="shared" si="3"/>
        <v>1572739.95</v>
      </c>
      <c r="P47">
        <v>1</v>
      </c>
    </row>
    <row r="48" spans="1:19" x14ac:dyDescent="0.2">
      <c r="A48" s="93">
        <v>39783</v>
      </c>
      <c r="B48">
        <v>30</v>
      </c>
      <c r="C48" t="s">
        <v>100</v>
      </c>
      <c r="D48" s="92">
        <v>86458.07</v>
      </c>
      <c r="E48" s="92">
        <v>2881.9360000000001</v>
      </c>
      <c r="F48">
        <v>7250.01</v>
      </c>
      <c r="I48" s="3">
        <v>38626</v>
      </c>
      <c r="J48" s="94" t="str">
        <f>A123</f>
        <v>`Oct 2005</v>
      </c>
      <c r="M48" s="94">
        <f>D123</f>
        <v>1724687.01</v>
      </c>
      <c r="O48" s="94">
        <f t="shared" si="3"/>
        <v>1724687.01</v>
      </c>
      <c r="P48">
        <v>1</v>
      </c>
    </row>
    <row r="49" spans="1:16" x14ac:dyDescent="0.2">
      <c r="A49" s="93">
        <v>39753</v>
      </c>
      <c r="B49">
        <v>31</v>
      </c>
      <c r="C49" t="s">
        <v>100</v>
      </c>
      <c r="D49" s="92">
        <v>82632.899999999994</v>
      </c>
      <c r="E49" s="92">
        <v>2665.5770000000002</v>
      </c>
      <c r="F49">
        <v>6651.6</v>
      </c>
      <c r="I49" s="3">
        <v>38657</v>
      </c>
      <c r="J49" s="94" t="str">
        <f>A120</f>
        <v>`Nov 2005</v>
      </c>
      <c r="M49" s="94">
        <f>D120</f>
        <v>1723727.69</v>
      </c>
      <c r="O49" s="94">
        <f t="shared" si="3"/>
        <v>1723727.69</v>
      </c>
      <c r="P49">
        <v>1</v>
      </c>
    </row>
    <row r="50" spans="1:16" x14ac:dyDescent="0.2">
      <c r="A50" s="93">
        <v>39722</v>
      </c>
      <c r="B50">
        <v>30</v>
      </c>
      <c r="C50" t="s">
        <v>100</v>
      </c>
      <c r="D50" s="92">
        <v>75786.39</v>
      </c>
      <c r="E50" s="92">
        <v>2526.2130000000002</v>
      </c>
      <c r="F50">
        <v>8594.5</v>
      </c>
      <c r="I50" s="3">
        <v>38687</v>
      </c>
      <c r="J50" s="94" t="str">
        <f>A117</f>
        <v>`Dec 2005</v>
      </c>
      <c r="M50" s="94">
        <f>D117</f>
        <v>1419530.5699999998</v>
      </c>
      <c r="N50" s="94"/>
      <c r="O50" s="94">
        <f t="shared" si="3"/>
        <v>1419530.5699999998</v>
      </c>
      <c r="P50">
        <v>1</v>
      </c>
    </row>
    <row r="51" spans="1:16" x14ac:dyDescent="0.2">
      <c r="A51" s="97">
        <v>39692</v>
      </c>
      <c r="B51">
        <v>31</v>
      </c>
      <c r="C51" t="s">
        <v>100</v>
      </c>
      <c r="D51" s="98">
        <v>75248.479999999996</v>
      </c>
      <c r="E51" s="92">
        <v>2427.37</v>
      </c>
      <c r="F51">
        <v>7018.62</v>
      </c>
      <c r="I51" s="3">
        <v>38718</v>
      </c>
      <c r="J51" s="94" t="str">
        <f>A114</f>
        <v>`Jan 2006</v>
      </c>
      <c r="M51" s="94">
        <f>D114</f>
        <v>1484869.34</v>
      </c>
      <c r="O51" s="94">
        <f t="shared" si="3"/>
        <v>1484869.34</v>
      </c>
      <c r="P51">
        <v>1</v>
      </c>
    </row>
    <row r="52" spans="1:16" x14ac:dyDescent="0.2">
      <c r="A52" s="95">
        <v>39661</v>
      </c>
      <c r="B52">
        <v>31</v>
      </c>
      <c r="C52" t="s">
        <v>100</v>
      </c>
      <c r="D52" s="92">
        <v>79433.62</v>
      </c>
      <c r="E52" s="92">
        <v>2562.375</v>
      </c>
      <c r="F52">
        <v>8876.51</v>
      </c>
      <c r="I52" s="3">
        <v>38749</v>
      </c>
      <c r="J52" s="94" t="str">
        <f>A111</f>
        <v>`Feb 2006</v>
      </c>
      <c r="M52" s="94">
        <f>D111</f>
        <v>1563068.4100000001</v>
      </c>
      <c r="O52" s="94">
        <f t="shared" si="3"/>
        <v>1563068.4100000001</v>
      </c>
      <c r="P52">
        <v>1</v>
      </c>
    </row>
    <row r="53" spans="1:16" x14ac:dyDescent="0.2">
      <c r="A53" s="95">
        <v>39630</v>
      </c>
      <c r="B53">
        <v>30</v>
      </c>
      <c r="C53" t="s">
        <v>100</v>
      </c>
      <c r="D53" s="92">
        <v>84635.06</v>
      </c>
      <c r="E53" s="92">
        <v>2821.1689999999999</v>
      </c>
      <c r="F53">
        <v>10668.31</v>
      </c>
      <c r="I53" s="3">
        <v>38777</v>
      </c>
      <c r="J53" s="94" t="str">
        <f>A108</f>
        <v>`Mar 2006</v>
      </c>
      <c r="M53" s="94">
        <f>D108</f>
        <v>1792376.93</v>
      </c>
      <c r="O53" s="94">
        <f t="shared" si="3"/>
        <v>1792376.93</v>
      </c>
      <c r="P53">
        <v>1</v>
      </c>
    </row>
    <row r="54" spans="1:16" x14ac:dyDescent="0.2">
      <c r="A54" s="95">
        <v>39600</v>
      </c>
      <c r="B54">
        <v>31</v>
      </c>
      <c r="C54" t="s">
        <v>100</v>
      </c>
      <c r="D54" s="98">
        <v>99169.48</v>
      </c>
      <c r="E54" s="92">
        <v>3199.0149999999999</v>
      </c>
      <c r="F54">
        <v>8474.4699999999993</v>
      </c>
      <c r="I54" s="3">
        <v>38808</v>
      </c>
      <c r="J54" s="94" t="str">
        <f>A105</f>
        <v>`April 2006</v>
      </c>
      <c r="M54" s="94">
        <f>D105</f>
        <v>1524935.8</v>
      </c>
      <c r="O54" s="94">
        <f t="shared" si="3"/>
        <v>1524935.8</v>
      </c>
      <c r="P54">
        <v>1</v>
      </c>
    </row>
    <row r="55" spans="1:16" x14ac:dyDescent="0.2">
      <c r="A55" s="93">
        <v>39569</v>
      </c>
      <c r="B55">
        <v>30</v>
      </c>
      <c r="C55" t="s">
        <v>100</v>
      </c>
      <c r="D55" s="92">
        <v>113947.86</v>
      </c>
      <c r="E55" s="92">
        <v>3798.2620000000002</v>
      </c>
      <c r="F55">
        <v>10802.77</v>
      </c>
      <c r="I55" s="3">
        <v>38838</v>
      </c>
      <c r="J55" s="94" t="str">
        <f>A102</f>
        <v>`May 2006</v>
      </c>
      <c r="M55" s="94">
        <f>D102</f>
        <v>1907431.92</v>
      </c>
      <c r="O55" s="94">
        <f t="shared" si="3"/>
        <v>1907431.92</v>
      </c>
      <c r="P55">
        <v>1</v>
      </c>
    </row>
    <row r="56" spans="1:16" x14ac:dyDescent="0.2">
      <c r="A56" s="93">
        <v>39539</v>
      </c>
      <c r="B56">
        <v>31</v>
      </c>
      <c r="C56" t="s">
        <v>100</v>
      </c>
      <c r="D56" s="99">
        <v>123421.21</v>
      </c>
      <c r="E56" s="92">
        <v>3981.3290000000002</v>
      </c>
      <c r="F56">
        <v>12846.46</v>
      </c>
      <c r="I56" s="3">
        <v>38869</v>
      </c>
      <c r="J56" s="94" t="str">
        <f>A99</f>
        <v>`June 2006</v>
      </c>
      <c r="M56" s="94">
        <f>D99</f>
        <v>1829671</v>
      </c>
      <c r="O56" s="94">
        <f t="shared" si="3"/>
        <v>1829671</v>
      </c>
      <c r="P56">
        <v>1</v>
      </c>
    </row>
    <row r="57" spans="1:16" x14ac:dyDescent="0.2">
      <c r="A57" s="93">
        <v>39508</v>
      </c>
      <c r="B57">
        <v>29</v>
      </c>
      <c r="C57" t="s">
        <v>100</v>
      </c>
      <c r="D57" s="98">
        <v>126862.64</v>
      </c>
      <c r="E57" s="92">
        <v>4374.5739999999996</v>
      </c>
      <c r="F57">
        <v>13092.6</v>
      </c>
      <c r="I57" s="3">
        <v>38899</v>
      </c>
      <c r="J57" s="94" t="str">
        <f>A96</f>
        <v>`July 2006</v>
      </c>
      <c r="M57" s="94">
        <f>D96</f>
        <v>1900314.1400000001</v>
      </c>
      <c r="O57" s="94">
        <f t="shared" si="3"/>
        <v>1900314.1400000001</v>
      </c>
      <c r="P57">
        <v>1</v>
      </c>
    </row>
    <row r="58" spans="1:16" x14ac:dyDescent="0.2">
      <c r="A58" s="93">
        <v>39479</v>
      </c>
      <c r="B58">
        <v>31</v>
      </c>
      <c r="C58" t="s">
        <v>100</v>
      </c>
      <c r="D58" s="92">
        <v>138361.32999999999</v>
      </c>
      <c r="E58" s="92">
        <v>4463.2690000000002</v>
      </c>
      <c r="F58">
        <v>11988.55</v>
      </c>
      <c r="I58" s="3">
        <v>38930</v>
      </c>
      <c r="J58" s="94" t="str">
        <f>A93</f>
        <v>`Aug 2006</v>
      </c>
      <c r="M58" s="94">
        <f>D93</f>
        <v>1894541.63</v>
      </c>
      <c r="O58" s="94">
        <f t="shared" si="3"/>
        <v>1894541.63</v>
      </c>
      <c r="P58">
        <v>1</v>
      </c>
    </row>
    <row r="59" spans="1:16" x14ac:dyDescent="0.2">
      <c r="A59" s="93">
        <v>39448</v>
      </c>
      <c r="B59">
        <v>32</v>
      </c>
      <c r="C59" t="s">
        <v>100</v>
      </c>
      <c r="D59" s="92">
        <v>147749.73000000001</v>
      </c>
      <c r="E59" s="92">
        <v>4617.1790000000001</v>
      </c>
      <c r="F59">
        <v>14050.42</v>
      </c>
      <c r="I59" s="3">
        <v>38961</v>
      </c>
      <c r="J59" s="94" t="str">
        <f>A90</f>
        <v>`Sept 2006</v>
      </c>
      <c r="M59" s="94">
        <f>D90</f>
        <v>1867203.71</v>
      </c>
      <c r="O59" s="94">
        <f t="shared" si="3"/>
        <v>1867203.71</v>
      </c>
      <c r="P59">
        <v>1</v>
      </c>
    </row>
    <row r="60" spans="1:16" x14ac:dyDescent="0.2">
      <c r="A60" s="93">
        <v>39416</v>
      </c>
      <c r="B60">
        <v>18</v>
      </c>
      <c r="C60" t="s">
        <v>105</v>
      </c>
      <c r="D60" s="98">
        <v>82122.25</v>
      </c>
      <c r="E60" s="92">
        <v>4562.3469999999998</v>
      </c>
      <c r="F60">
        <v>9071.61</v>
      </c>
      <c r="I60" s="3">
        <v>38991</v>
      </c>
      <c r="J60" s="94" t="str">
        <f>A87</f>
        <v>`Oct 2006</v>
      </c>
      <c r="M60" s="94">
        <f>D87</f>
        <v>1836468.5</v>
      </c>
      <c r="O60" s="94">
        <f t="shared" si="3"/>
        <v>1836468.5</v>
      </c>
      <c r="P60">
        <v>1</v>
      </c>
    </row>
    <row r="61" spans="1:16" x14ac:dyDescent="0.2">
      <c r="A61" s="93">
        <v>39263</v>
      </c>
      <c r="B61">
        <v>15</v>
      </c>
      <c r="C61" t="s">
        <v>100</v>
      </c>
      <c r="D61" s="92">
        <v>797937.57</v>
      </c>
      <c r="E61" s="92">
        <v>53195.838000000003</v>
      </c>
      <c r="F61">
        <v>68340.2</v>
      </c>
      <c r="I61" s="3">
        <v>39022</v>
      </c>
      <c r="J61" s="94" t="str">
        <f>A84</f>
        <v>`Nov 2006</v>
      </c>
      <c r="M61" s="94">
        <f>D84</f>
        <v>1904611.54</v>
      </c>
      <c r="O61" s="94">
        <f t="shared" si="3"/>
        <v>1904611.54</v>
      </c>
      <c r="P61">
        <v>1</v>
      </c>
    </row>
    <row r="62" spans="1:16" x14ac:dyDescent="0.2">
      <c r="A62" s="93">
        <v>39248</v>
      </c>
      <c r="B62">
        <v>15</v>
      </c>
      <c r="C62" t="s">
        <v>100</v>
      </c>
      <c r="D62" s="92">
        <v>749618.55</v>
      </c>
      <c r="E62" s="92">
        <v>49974.57</v>
      </c>
      <c r="F62">
        <v>52269.34</v>
      </c>
      <c r="I62" s="3">
        <v>39052</v>
      </c>
      <c r="J62" s="94" t="str">
        <f>A81</f>
        <v>`Dec 2006</v>
      </c>
      <c r="M62" s="94">
        <f>D81</f>
        <v>1838424.76</v>
      </c>
      <c r="O62" s="94">
        <f t="shared" si="3"/>
        <v>1838424.76</v>
      </c>
      <c r="P62">
        <v>1</v>
      </c>
    </row>
    <row r="63" spans="1:16" x14ac:dyDescent="0.2">
      <c r="A63" s="93" t="s">
        <v>126</v>
      </c>
      <c r="D63" s="98">
        <f>SUM(D61:D62)</f>
        <v>1547556.12</v>
      </c>
      <c r="G63" s="92">
        <f>D63</f>
        <v>1547556.12</v>
      </c>
      <c r="I63" s="3">
        <v>39083</v>
      </c>
      <c r="J63" s="94" t="str">
        <f>A78</f>
        <v>`Jan 2007</v>
      </c>
      <c r="M63" s="94">
        <f>D78</f>
        <v>1926012.86</v>
      </c>
      <c r="O63" s="94">
        <f t="shared" si="3"/>
        <v>1926012.86</v>
      </c>
      <c r="P63">
        <v>1</v>
      </c>
    </row>
    <row r="64" spans="1:16" x14ac:dyDescent="0.2">
      <c r="A64" s="93">
        <v>39233</v>
      </c>
      <c r="B64">
        <v>16</v>
      </c>
      <c r="C64" t="s">
        <v>100</v>
      </c>
      <c r="D64" s="92">
        <v>895281.12</v>
      </c>
      <c r="E64" s="92">
        <v>55955.07</v>
      </c>
      <c r="F64">
        <v>66057.740000000005</v>
      </c>
      <c r="I64" s="3">
        <v>39114</v>
      </c>
      <c r="J64" s="94" t="str">
        <f>A75</f>
        <v>`Feb 2007</v>
      </c>
      <c r="M64" s="94">
        <f>D75</f>
        <v>1734343.24</v>
      </c>
      <c r="O64" s="94">
        <f t="shared" si="3"/>
        <v>1734343.24</v>
      </c>
      <c r="P64">
        <v>1</v>
      </c>
    </row>
    <row r="65" spans="1:16" x14ac:dyDescent="0.2">
      <c r="A65" s="93">
        <v>39217</v>
      </c>
      <c r="B65">
        <v>15</v>
      </c>
      <c r="C65" t="s">
        <v>100</v>
      </c>
      <c r="D65" s="92">
        <v>881811.25</v>
      </c>
      <c r="E65" s="92">
        <v>58787.417000000001</v>
      </c>
      <c r="F65">
        <v>47802.080000000002</v>
      </c>
      <c r="I65" s="3">
        <v>39142</v>
      </c>
      <c r="J65" s="94" t="str">
        <f>A72</f>
        <v>`Mar 2007</v>
      </c>
      <c r="M65" s="94">
        <f>D72</f>
        <v>1872721.41</v>
      </c>
      <c r="O65" s="94">
        <f t="shared" si="3"/>
        <v>1872721.41</v>
      </c>
      <c r="P65">
        <v>1</v>
      </c>
    </row>
    <row r="66" spans="1:16" x14ac:dyDescent="0.2">
      <c r="A66" s="93" t="s">
        <v>127</v>
      </c>
      <c r="D66" s="98">
        <f>SUM(D64:D65)</f>
        <v>1777092.37</v>
      </c>
      <c r="G66" s="92">
        <f>D66</f>
        <v>1777092.37</v>
      </c>
      <c r="I66" s="3">
        <v>39173</v>
      </c>
      <c r="J66" s="3">
        <f>A69</f>
        <v>39173</v>
      </c>
      <c r="M66" s="94">
        <f>D69</f>
        <v>1824823.05</v>
      </c>
      <c r="O66" s="94">
        <f t="shared" si="3"/>
        <v>1824823.05</v>
      </c>
      <c r="P66">
        <v>1</v>
      </c>
    </row>
    <row r="67" spans="1:16" x14ac:dyDescent="0.2">
      <c r="A67" s="93">
        <v>39202</v>
      </c>
      <c r="B67">
        <v>15</v>
      </c>
      <c r="C67" t="s">
        <v>100</v>
      </c>
      <c r="D67" s="92">
        <v>885421.64</v>
      </c>
      <c r="E67" s="92">
        <v>59028.108999999997</v>
      </c>
      <c r="F67">
        <v>51164.34</v>
      </c>
      <c r="I67" s="3">
        <v>39203</v>
      </c>
      <c r="J67" s="94" t="str">
        <f>A66</f>
        <v>`May 2007</v>
      </c>
      <c r="M67" s="94">
        <f>D66</f>
        <v>1777092.37</v>
      </c>
      <c r="O67" s="94">
        <f t="shared" si="3"/>
        <v>1777092.37</v>
      </c>
      <c r="P67">
        <v>1</v>
      </c>
    </row>
    <row r="68" spans="1:16" x14ac:dyDescent="0.2">
      <c r="A68" s="93">
        <v>39187</v>
      </c>
      <c r="B68">
        <v>15</v>
      </c>
      <c r="C68" t="s">
        <v>100</v>
      </c>
      <c r="D68" s="92">
        <v>939401.41</v>
      </c>
      <c r="E68" s="92">
        <v>62626.760999999999</v>
      </c>
      <c r="F68">
        <v>73065.039999999994</v>
      </c>
      <c r="I68" s="3">
        <v>39234</v>
      </c>
      <c r="J68" s="94" t="str">
        <f>A63</f>
        <v>`June 2007</v>
      </c>
      <c r="M68" s="94">
        <f>D63</f>
        <v>1547556.12</v>
      </c>
      <c r="O68" s="94">
        <f t="shared" si="3"/>
        <v>1547556.12</v>
      </c>
      <c r="P68">
        <v>1</v>
      </c>
    </row>
    <row r="69" spans="1:16" x14ac:dyDescent="0.2">
      <c r="A69" s="97">
        <v>39173</v>
      </c>
      <c r="D69" s="98">
        <f>SUM(D67:D68)</f>
        <v>1824823.05</v>
      </c>
      <c r="G69" s="92">
        <f>D69</f>
        <v>1824823.05</v>
      </c>
      <c r="I69" s="3">
        <v>39264</v>
      </c>
      <c r="J69" s="100"/>
      <c r="M69" s="96">
        <f t="shared" ref="M69:M74" si="4">M68+($M$75-$M$68)/7</f>
        <v>1347583.7785714287</v>
      </c>
      <c r="O69" s="96">
        <f>($O$74-$O$68)/6+O68</f>
        <v>1314255.0550000002</v>
      </c>
      <c r="P69">
        <v>1</v>
      </c>
    </row>
    <row r="70" spans="1:16" x14ac:dyDescent="0.2">
      <c r="A70" s="93">
        <v>39172</v>
      </c>
      <c r="B70">
        <v>16</v>
      </c>
      <c r="C70" t="s">
        <v>100</v>
      </c>
      <c r="D70" s="92">
        <v>967264.95</v>
      </c>
      <c r="E70" s="92">
        <v>60454.059000000001</v>
      </c>
      <c r="F70">
        <v>70379.42</v>
      </c>
      <c r="I70" s="3">
        <v>39295</v>
      </c>
      <c r="J70" s="100"/>
      <c r="M70" s="96">
        <f t="shared" si="4"/>
        <v>1147611.4371428574</v>
      </c>
      <c r="O70" s="96">
        <f>($O$74-$O$68)/6+O69</f>
        <v>1080953.9900000002</v>
      </c>
      <c r="P70">
        <v>1</v>
      </c>
    </row>
    <row r="71" spans="1:16" x14ac:dyDescent="0.2">
      <c r="A71" s="93">
        <v>39156</v>
      </c>
      <c r="B71">
        <v>15</v>
      </c>
      <c r="C71" t="s">
        <v>100</v>
      </c>
      <c r="D71" s="92">
        <v>905456.46</v>
      </c>
      <c r="E71" s="92">
        <v>60363.764000000003</v>
      </c>
      <c r="F71">
        <v>65116.04</v>
      </c>
      <c r="I71" s="3">
        <v>39326</v>
      </c>
      <c r="J71" s="100"/>
      <c r="M71" s="96">
        <f t="shared" si="4"/>
        <v>947639.09571428597</v>
      </c>
      <c r="O71" s="96">
        <f>($O$74-$O$68)/6+O70</f>
        <v>847652.92500000016</v>
      </c>
      <c r="P71">
        <v>0.5</v>
      </c>
    </row>
    <row r="72" spans="1:16" x14ac:dyDescent="0.2">
      <c r="A72" s="97" t="s">
        <v>106</v>
      </c>
      <c r="D72" s="98">
        <f>SUM(D70:D71)</f>
        <v>1872721.41</v>
      </c>
      <c r="G72" s="92">
        <f>D72</f>
        <v>1872721.41</v>
      </c>
      <c r="I72" s="3">
        <v>39356</v>
      </c>
      <c r="J72" s="100"/>
      <c r="M72" s="96">
        <f t="shared" si="4"/>
        <v>747666.75428571459</v>
      </c>
      <c r="O72" s="96">
        <f>($O$74-$O$68)/6+O71</f>
        <v>614351.8600000001</v>
      </c>
      <c r="P72">
        <v>0.5</v>
      </c>
    </row>
    <row r="73" spans="1:16" x14ac:dyDescent="0.2">
      <c r="A73" s="93">
        <v>39141</v>
      </c>
      <c r="B73">
        <v>14</v>
      </c>
      <c r="C73" t="s">
        <v>100</v>
      </c>
      <c r="D73" s="92">
        <v>843009.16</v>
      </c>
      <c r="E73" s="92">
        <v>60214.94</v>
      </c>
      <c r="F73">
        <v>67976.649999999994</v>
      </c>
      <c r="I73" s="3">
        <v>39387</v>
      </c>
      <c r="J73" s="100"/>
      <c r="L73" s="94">
        <f>D60</f>
        <v>82122.25</v>
      </c>
      <c r="M73" s="96">
        <f t="shared" si="4"/>
        <v>547694.41285714321</v>
      </c>
      <c r="O73" s="96">
        <f>($O$74-$O$68)/6+O72</f>
        <v>381050.79500000004</v>
      </c>
      <c r="P73">
        <v>0.5</v>
      </c>
    </row>
    <row r="74" spans="1:16" x14ac:dyDescent="0.2">
      <c r="A74" s="93">
        <v>39127</v>
      </c>
      <c r="B74">
        <v>14</v>
      </c>
      <c r="C74" t="s">
        <v>100</v>
      </c>
      <c r="D74" s="92">
        <v>891334.08</v>
      </c>
      <c r="E74" s="92">
        <v>63666.720000000001</v>
      </c>
      <c r="F74">
        <v>84878.03</v>
      </c>
      <c r="I74" s="3">
        <v>39417</v>
      </c>
      <c r="J74" s="100"/>
      <c r="M74" s="96">
        <f t="shared" si="4"/>
        <v>347722.07142857177</v>
      </c>
      <c r="O74" s="94">
        <f>M75</f>
        <v>147749.73000000001</v>
      </c>
      <c r="P74">
        <v>0</v>
      </c>
    </row>
    <row r="75" spans="1:16" x14ac:dyDescent="0.2">
      <c r="A75" s="97" t="s">
        <v>107</v>
      </c>
      <c r="D75" s="98">
        <f>SUM(D73:D74)</f>
        <v>1734343.24</v>
      </c>
      <c r="G75" s="92">
        <f>D75</f>
        <v>1734343.24</v>
      </c>
      <c r="I75" s="3">
        <v>39448</v>
      </c>
      <c r="J75" s="93">
        <f>A59</f>
        <v>39448</v>
      </c>
      <c r="M75" s="94">
        <f>D59</f>
        <v>147749.73000000001</v>
      </c>
      <c r="O75" s="94">
        <f t="shared" ref="O75:O85" si="5">M76</f>
        <v>138361.32999999999</v>
      </c>
      <c r="P75">
        <v>0</v>
      </c>
    </row>
    <row r="76" spans="1:16" x14ac:dyDescent="0.2">
      <c r="A76" s="93">
        <v>39113</v>
      </c>
      <c r="B76">
        <v>16</v>
      </c>
      <c r="C76" t="s">
        <v>100</v>
      </c>
      <c r="D76" s="92">
        <v>965245.06</v>
      </c>
      <c r="E76" s="92">
        <v>60327.815999999999</v>
      </c>
      <c r="F76">
        <v>87194.31</v>
      </c>
      <c r="I76" s="3">
        <v>39479</v>
      </c>
      <c r="J76" s="93">
        <f>A58</f>
        <v>39479</v>
      </c>
      <c r="M76" s="94">
        <f>D58</f>
        <v>138361.32999999999</v>
      </c>
      <c r="O76" s="94">
        <f t="shared" si="5"/>
        <v>126862.64</v>
      </c>
      <c r="P76">
        <v>0</v>
      </c>
    </row>
    <row r="77" spans="1:16" x14ac:dyDescent="0.2">
      <c r="A77" s="93">
        <v>39097</v>
      </c>
      <c r="B77">
        <v>15</v>
      </c>
      <c r="C77" t="s">
        <v>100</v>
      </c>
      <c r="D77" s="92">
        <v>960767.8</v>
      </c>
      <c r="E77" s="92">
        <v>64051.186999999998</v>
      </c>
      <c r="F77">
        <v>61114.37</v>
      </c>
      <c r="I77" s="3">
        <v>39508</v>
      </c>
      <c r="J77" s="93">
        <f>A57</f>
        <v>39508</v>
      </c>
      <c r="M77" s="94">
        <f>D57</f>
        <v>126862.64</v>
      </c>
      <c r="O77" s="94">
        <f t="shared" si="5"/>
        <v>123421.21</v>
      </c>
      <c r="P77">
        <v>0</v>
      </c>
    </row>
    <row r="78" spans="1:16" x14ac:dyDescent="0.2">
      <c r="A78" s="97" t="s">
        <v>108</v>
      </c>
      <c r="D78" s="98">
        <f>SUM(D76:D77)</f>
        <v>1926012.86</v>
      </c>
      <c r="G78" s="92">
        <f>D78</f>
        <v>1926012.86</v>
      </c>
      <c r="I78" s="3">
        <v>39539</v>
      </c>
      <c r="J78" s="93">
        <f>A56</f>
        <v>39539</v>
      </c>
      <c r="M78" s="94">
        <f>D56</f>
        <v>123421.21</v>
      </c>
      <c r="O78" s="94">
        <f t="shared" si="5"/>
        <v>113947.86</v>
      </c>
      <c r="P78">
        <v>0</v>
      </c>
    </row>
    <row r="79" spans="1:16" x14ac:dyDescent="0.2">
      <c r="A79" s="93">
        <v>39082</v>
      </c>
      <c r="B79">
        <v>16</v>
      </c>
      <c r="C79" t="s">
        <v>100</v>
      </c>
      <c r="D79" s="92">
        <v>867151.4</v>
      </c>
      <c r="E79" s="92">
        <v>54196.963000000003</v>
      </c>
      <c r="F79">
        <v>54130.86</v>
      </c>
      <c r="I79" s="3">
        <v>39569</v>
      </c>
      <c r="J79" s="93">
        <f>A55</f>
        <v>39569</v>
      </c>
      <c r="M79" s="94">
        <f>D55</f>
        <v>113947.86</v>
      </c>
      <c r="O79" s="94">
        <f t="shared" si="5"/>
        <v>99169.48</v>
      </c>
      <c r="P79">
        <v>0</v>
      </c>
    </row>
    <row r="80" spans="1:16" x14ac:dyDescent="0.2">
      <c r="A80" s="93">
        <v>39066</v>
      </c>
      <c r="B80">
        <v>15</v>
      </c>
      <c r="C80" t="s">
        <v>100</v>
      </c>
      <c r="D80" s="92">
        <v>971273.36</v>
      </c>
      <c r="E80" s="92">
        <v>64751.557000000001</v>
      </c>
      <c r="F80">
        <v>69873.03</v>
      </c>
      <c r="I80" s="3">
        <v>39600</v>
      </c>
      <c r="J80" s="93">
        <f>A54</f>
        <v>39600</v>
      </c>
      <c r="M80" s="94">
        <f>D54</f>
        <v>99169.48</v>
      </c>
      <c r="O80" s="94">
        <f t="shared" si="5"/>
        <v>84635.06</v>
      </c>
      <c r="P80">
        <v>0</v>
      </c>
    </row>
    <row r="81" spans="1:16" x14ac:dyDescent="0.2">
      <c r="A81" s="93" t="s">
        <v>128</v>
      </c>
      <c r="D81" s="98">
        <f>SUM(D79:D80)</f>
        <v>1838424.76</v>
      </c>
      <c r="G81" s="92">
        <f>D81</f>
        <v>1838424.76</v>
      </c>
      <c r="I81" s="3">
        <v>39630</v>
      </c>
      <c r="J81" s="93">
        <f>A53</f>
        <v>39630</v>
      </c>
      <c r="M81" s="94">
        <f>D53</f>
        <v>84635.06</v>
      </c>
      <c r="O81" s="94">
        <f t="shared" si="5"/>
        <v>79433.62</v>
      </c>
      <c r="P81">
        <v>0</v>
      </c>
    </row>
    <row r="82" spans="1:16" x14ac:dyDescent="0.2">
      <c r="A82" s="93">
        <v>39051</v>
      </c>
      <c r="B82">
        <v>15</v>
      </c>
      <c r="C82" t="s">
        <v>100</v>
      </c>
      <c r="D82" s="92">
        <v>953878.58</v>
      </c>
      <c r="E82" s="92">
        <v>63591.904999999999</v>
      </c>
      <c r="F82">
        <v>64913.71</v>
      </c>
      <c r="I82" s="3">
        <v>39661</v>
      </c>
      <c r="J82" s="93">
        <f>A52</f>
        <v>39661</v>
      </c>
      <c r="M82" s="94">
        <f>D52</f>
        <v>79433.62</v>
      </c>
      <c r="O82" s="94">
        <f t="shared" si="5"/>
        <v>75248.479999999996</v>
      </c>
      <c r="P82">
        <v>0</v>
      </c>
    </row>
    <row r="83" spans="1:16" x14ac:dyDescent="0.2">
      <c r="A83" s="93">
        <v>39036</v>
      </c>
      <c r="B83">
        <v>15</v>
      </c>
      <c r="C83" t="s">
        <v>100</v>
      </c>
      <c r="D83" s="92">
        <v>950732.96</v>
      </c>
      <c r="E83" s="92">
        <v>63382.197</v>
      </c>
      <c r="F83">
        <v>82719.7</v>
      </c>
      <c r="I83" s="3">
        <v>39692</v>
      </c>
      <c r="J83" s="93">
        <f>A37</f>
        <v>39692</v>
      </c>
      <c r="M83" s="94">
        <f>D37</f>
        <v>75248.479999999996</v>
      </c>
      <c r="O83" s="94">
        <f t="shared" si="5"/>
        <v>75786.39</v>
      </c>
      <c r="P83">
        <v>0</v>
      </c>
    </row>
    <row r="84" spans="1:16" x14ac:dyDescent="0.2">
      <c r="A84" s="93" t="s">
        <v>129</v>
      </c>
      <c r="D84" s="98">
        <f>SUM(D82:D83)</f>
        <v>1904611.54</v>
      </c>
      <c r="G84" s="92">
        <f>D84</f>
        <v>1904611.54</v>
      </c>
      <c r="I84" s="3">
        <v>39722</v>
      </c>
      <c r="J84" s="93">
        <f>A50</f>
        <v>39722</v>
      </c>
      <c r="M84" s="94">
        <f>D50</f>
        <v>75786.39</v>
      </c>
      <c r="O84" s="94">
        <f t="shared" si="5"/>
        <v>82632.899999999994</v>
      </c>
      <c r="P84">
        <v>0</v>
      </c>
    </row>
    <row r="85" spans="1:16" x14ac:dyDescent="0.2">
      <c r="A85" s="93">
        <v>39021</v>
      </c>
      <c r="B85">
        <v>16</v>
      </c>
      <c r="C85" t="s">
        <v>100</v>
      </c>
      <c r="D85" s="92">
        <v>913961.21</v>
      </c>
      <c r="E85" s="92">
        <v>57122.576000000001</v>
      </c>
      <c r="F85">
        <v>69456.289999999994</v>
      </c>
      <c r="I85" s="3">
        <v>39753</v>
      </c>
      <c r="J85" s="93">
        <f>A49</f>
        <v>39753</v>
      </c>
      <c r="M85" s="94">
        <f>D49</f>
        <v>82632.899999999994</v>
      </c>
      <c r="O85" s="94">
        <f t="shared" si="5"/>
        <v>86458.07</v>
      </c>
      <c r="P85">
        <v>0</v>
      </c>
    </row>
    <row r="86" spans="1:16" x14ac:dyDescent="0.2">
      <c r="A86" s="93">
        <v>39005</v>
      </c>
      <c r="B86">
        <v>15</v>
      </c>
      <c r="C86" t="s">
        <v>100</v>
      </c>
      <c r="D86" s="92">
        <v>922507.29</v>
      </c>
      <c r="E86" s="92">
        <v>61500.485999999997</v>
      </c>
      <c r="F86">
        <v>69457.63</v>
      </c>
      <c r="I86" s="3">
        <v>39783</v>
      </c>
      <c r="J86" s="95">
        <f>A48</f>
        <v>39783</v>
      </c>
      <c r="M86" s="94">
        <f>D48</f>
        <v>86458.07</v>
      </c>
      <c r="O86" s="96">
        <f>(O85+O87)/2</f>
        <v>89856.595000000001</v>
      </c>
      <c r="P86">
        <v>0</v>
      </c>
    </row>
    <row r="87" spans="1:16" x14ac:dyDescent="0.2">
      <c r="A87" s="97" t="s">
        <v>109</v>
      </c>
      <c r="D87" s="98">
        <f>SUM(D85:D86)</f>
        <v>1836468.5</v>
      </c>
      <c r="G87" s="92">
        <f>D87</f>
        <v>1836468.5</v>
      </c>
      <c r="I87" s="3">
        <v>39814</v>
      </c>
      <c r="J87" s="93">
        <f>A31</f>
        <v>39844</v>
      </c>
      <c r="M87" s="94">
        <f>D31</f>
        <v>93255.12</v>
      </c>
      <c r="O87" s="94">
        <f>M87</f>
        <v>93255.12</v>
      </c>
      <c r="P87">
        <v>0</v>
      </c>
    </row>
    <row r="88" spans="1:16" x14ac:dyDescent="0.2">
      <c r="A88" s="93">
        <v>38990</v>
      </c>
      <c r="B88">
        <v>15</v>
      </c>
      <c r="C88" t="s">
        <v>100</v>
      </c>
      <c r="D88" s="92">
        <v>920043.5</v>
      </c>
      <c r="E88" s="92">
        <v>61336.233</v>
      </c>
      <c r="F88">
        <v>47734.91</v>
      </c>
      <c r="I88" s="3">
        <v>39845</v>
      </c>
      <c r="J88" s="93" t="str">
        <f>A30</f>
        <v xml:space="preserve"> 1/03/09</v>
      </c>
      <c r="M88" s="94">
        <f>D30</f>
        <v>77406</v>
      </c>
      <c r="O88" s="94">
        <f t="shared" ref="O88:O114" si="6">M88</f>
        <v>77406</v>
      </c>
      <c r="P88">
        <v>0</v>
      </c>
    </row>
    <row r="89" spans="1:16" x14ac:dyDescent="0.2">
      <c r="A89" s="93">
        <v>38975</v>
      </c>
      <c r="B89">
        <v>15</v>
      </c>
      <c r="C89" t="s">
        <v>100</v>
      </c>
      <c r="D89" s="92">
        <v>947160.21</v>
      </c>
      <c r="E89" s="92">
        <v>63144.014000000003</v>
      </c>
      <c r="F89">
        <v>57312.5</v>
      </c>
      <c r="I89" s="3">
        <v>39873</v>
      </c>
      <c r="J89" s="93">
        <f>A29</f>
        <v>39903</v>
      </c>
      <c r="M89" s="94">
        <f>D29</f>
        <v>80443.44</v>
      </c>
      <c r="O89" s="94">
        <f t="shared" si="6"/>
        <v>80443.44</v>
      </c>
      <c r="P89">
        <v>0</v>
      </c>
    </row>
    <row r="90" spans="1:16" x14ac:dyDescent="0.2">
      <c r="A90" s="93" t="s">
        <v>130</v>
      </c>
      <c r="D90" s="98">
        <f>SUM(D88:D89)</f>
        <v>1867203.71</v>
      </c>
      <c r="G90" s="92">
        <f>D90</f>
        <v>1867203.71</v>
      </c>
      <c r="I90" s="3">
        <v>39904</v>
      </c>
      <c r="J90" s="93">
        <f>A28</f>
        <v>39933</v>
      </c>
      <c r="M90" s="94">
        <f>D28</f>
        <v>67141.2</v>
      </c>
      <c r="O90" s="94">
        <f t="shared" si="6"/>
        <v>67141.2</v>
      </c>
      <c r="P90">
        <v>0</v>
      </c>
    </row>
    <row r="91" spans="1:16" x14ac:dyDescent="0.2">
      <c r="A91" s="93">
        <v>38960</v>
      </c>
      <c r="B91">
        <v>16</v>
      </c>
      <c r="C91" t="s">
        <v>100</v>
      </c>
      <c r="D91" s="92">
        <v>967427.59</v>
      </c>
      <c r="E91" s="92">
        <v>60464.224000000002</v>
      </c>
      <c r="F91">
        <v>64689.71</v>
      </c>
      <c r="I91" s="3">
        <v>39934</v>
      </c>
      <c r="J91" s="93">
        <f>A27</f>
        <v>39964</v>
      </c>
      <c r="M91" s="94">
        <f>D27</f>
        <v>48394.080000000002</v>
      </c>
      <c r="O91" s="94">
        <f t="shared" si="6"/>
        <v>48394.080000000002</v>
      </c>
      <c r="P91">
        <v>0</v>
      </c>
    </row>
    <row r="92" spans="1:16" x14ac:dyDescent="0.2">
      <c r="A92" s="93">
        <v>38944</v>
      </c>
      <c r="B92">
        <v>15</v>
      </c>
      <c r="C92" t="s">
        <v>100</v>
      </c>
      <c r="D92" s="92">
        <v>927114.04</v>
      </c>
      <c r="E92" s="92">
        <v>61807.603000000003</v>
      </c>
      <c r="F92">
        <v>73753.25</v>
      </c>
      <c r="I92" s="3">
        <v>39965</v>
      </c>
      <c r="J92" s="93">
        <f>A26</f>
        <v>39993</v>
      </c>
      <c r="M92" s="94">
        <f>D26</f>
        <v>41934.480000000003</v>
      </c>
      <c r="O92" s="94">
        <f t="shared" si="6"/>
        <v>41934.480000000003</v>
      </c>
      <c r="P92">
        <v>0</v>
      </c>
    </row>
    <row r="93" spans="1:16" x14ac:dyDescent="0.2">
      <c r="A93" s="97" t="s">
        <v>110</v>
      </c>
      <c r="D93" s="98">
        <f>SUM(D91:D92)</f>
        <v>1894541.63</v>
      </c>
      <c r="G93" s="92">
        <f>D93</f>
        <v>1894541.63</v>
      </c>
      <c r="I93" s="3">
        <v>39995</v>
      </c>
      <c r="J93" s="93">
        <f>A25</f>
        <v>40025</v>
      </c>
      <c r="M93" s="94">
        <f>D25</f>
        <v>48856.08</v>
      </c>
      <c r="O93" s="94">
        <f t="shared" si="6"/>
        <v>48856.08</v>
      </c>
      <c r="P93">
        <v>0</v>
      </c>
    </row>
    <row r="94" spans="1:16" x14ac:dyDescent="0.2">
      <c r="A94" s="93">
        <v>38929</v>
      </c>
      <c r="B94">
        <v>16</v>
      </c>
      <c r="C94" t="s">
        <v>100</v>
      </c>
      <c r="D94" s="92">
        <v>991899.21</v>
      </c>
      <c r="E94" s="92">
        <v>61993.701000000001</v>
      </c>
      <c r="F94">
        <v>89503.22</v>
      </c>
      <c r="I94" s="3">
        <v>40026</v>
      </c>
      <c r="J94" s="93">
        <f>A24</f>
        <v>40056</v>
      </c>
      <c r="M94" s="94">
        <f>D24</f>
        <v>46322.64</v>
      </c>
      <c r="O94" s="94">
        <f t="shared" si="6"/>
        <v>46322.64</v>
      </c>
      <c r="P94">
        <v>0</v>
      </c>
    </row>
    <row r="95" spans="1:16" x14ac:dyDescent="0.2">
      <c r="A95" s="93">
        <v>38913</v>
      </c>
      <c r="B95">
        <v>15</v>
      </c>
      <c r="C95" t="s">
        <v>100</v>
      </c>
      <c r="D95" s="92">
        <v>908414.93</v>
      </c>
      <c r="E95" s="92">
        <v>60560.995000000003</v>
      </c>
      <c r="F95">
        <v>54957.86</v>
      </c>
      <c r="I95" s="3">
        <v>40057</v>
      </c>
      <c r="J95" s="93">
        <f>A23</f>
        <v>40086</v>
      </c>
      <c r="M95" s="94">
        <f>D23</f>
        <v>46877.04</v>
      </c>
      <c r="O95" s="94">
        <f t="shared" si="6"/>
        <v>46877.04</v>
      </c>
      <c r="P95">
        <v>0</v>
      </c>
    </row>
    <row r="96" spans="1:16" x14ac:dyDescent="0.2">
      <c r="A96" s="97" t="s">
        <v>111</v>
      </c>
      <c r="D96" s="98">
        <f>SUM(D94:D95)</f>
        <v>1900314.1400000001</v>
      </c>
      <c r="G96" s="92">
        <f>D96</f>
        <v>1900314.1400000001</v>
      </c>
      <c r="I96" s="3">
        <v>40087</v>
      </c>
      <c r="J96" s="93">
        <f>A22</f>
        <v>40117</v>
      </c>
      <c r="M96" s="94">
        <f>D22</f>
        <v>44881.2</v>
      </c>
      <c r="O96" s="94">
        <f t="shared" si="6"/>
        <v>44881.2</v>
      </c>
      <c r="P96">
        <v>0</v>
      </c>
    </row>
    <row r="97" spans="1:16" x14ac:dyDescent="0.2">
      <c r="A97" s="93">
        <v>38898</v>
      </c>
      <c r="B97">
        <v>15</v>
      </c>
      <c r="C97" t="s">
        <v>100</v>
      </c>
      <c r="D97" s="92">
        <v>894497.43</v>
      </c>
      <c r="E97" s="92">
        <v>59633.161999999997</v>
      </c>
      <c r="F97">
        <v>63728.88</v>
      </c>
      <c r="I97" s="3">
        <v>40118</v>
      </c>
      <c r="J97" s="93">
        <f>A21</f>
        <v>40147</v>
      </c>
      <c r="M97" s="94">
        <f>D21</f>
        <v>57750</v>
      </c>
      <c r="O97" s="94">
        <f t="shared" si="6"/>
        <v>57750</v>
      </c>
      <c r="P97">
        <v>0</v>
      </c>
    </row>
    <row r="98" spans="1:16" x14ac:dyDescent="0.2">
      <c r="A98" s="93">
        <v>38883</v>
      </c>
      <c r="B98">
        <v>15</v>
      </c>
      <c r="C98" t="s">
        <v>100</v>
      </c>
      <c r="D98" s="92">
        <v>935173.57</v>
      </c>
      <c r="E98" s="92">
        <v>62344.904999999999</v>
      </c>
      <c r="F98">
        <v>67411.14</v>
      </c>
      <c r="I98" s="3">
        <v>40148</v>
      </c>
      <c r="J98" s="93">
        <f>A20</f>
        <v>40177</v>
      </c>
      <c r="M98" s="94">
        <f>D20</f>
        <v>68673.990000000005</v>
      </c>
      <c r="O98" s="94">
        <f t="shared" si="6"/>
        <v>68673.990000000005</v>
      </c>
      <c r="P98">
        <v>0</v>
      </c>
    </row>
    <row r="99" spans="1:16" x14ac:dyDescent="0.2">
      <c r="A99" s="97" t="s">
        <v>112</v>
      </c>
      <c r="D99" s="98">
        <f>SUM(D97:D98)</f>
        <v>1829671</v>
      </c>
      <c r="G99" s="92">
        <f>D99</f>
        <v>1829671</v>
      </c>
      <c r="I99" s="3">
        <v>40179</v>
      </c>
      <c r="J99" s="93">
        <f>A19</f>
        <v>40209</v>
      </c>
      <c r="M99" s="94">
        <f>D19</f>
        <v>72523.92</v>
      </c>
      <c r="O99" s="94">
        <f t="shared" si="6"/>
        <v>72523.92</v>
      </c>
      <c r="P99">
        <v>0</v>
      </c>
    </row>
    <row r="100" spans="1:16" x14ac:dyDescent="0.2">
      <c r="A100" s="93">
        <v>38868</v>
      </c>
      <c r="B100">
        <v>16</v>
      </c>
      <c r="C100" t="s">
        <v>100</v>
      </c>
      <c r="D100" s="92">
        <v>971163.89</v>
      </c>
      <c r="E100" s="92">
        <v>60697.743000000002</v>
      </c>
      <c r="F100">
        <v>80492.72</v>
      </c>
      <c r="I100" s="3">
        <v>40210</v>
      </c>
      <c r="J100" s="93">
        <f>A18</f>
        <v>40237</v>
      </c>
      <c r="M100" s="94">
        <f>D18</f>
        <v>64515.360000000001</v>
      </c>
      <c r="O100" s="94">
        <f t="shared" si="6"/>
        <v>64515.360000000001</v>
      </c>
      <c r="P100">
        <v>0</v>
      </c>
    </row>
    <row r="101" spans="1:16" x14ac:dyDescent="0.2">
      <c r="A101" s="93">
        <v>38852</v>
      </c>
      <c r="B101">
        <v>15</v>
      </c>
      <c r="C101" t="s">
        <v>100</v>
      </c>
      <c r="D101" s="92">
        <v>936268.03</v>
      </c>
      <c r="E101" s="92">
        <v>62417.868999999999</v>
      </c>
      <c r="F101">
        <v>64297.95</v>
      </c>
      <c r="I101" s="3">
        <v>40238</v>
      </c>
      <c r="J101" s="93">
        <f>A17</f>
        <v>40268</v>
      </c>
      <c r="M101" s="94">
        <f>D17</f>
        <v>72268.56</v>
      </c>
      <c r="O101" s="94">
        <f t="shared" si="6"/>
        <v>72268.56</v>
      </c>
      <c r="P101">
        <v>0</v>
      </c>
    </row>
    <row r="102" spans="1:16" x14ac:dyDescent="0.2">
      <c r="A102" s="97" t="s">
        <v>113</v>
      </c>
      <c r="D102" s="98">
        <f>SUM(D100:D101)</f>
        <v>1907431.92</v>
      </c>
      <c r="G102" s="92">
        <f>D102</f>
        <v>1907431.92</v>
      </c>
      <c r="I102" s="3">
        <v>40269</v>
      </c>
      <c r="J102" s="93">
        <f>A16</f>
        <v>40298</v>
      </c>
      <c r="M102" s="94">
        <f>D16</f>
        <v>48471.360000000001</v>
      </c>
      <c r="O102" s="94">
        <f t="shared" si="6"/>
        <v>48471.360000000001</v>
      </c>
      <c r="P102">
        <v>0</v>
      </c>
    </row>
    <row r="103" spans="1:16" x14ac:dyDescent="0.2">
      <c r="A103" s="93">
        <v>38837</v>
      </c>
      <c r="B103">
        <v>15</v>
      </c>
      <c r="C103" t="s">
        <v>100</v>
      </c>
      <c r="D103" s="92">
        <v>852628.89</v>
      </c>
      <c r="E103" s="92">
        <v>56841.925999999999</v>
      </c>
      <c r="F103">
        <v>70306.559999999998</v>
      </c>
      <c r="I103" s="3">
        <v>40299</v>
      </c>
      <c r="J103" s="93">
        <f>A15</f>
        <v>40329</v>
      </c>
      <c r="M103" s="94">
        <f>D15</f>
        <v>43515.360000000001</v>
      </c>
      <c r="O103" s="94">
        <f t="shared" si="6"/>
        <v>43515.360000000001</v>
      </c>
      <c r="P103">
        <v>0</v>
      </c>
    </row>
    <row r="104" spans="1:16" x14ac:dyDescent="0.2">
      <c r="A104" s="93">
        <v>38822</v>
      </c>
      <c r="B104">
        <v>15</v>
      </c>
      <c r="C104" t="s">
        <v>100</v>
      </c>
      <c r="D104" s="92">
        <v>672306.91</v>
      </c>
      <c r="E104" s="92">
        <v>44820.461000000003</v>
      </c>
      <c r="F104">
        <v>-52471.37</v>
      </c>
      <c r="I104" s="3">
        <v>40330</v>
      </c>
      <c r="J104" s="93">
        <f>A14</f>
        <v>40359</v>
      </c>
      <c r="M104" s="94">
        <f>D14</f>
        <v>39216.239999999998</v>
      </c>
      <c r="O104" s="94">
        <f t="shared" si="6"/>
        <v>39216.239999999998</v>
      </c>
      <c r="P104">
        <v>0</v>
      </c>
    </row>
    <row r="105" spans="1:16" x14ac:dyDescent="0.2">
      <c r="A105" s="97" t="s">
        <v>114</v>
      </c>
      <c r="D105" s="98">
        <f>SUM(D103:D104)</f>
        <v>1524935.8</v>
      </c>
      <c r="G105" s="92">
        <f>D105</f>
        <v>1524935.8</v>
      </c>
      <c r="I105" s="3">
        <v>40360</v>
      </c>
      <c r="J105" s="93">
        <f>A13</f>
        <v>40390</v>
      </c>
      <c r="M105" s="94">
        <f>D13</f>
        <v>37931.040000000001</v>
      </c>
      <c r="O105" s="94">
        <f t="shared" si="6"/>
        <v>37931.040000000001</v>
      </c>
      <c r="P105">
        <v>0</v>
      </c>
    </row>
    <row r="106" spans="1:16" x14ac:dyDescent="0.2">
      <c r="A106" s="93">
        <v>38807</v>
      </c>
      <c r="B106">
        <v>16</v>
      </c>
      <c r="C106" t="s">
        <v>100</v>
      </c>
      <c r="D106" s="92">
        <v>955315.36</v>
      </c>
      <c r="E106" s="92">
        <v>59707.21</v>
      </c>
      <c r="F106">
        <v>82604.88</v>
      </c>
      <c r="I106" s="3">
        <v>40391</v>
      </c>
      <c r="J106" s="93">
        <f>A12</f>
        <v>40421</v>
      </c>
      <c r="M106" s="94">
        <f>D12</f>
        <v>33398.400000000001</v>
      </c>
      <c r="O106" s="94">
        <f t="shared" si="6"/>
        <v>33398.400000000001</v>
      </c>
      <c r="P106">
        <v>0</v>
      </c>
    </row>
    <row r="107" spans="1:16" x14ac:dyDescent="0.2">
      <c r="A107" s="93">
        <v>38791</v>
      </c>
      <c r="B107">
        <v>15</v>
      </c>
      <c r="C107" t="s">
        <v>100</v>
      </c>
      <c r="D107" s="92">
        <v>837061.57</v>
      </c>
      <c r="E107" s="92">
        <v>55804.105000000003</v>
      </c>
      <c r="F107">
        <v>56226.879999999997</v>
      </c>
      <c r="I107" s="3">
        <v>40422</v>
      </c>
      <c r="J107" s="93">
        <f>A11</f>
        <v>40451</v>
      </c>
      <c r="M107" s="94">
        <f>D11</f>
        <v>30508.799999999999</v>
      </c>
      <c r="O107" s="94">
        <f t="shared" si="6"/>
        <v>30508.799999999999</v>
      </c>
      <c r="P107">
        <v>0</v>
      </c>
    </row>
    <row r="108" spans="1:16" x14ac:dyDescent="0.2">
      <c r="A108" s="97" t="s">
        <v>115</v>
      </c>
      <c r="D108" s="98">
        <f>SUM(D106:D107)</f>
        <v>1792376.93</v>
      </c>
      <c r="G108" s="92">
        <f>D108</f>
        <v>1792376.93</v>
      </c>
      <c r="I108" s="3">
        <v>40452</v>
      </c>
      <c r="J108" s="93">
        <f>A10</f>
        <v>40482</v>
      </c>
      <c r="M108" s="94">
        <f>D10</f>
        <v>34923.839999999997</v>
      </c>
      <c r="O108" s="94">
        <f t="shared" si="6"/>
        <v>34923.839999999997</v>
      </c>
      <c r="P108">
        <v>0</v>
      </c>
    </row>
    <row r="109" spans="1:16" x14ac:dyDescent="0.2">
      <c r="A109" s="93">
        <v>38776</v>
      </c>
      <c r="B109">
        <v>13</v>
      </c>
      <c r="C109" t="s">
        <v>100</v>
      </c>
      <c r="D109" s="92">
        <v>641930.78</v>
      </c>
      <c r="E109" s="92">
        <v>49379.290999999997</v>
      </c>
      <c r="F109">
        <v>41939.47</v>
      </c>
      <c r="I109" s="3">
        <v>40483</v>
      </c>
      <c r="J109" s="93">
        <f>A9</f>
        <v>40512</v>
      </c>
      <c r="M109" s="94">
        <f>D9</f>
        <v>57288</v>
      </c>
      <c r="O109" s="94">
        <f t="shared" si="6"/>
        <v>57288</v>
      </c>
      <c r="P109">
        <v>0</v>
      </c>
    </row>
    <row r="110" spans="1:16" x14ac:dyDescent="0.2">
      <c r="A110" s="93">
        <v>38763</v>
      </c>
      <c r="B110">
        <v>15</v>
      </c>
      <c r="C110" t="s">
        <v>100</v>
      </c>
      <c r="D110" s="92">
        <v>921137.63</v>
      </c>
      <c r="E110" s="92">
        <v>61409.175000000003</v>
      </c>
      <c r="F110">
        <v>71444.509999999995</v>
      </c>
      <c r="I110" s="3">
        <v>40513</v>
      </c>
      <c r="J110" s="93">
        <f>A8</f>
        <v>40543</v>
      </c>
      <c r="M110" s="94">
        <f>D8</f>
        <v>74815.44</v>
      </c>
      <c r="O110" s="94">
        <f t="shared" si="6"/>
        <v>74815.44</v>
      </c>
      <c r="P110">
        <v>0</v>
      </c>
    </row>
    <row r="111" spans="1:16" x14ac:dyDescent="0.2">
      <c r="A111" s="97" t="s">
        <v>116</v>
      </c>
      <c r="D111" s="98">
        <f>SUM(D109:D110)</f>
        <v>1563068.4100000001</v>
      </c>
      <c r="G111" s="92">
        <f>D111</f>
        <v>1563068.4100000001</v>
      </c>
      <c r="I111" s="3">
        <v>40544</v>
      </c>
      <c r="J111" s="93">
        <f>A7</f>
        <v>40574</v>
      </c>
      <c r="M111" s="94">
        <f>D7</f>
        <v>75393.36</v>
      </c>
      <c r="O111" s="94">
        <f t="shared" si="6"/>
        <v>75393.36</v>
      </c>
      <c r="P111">
        <v>0</v>
      </c>
    </row>
    <row r="112" spans="1:16" x14ac:dyDescent="0.2">
      <c r="A112" s="93">
        <v>38748</v>
      </c>
      <c r="B112">
        <v>16</v>
      </c>
      <c r="C112" t="s">
        <v>100</v>
      </c>
      <c r="D112" s="92">
        <v>792403.93</v>
      </c>
      <c r="E112" s="92">
        <v>49525.245999999999</v>
      </c>
      <c r="F112">
        <v>49779.61</v>
      </c>
      <c r="I112" s="3">
        <v>40575</v>
      </c>
      <c r="J112" s="93">
        <f>A6</f>
        <v>40602</v>
      </c>
      <c r="M112" s="94">
        <f>D6</f>
        <v>66528</v>
      </c>
      <c r="O112" s="94">
        <f t="shared" si="6"/>
        <v>66528</v>
      </c>
      <c r="P112">
        <v>0</v>
      </c>
    </row>
    <row r="113" spans="1:16" x14ac:dyDescent="0.2">
      <c r="A113" s="93">
        <v>38732</v>
      </c>
      <c r="B113">
        <v>15</v>
      </c>
      <c r="C113" t="s">
        <v>100</v>
      </c>
      <c r="D113" s="92">
        <v>692465.41</v>
      </c>
      <c r="E113" s="92">
        <v>46164.360999999997</v>
      </c>
      <c r="F113">
        <v>50612.05</v>
      </c>
      <c r="I113" s="3">
        <v>40603</v>
      </c>
      <c r="J113" s="93">
        <f>A5</f>
        <v>40633</v>
      </c>
      <c r="M113" s="94">
        <f>D5</f>
        <v>73500</v>
      </c>
      <c r="O113" s="94">
        <f t="shared" si="6"/>
        <v>73500</v>
      </c>
      <c r="P113">
        <v>0</v>
      </c>
    </row>
    <row r="114" spans="1:16" x14ac:dyDescent="0.2">
      <c r="A114" s="97" t="s">
        <v>117</v>
      </c>
      <c r="D114" s="98">
        <f>SUM(D112:D113)</f>
        <v>1484869.34</v>
      </c>
      <c r="G114" s="92">
        <f>D114</f>
        <v>1484869.34</v>
      </c>
      <c r="H114" s="92">
        <f>SUM(G81:G114)</f>
        <v>21343917.680000003</v>
      </c>
      <c r="I114" s="3">
        <v>40634</v>
      </c>
      <c r="J114" s="93">
        <f>A4</f>
        <v>40663</v>
      </c>
      <c r="M114" s="94">
        <f>D4</f>
        <v>53716.32</v>
      </c>
      <c r="O114" s="94">
        <f t="shared" si="6"/>
        <v>53716.32</v>
      </c>
      <c r="P114">
        <v>0</v>
      </c>
    </row>
    <row r="115" spans="1:16" x14ac:dyDescent="0.2">
      <c r="A115" s="93">
        <v>38717</v>
      </c>
      <c r="B115">
        <v>16</v>
      </c>
      <c r="C115" t="s">
        <v>100</v>
      </c>
      <c r="D115" s="92">
        <v>672458.73</v>
      </c>
      <c r="E115" s="92">
        <v>42028.671000000002</v>
      </c>
      <c r="F115">
        <v>79371.37</v>
      </c>
      <c r="I115" s="3">
        <v>40664</v>
      </c>
    </row>
    <row r="116" spans="1:16" x14ac:dyDescent="0.2">
      <c r="A116" s="93">
        <v>38701</v>
      </c>
      <c r="B116">
        <v>15</v>
      </c>
      <c r="C116" t="s">
        <v>100</v>
      </c>
      <c r="D116" s="92">
        <v>747071.84</v>
      </c>
      <c r="E116" s="92">
        <v>49804.788999999997</v>
      </c>
      <c r="F116">
        <v>92918.59</v>
      </c>
      <c r="I116" s="3">
        <v>40695</v>
      </c>
    </row>
    <row r="117" spans="1:16" x14ac:dyDescent="0.2">
      <c r="A117" s="97" t="s">
        <v>118</v>
      </c>
      <c r="D117" s="98">
        <f>SUM(D115:D116)</f>
        <v>1419530.5699999998</v>
      </c>
      <c r="G117" s="92">
        <f>D117</f>
        <v>1419530.5699999998</v>
      </c>
      <c r="I117" s="3">
        <v>40725</v>
      </c>
    </row>
    <row r="118" spans="1:16" x14ac:dyDescent="0.2">
      <c r="A118" s="93">
        <v>38686</v>
      </c>
      <c r="B118">
        <v>15</v>
      </c>
      <c r="C118" t="s">
        <v>100</v>
      </c>
      <c r="D118" s="92">
        <v>871984.82</v>
      </c>
      <c r="E118" s="92">
        <v>58132.321000000004</v>
      </c>
      <c r="F118">
        <v>68663.990000000005</v>
      </c>
      <c r="I118" s="3">
        <v>40756</v>
      </c>
    </row>
    <row r="119" spans="1:16" x14ac:dyDescent="0.2">
      <c r="A119" s="93">
        <v>38671</v>
      </c>
      <c r="B119">
        <v>15</v>
      </c>
      <c r="C119" t="s">
        <v>100</v>
      </c>
      <c r="D119" s="92">
        <v>851742.87</v>
      </c>
      <c r="E119" s="92">
        <v>56782.858</v>
      </c>
      <c r="F119">
        <v>49627.95</v>
      </c>
      <c r="I119" s="3">
        <v>40787</v>
      </c>
    </row>
    <row r="120" spans="1:16" x14ac:dyDescent="0.2">
      <c r="A120" s="97" t="s">
        <v>119</v>
      </c>
      <c r="D120" s="98">
        <f>SUM(D118:D119)</f>
        <v>1723727.69</v>
      </c>
      <c r="G120" s="92">
        <f>D120</f>
        <v>1723727.69</v>
      </c>
    </row>
    <row r="121" spans="1:16" x14ac:dyDescent="0.2">
      <c r="A121" s="93">
        <v>38656</v>
      </c>
      <c r="B121">
        <v>16</v>
      </c>
      <c r="C121" t="s">
        <v>100</v>
      </c>
      <c r="D121" s="92">
        <v>902566.06</v>
      </c>
      <c r="E121" s="92">
        <v>56410.379000000001</v>
      </c>
      <c r="F121">
        <v>67690.429999999993</v>
      </c>
    </row>
    <row r="122" spans="1:16" x14ac:dyDescent="0.2">
      <c r="A122" s="93">
        <v>38640</v>
      </c>
      <c r="B122">
        <v>15</v>
      </c>
      <c r="C122" t="s">
        <v>100</v>
      </c>
      <c r="D122" s="92">
        <v>822120.95</v>
      </c>
      <c r="E122" s="92">
        <v>54808.063000000002</v>
      </c>
      <c r="F122">
        <v>75963.77</v>
      </c>
    </row>
    <row r="123" spans="1:16" x14ac:dyDescent="0.2">
      <c r="A123" s="97" t="s">
        <v>120</v>
      </c>
      <c r="D123" s="98">
        <f>SUM(D121:D122)</f>
        <v>1724687.01</v>
      </c>
      <c r="G123" s="92">
        <f>D123</f>
        <v>1724687.01</v>
      </c>
    </row>
    <row r="124" spans="1:16" x14ac:dyDescent="0.2">
      <c r="A124" s="93">
        <v>38625</v>
      </c>
      <c r="B124">
        <v>15</v>
      </c>
      <c r="C124" t="s">
        <v>100</v>
      </c>
      <c r="D124" s="92">
        <v>827846.48</v>
      </c>
      <c r="E124" s="92">
        <v>55189.764999999999</v>
      </c>
      <c r="F124">
        <v>94805.96</v>
      </c>
    </row>
    <row r="125" spans="1:16" x14ac:dyDescent="0.2">
      <c r="A125" s="93">
        <v>38610</v>
      </c>
      <c r="B125">
        <v>15</v>
      </c>
      <c r="C125" t="s">
        <v>100</v>
      </c>
      <c r="D125" s="92">
        <v>744893.47</v>
      </c>
      <c r="E125" s="92">
        <v>49659.565000000002</v>
      </c>
      <c r="F125">
        <v>71674.69</v>
      </c>
    </row>
    <row r="126" spans="1:16" x14ac:dyDescent="0.2">
      <c r="A126" s="97" t="s">
        <v>121</v>
      </c>
      <c r="D126" s="98">
        <f>SUM(D124:D125)</f>
        <v>1572739.95</v>
      </c>
      <c r="G126" s="92">
        <f>D126</f>
        <v>1572739.95</v>
      </c>
    </row>
    <row r="127" spans="1:16" x14ac:dyDescent="0.2">
      <c r="A127" s="93">
        <v>38595</v>
      </c>
      <c r="B127">
        <v>16</v>
      </c>
      <c r="C127" t="s">
        <v>100</v>
      </c>
      <c r="D127" s="92">
        <v>702735.41</v>
      </c>
      <c r="E127" s="92">
        <v>43920.963000000003</v>
      </c>
      <c r="F127">
        <v>56137.3</v>
      </c>
    </row>
    <row r="128" spans="1:16" x14ac:dyDescent="0.2">
      <c r="A128" s="93">
        <v>38579</v>
      </c>
      <c r="B128">
        <v>15</v>
      </c>
      <c r="C128" t="s">
        <v>100</v>
      </c>
      <c r="D128" s="92">
        <v>743673.55</v>
      </c>
      <c r="E128" s="92">
        <v>49578.237000000001</v>
      </c>
      <c r="F128">
        <v>75438.8</v>
      </c>
    </row>
    <row r="129" spans="1:8" x14ac:dyDescent="0.2">
      <c r="A129" s="97" t="s">
        <v>122</v>
      </c>
      <c r="D129" s="98">
        <f>SUM(D127:D128)</f>
        <v>1446408.96</v>
      </c>
      <c r="G129" s="92">
        <f>D129</f>
        <v>1446408.96</v>
      </c>
    </row>
    <row r="130" spans="1:8" x14ac:dyDescent="0.2">
      <c r="A130" s="93">
        <v>38564</v>
      </c>
      <c r="B130">
        <v>16</v>
      </c>
      <c r="C130" t="s">
        <v>100</v>
      </c>
      <c r="D130" s="92">
        <v>852294.16</v>
      </c>
      <c r="E130" s="92">
        <v>53268.385000000002</v>
      </c>
      <c r="F130">
        <v>101085.9</v>
      </c>
    </row>
    <row r="131" spans="1:8" x14ac:dyDescent="0.2">
      <c r="A131" s="93">
        <v>38548</v>
      </c>
      <c r="B131">
        <v>15</v>
      </c>
      <c r="C131" t="s">
        <v>100</v>
      </c>
      <c r="D131" s="92">
        <v>770849.98</v>
      </c>
      <c r="E131" s="92">
        <v>51389.999000000003</v>
      </c>
      <c r="F131">
        <v>66467.11</v>
      </c>
    </row>
    <row r="132" spans="1:8" x14ac:dyDescent="0.2">
      <c r="A132" s="97" t="s">
        <v>123</v>
      </c>
      <c r="D132" s="98">
        <f>SUM(D130:D131)</f>
        <v>1623144.1400000001</v>
      </c>
      <c r="G132" s="92">
        <f>D132</f>
        <v>1623144.1400000001</v>
      </c>
    </row>
    <row r="133" spans="1:8" x14ac:dyDescent="0.2">
      <c r="A133" s="93">
        <v>38533</v>
      </c>
      <c r="B133">
        <v>14</v>
      </c>
      <c r="C133" t="s">
        <v>100</v>
      </c>
      <c r="D133" s="92">
        <v>736849.44</v>
      </c>
      <c r="E133" s="92">
        <v>52632.103000000003</v>
      </c>
      <c r="F133">
        <v>74766.45</v>
      </c>
    </row>
    <row r="134" spans="1:8" x14ac:dyDescent="0.2">
      <c r="A134" s="93">
        <v>38519</v>
      </c>
      <c r="B134">
        <v>16</v>
      </c>
      <c r="C134" t="s">
        <v>100</v>
      </c>
      <c r="D134" s="92">
        <v>722644.72</v>
      </c>
      <c r="E134" s="92">
        <v>45165.294999999998</v>
      </c>
      <c r="F134">
        <v>63915.9</v>
      </c>
    </row>
    <row r="135" spans="1:8" x14ac:dyDescent="0.2">
      <c r="A135" s="97" t="s">
        <v>124</v>
      </c>
      <c r="D135" s="98">
        <f>SUM(D133:D134)</f>
        <v>1459494.16</v>
      </c>
      <c r="G135" s="92">
        <f>D135</f>
        <v>1459494.16</v>
      </c>
    </row>
    <row r="136" spans="1:8" x14ac:dyDescent="0.2">
      <c r="A136" s="97">
        <v>38503</v>
      </c>
      <c r="B136">
        <v>16</v>
      </c>
      <c r="C136" t="s">
        <v>100</v>
      </c>
      <c r="D136" s="92">
        <v>820388.65</v>
      </c>
      <c r="E136" s="92">
        <v>51274.290999999997</v>
      </c>
      <c r="F136">
        <v>71188.02</v>
      </c>
    </row>
    <row r="137" spans="1:8" x14ac:dyDescent="0.2">
      <c r="A137" s="97">
        <v>38487</v>
      </c>
      <c r="B137">
        <v>15</v>
      </c>
      <c r="C137" t="s">
        <v>100</v>
      </c>
      <c r="D137" s="92">
        <v>704239.03</v>
      </c>
      <c r="E137" s="92">
        <v>46949.269</v>
      </c>
      <c r="F137">
        <v>1926.81</v>
      </c>
    </row>
    <row r="138" spans="1:8" x14ac:dyDescent="0.2">
      <c r="A138" s="97" t="s">
        <v>125</v>
      </c>
      <c r="D138" s="98">
        <f>SUM(D136:D137)</f>
        <v>1524627.6800000002</v>
      </c>
      <c r="G138" s="92">
        <f>D138</f>
        <v>1524627.6800000002</v>
      </c>
    </row>
    <row r="139" spans="1:8" x14ac:dyDescent="0.2">
      <c r="A139" s="93">
        <v>38472</v>
      </c>
      <c r="B139">
        <v>15</v>
      </c>
      <c r="C139" t="s">
        <v>100</v>
      </c>
      <c r="D139" s="92">
        <v>785030.7</v>
      </c>
      <c r="E139" s="92">
        <v>52335.38</v>
      </c>
      <c r="F139">
        <v>62212.92</v>
      </c>
      <c r="G139">
        <f>D139*2</f>
        <v>1570061.4</v>
      </c>
      <c r="H139" s="92">
        <f>SUM(G117:G139)</f>
        <v>14064421.560000001</v>
      </c>
    </row>
    <row r="140" spans="1:8" x14ac:dyDescent="0.2">
      <c r="A140" s="93">
        <v>38135</v>
      </c>
      <c r="B140">
        <v>14</v>
      </c>
      <c r="C140" t="s">
        <v>102</v>
      </c>
      <c r="D140" s="92">
        <v>53215.86</v>
      </c>
      <c r="E140" s="92">
        <v>3801.1329999999998</v>
      </c>
      <c r="F140">
        <v>7228.11</v>
      </c>
    </row>
    <row r="141" spans="1:8" x14ac:dyDescent="0.2">
      <c r="A141" s="93">
        <v>38121</v>
      </c>
      <c r="B141">
        <v>28</v>
      </c>
      <c r="C141" t="s">
        <v>100</v>
      </c>
      <c r="D141" s="92">
        <v>116991.99</v>
      </c>
      <c r="E141" s="92">
        <v>4178.2849999999999</v>
      </c>
      <c r="F141">
        <v>7809.83</v>
      </c>
    </row>
    <row r="142" spans="1:8" x14ac:dyDescent="0.2">
      <c r="A142" s="93">
        <v>38093</v>
      </c>
      <c r="B142">
        <v>32</v>
      </c>
      <c r="C142" t="s">
        <v>100</v>
      </c>
      <c r="D142" s="92">
        <v>171705</v>
      </c>
      <c r="E142" s="92">
        <v>5365.7809999999999</v>
      </c>
      <c r="F142">
        <v>15188.66</v>
      </c>
    </row>
    <row r="143" spans="1:8" x14ac:dyDescent="0.2">
      <c r="A143" s="93">
        <v>38061</v>
      </c>
      <c r="B143">
        <v>31</v>
      </c>
      <c r="C143" t="s">
        <v>100</v>
      </c>
      <c r="D143" s="92">
        <v>180970.6</v>
      </c>
      <c r="E143" s="92">
        <v>5837.7610000000004</v>
      </c>
      <c r="F143">
        <v>15808</v>
      </c>
    </row>
    <row r="144" spans="1:8" x14ac:dyDescent="0.2">
      <c r="A144" s="93">
        <v>38030</v>
      </c>
      <c r="B144">
        <v>28</v>
      </c>
      <c r="C144" t="s">
        <v>100</v>
      </c>
      <c r="D144" s="92">
        <v>176159.1</v>
      </c>
      <c r="E144" s="92">
        <v>6291.3959999999997</v>
      </c>
      <c r="F144">
        <v>19016.87</v>
      </c>
    </row>
    <row r="145" spans="1:6" x14ac:dyDescent="0.2">
      <c r="A145" s="93">
        <v>38002</v>
      </c>
      <c r="B145">
        <v>35</v>
      </c>
      <c r="C145" t="s">
        <v>100</v>
      </c>
      <c r="D145" s="92">
        <v>207708.79999999999</v>
      </c>
      <c r="E145" s="92">
        <v>5934.5370000000003</v>
      </c>
      <c r="F145">
        <v>16945.38</v>
      </c>
    </row>
    <row r="146" spans="1:6" x14ac:dyDescent="0.2">
      <c r="A146" s="93">
        <v>37967</v>
      </c>
      <c r="B146">
        <v>28</v>
      </c>
      <c r="C146" t="s">
        <v>100</v>
      </c>
      <c r="D146" s="92">
        <v>149554</v>
      </c>
      <c r="E146" s="92">
        <v>5341.2139999999999</v>
      </c>
      <c r="F146">
        <v>13028.8</v>
      </c>
    </row>
    <row r="147" spans="1:6" x14ac:dyDescent="0.2">
      <c r="A147" s="93">
        <v>37939</v>
      </c>
      <c r="B147">
        <v>29</v>
      </c>
      <c r="C147" t="s">
        <v>100</v>
      </c>
      <c r="D147" s="92">
        <v>119506.1</v>
      </c>
      <c r="E147" s="92">
        <v>4120.8999999999996</v>
      </c>
      <c r="F147">
        <v>12010.42</v>
      </c>
    </row>
    <row r="148" spans="1:6" x14ac:dyDescent="0.2">
      <c r="A148" s="93">
        <v>37910</v>
      </c>
      <c r="B148">
        <v>10</v>
      </c>
      <c r="C148" t="s">
        <v>105</v>
      </c>
      <c r="D148" s="92">
        <v>26472</v>
      </c>
      <c r="E148" s="92">
        <v>2647.2</v>
      </c>
      <c r="F148">
        <v>4983.95</v>
      </c>
    </row>
    <row r="149" spans="1:6" x14ac:dyDescent="0.2">
      <c r="A149" s="93">
        <v>37900</v>
      </c>
      <c r="B149">
        <v>20</v>
      </c>
      <c r="C149" t="s">
        <v>102</v>
      </c>
      <c r="D149" s="92">
        <v>63998.6</v>
      </c>
      <c r="E149" s="92">
        <v>3199.93</v>
      </c>
      <c r="F149">
        <v>-14045.52</v>
      </c>
    </row>
    <row r="150" spans="1:6" x14ac:dyDescent="0.2">
      <c r="A150" s="93">
        <v>37880</v>
      </c>
      <c r="B150">
        <v>34</v>
      </c>
      <c r="C150" t="s">
        <v>100</v>
      </c>
      <c r="D150" s="92">
        <v>151269.6</v>
      </c>
      <c r="E150" s="92">
        <v>4449.1059999999998</v>
      </c>
      <c r="F150">
        <v>14445.48</v>
      </c>
    </row>
    <row r="151" spans="1:6" x14ac:dyDescent="0.2">
      <c r="A151" s="93">
        <v>37846</v>
      </c>
      <c r="B151">
        <v>28</v>
      </c>
      <c r="C151" t="s">
        <v>100</v>
      </c>
      <c r="D151" s="92">
        <v>1572553.7</v>
      </c>
      <c r="E151" s="92">
        <v>56162.631999999998</v>
      </c>
      <c r="F151">
        <v>-31176.86</v>
      </c>
    </row>
    <row r="152" spans="1:6" x14ac:dyDescent="0.2">
      <c r="A152" s="93">
        <v>37818</v>
      </c>
      <c r="B152">
        <v>30</v>
      </c>
      <c r="C152" t="s">
        <v>100</v>
      </c>
      <c r="D152" s="92">
        <v>1471464.1</v>
      </c>
      <c r="E152" s="92">
        <v>49048.803</v>
      </c>
      <c r="F152">
        <v>110442.58</v>
      </c>
    </row>
    <row r="153" spans="1:6" x14ac:dyDescent="0.2">
      <c r="A153" s="93">
        <v>37788</v>
      </c>
      <c r="B153">
        <v>31</v>
      </c>
      <c r="C153" t="s">
        <v>100</v>
      </c>
      <c r="D153" s="92">
        <v>1805795.6</v>
      </c>
      <c r="E153" s="92">
        <v>58251.470999999998</v>
      </c>
      <c r="F153">
        <v>114978.3</v>
      </c>
    </row>
    <row r="154" spans="1:6" x14ac:dyDescent="0.2">
      <c r="A154" s="93">
        <v>37757</v>
      </c>
      <c r="B154">
        <v>31</v>
      </c>
      <c r="C154" t="s">
        <v>100</v>
      </c>
      <c r="D154" s="92">
        <v>2009272.4</v>
      </c>
      <c r="E154" s="92">
        <v>64815.239000000001</v>
      </c>
      <c r="F154">
        <v>-16729.8</v>
      </c>
    </row>
    <row r="155" spans="1:6" x14ac:dyDescent="0.2">
      <c r="A155" s="93">
        <v>37726</v>
      </c>
      <c r="B155">
        <v>32</v>
      </c>
      <c r="C155" t="s">
        <v>100</v>
      </c>
      <c r="D155" s="92">
        <v>1681159.3</v>
      </c>
      <c r="E155" s="92">
        <v>52536.228000000003</v>
      </c>
      <c r="F155">
        <v>159031.79</v>
      </c>
    </row>
    <row r="156" spans="1:6" x14ac:dyDescent="0.2">
      <c r="A156" s="93">
        <v>37694</v>
      </c>
      <c r="B156">
        <v>28</v>
      </c>
      <c r="C156" t="s">
        <v>100</v>
      </c>
      <c r="D156" s="92">
        <v>1656612.52</v>
      </c>
      <c r="E156" s="92">
        <v>59164.733</v>
      </c>
      <c r="F156">
        <v>224773.16</v>
      </c>
    </row>
    <row r="157" spans="1:6" x14ac:dyDescent="0.2">
      <c r="A157" s="93">
        <v>37666</v>
      </c>
      <c r="B157">
        <v>30</v>
      </c>
      <c r="C157" t="s">
        <v>100</v>
      </c>
      <c r="D157" s="92">
        <v>2366701.7999999998</v>
      </c>
      <c r="E157" s="92">
        <v>78890.06</v>
      </c>
      <c r="F157">
        <v>239408.67</v>
      </c>
    </row>
    <row r="158" spans="1:6" x14ac:dyDescent="0.2">
      <c r="A158" s="93">
        <v>37636</v>
      </c>
      <c r="B158">
        <v>33</v>
      </c>
      <c r="C158" t="s">
        <v>100</v>
      </c>
      <c r="D158" s="92">
        <v>1526764.5</v>
      </c>
      <c r="E158" s="92">
        <v>46265.591</v>
      </c>
      <c r="F158">
        <v>122567.54</v>
      </c>
    </row>
    <row r="159" spans="1:6" x14ac:dyDescent="0.2">
      <c r="A159" s="93">
        <v>37603</v>
      </c>
      <c r="B159">
        <v>28</v>
      </c>
      <c r="C159" t="s">
        <v>100</v>
      </c>
      <c r="D159" s="92">
        <v>2260165</v>
      </c>
      <c r="E159" s="92">
        <v>80720.179000000004</v>
      </c>
      <c r="F159">
        <v>195118.79</v>
      </c>
    </row>
    <row r="160" spans="1:6" x14ac:dyDescent="0.2">
      <c r="A160" s="93">
        <v>37575</v>
      </c>
      <c r="B160">
        <v>28</v>
      </c>
      <c r="C160" t="s">
        <v>100</v>
      </c>
      <c r="D160" s="92">
        <v>1469186.1</v>
      </c>
      <c r="E160" s="92">
        <v>52470.932000000001</v>
      </c>
      <c r="F160">
        <v>122128.39</v>
      </c>
    </row>
    <row r="161" spans="1:6" x14ac:dyDescent="0.2">
      <c r="A161" s="93">
        <v>37547</v>
      </c>
      <c r="B161">
        <v>28</v>
      </c>
      <c r="C161" t="s">
        <v>100</v>
      </c>
      <c r="D161" s="92">
        <v>1608884.5</v>
      </c>
      <c r="E161" s="92">
        <v>57460.161</v>
      </c>
      <c r="F161">
        <v>129308.81</v>
      </c>
    </row>
    <row r="162" spans="1:6" x14ac:dyDescent="0.2">
      <c r="A162" s="93">
        <v>37519</v>
      </c>
      <c r="B162">
        <v>31</v>
      </c>
      <c r="C162" t="s">
        <v>100</v>
      </c>
      <c r="D162" s="92">
        <v>2041254.9</v>
      </c>
      <c r="E162" s="92">
        <v>65846.932000000001</v>
      </c>
      <c r="F162">
        <v>205351.66</v>
      </c>
    </row>
    <row r="163" spans="1:6" x14ac:dyDescent="0.2">
      <c r="A163" s="93">
        <v>37488</v>
      </c>
      <c r="B163">
        <v>20</v>
      </c>
      <c r="C163" t="s">
        <v>100</v>
      </c>
      <c r="D163" s="92">
        <v>1442278.1</v>
      </c>
      <c r="E163" s="92">
        <v>72113.904999999999</v>
      </c>
      <c r="F163">
        <v>148735.54</v>
      </c>
    </row>
    <row r="164" spans="1:6" x14ac:dyDescent="0.2">
      <c r="A164" s="93">
        <v>37468</v>
      </c>
      <c r="B164">
        <v>31</v>
      </c>
      <c r="C164" t="s">
        <v>100</v>
      </c>
      <c r="D164" s="92">
        <v>2044065.7</v>
      </c>
      <c r="E164" s="92">
        <v>65937.603000000003</v>
      </c>
      <c r="F164">
        <v>171370.38</v>
      </c>
    </row>
    <row r="165" spans="1:6" x14ac:dyDescent="0.2">
      <c r="A165" s="93">
        <v>37437</v>
      </c>
      <c r="B165">
        <v>30</v>
      </c>
      <c r="C165" t="s">
        <v>100</v>
      </c>
      <c r="D165" s="92">
        <v>2126642.6</v>
      </c>
      <c r="E165" s="92">
        <v>70888.087</v>
      </c>
      <c r="F165">
        <v>127743.69</v>
      </c>
    </row>
    <row r="166" spans="1:6" x14ac:dyDescent="0.2">
      <c r="A166" s="93">
        <v>37407</v>
      </c>
      <c r="B166">
        <v>31</v>
      </c>
      <c r="C166" t="s">
        <v>100</v>
      </c>
      <c r="D166" s="92">
        <v>2206935.1</v>
      </c>
      <c r="E166" s="92">
        <v>71191.455000000002</v>
      </c>
      <c r="F166">
        <v>117193.14</v>
      </c>
    </row>
    <row r="167" spans="1:6" x14ac:dyDescent="0.2">
      <c r="A167" s="93">
        <v>37376</v>
      </c>
      <c r="B167">
        <v>29</v>
      </c>
      <c r="C167" t="s">
        <v>100</v>
      </c>
      <c r="D167" s="92">
        <v>2178836</v>
      </c>
      <c r="E167" s="92">
        <v>75132.275999999998</v>
      </c>
      <c r="F167">
        <v>139237.92000000001</v>
      </c>
    </row>
    <row r="168" spans="1:6" x14ac:dyDescent="0.2">
      <c r="A168" s="93">
        <v>37346</v>
      </c>
      <c r="B168">
        <v>31</v>
      </c>
      <c r="C168" t="s">
        <v>100</v>
      </c>
      <c r="D168" s="92">
        <v>2383084.1</v>
      </c>
      <c r="E168" s="92">
        <v>76873.680999999997</v>
      </c>
      <c r="F168">
        <v>186884.4</v>
      </c>
    </row>
    <row r="169" spans="1:6" x14ac:dyDescent="0.2">
      <c r="A169" s="93">
        <v>37315</v>
      </c>
      <c r="B169">
        <v>28</v>
      </c>
      <c r="C169" t="s">
        <v>100</v>
      </c>
      <c r="D169" s="92">
        <v>2145406.1</v>
      </c>
      <c r="E169" s="92">
        <v>76621.645999999993</v>
      </c>
      <c r="F169">
        <v>174549.24</v>
      </c>
    </row>
    <row r="170" spans="1:6" x14ac:dyDescent="0.2">
      <c r="A170" s="93">
        <v>37287</v>
      </c>
      <c r="B170">
        <v>30</v>
      </c>
      <c r="C170" t="s">
        <v>100</v>
      </c>
      <c r="D170" s="92">
        <v>1818495</v>
      </c>
      <c r="E170" s="92">
        <v>60616.5</v>
      </c>
      <c r="F170">
        <v>157869.24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Exibit 3 Tables</vt:lpstr>
      <vt:lpstr>Summary</vt:lpstr>
      <vt:lpstr>Purchased Power Model </vt:lpstr>
      <vt:lpstr>Purchased Power Model  WN</vt:lpstr>
      <vt:lpstr>Rate Class Energy Model</vt:lpstr>
      <vt:lpstr>Rate Class Customer Model</vt:lpstr>
      <vt:lpstr>Rate Class Load Model</vt:lpstr>
      <vt:lpstr>Weather Analysis</vt:lpstr>
      <vt:lpstr>Intermediate</vt:lpstr>
      <vt:lpstr>m</vt:lpstr>
      <vt:lpstr>'Purchased Power Model '!Print_Area</vt:lpstr>
      <vt:lpstr>'Purchased Power Model  WN'!Print_Area</vt:lpstr>
      <vt:lpstr>'Rate Class Customer Model'!Print_Area</vt:lpstr>
      <vt:lpstr>'Rate Class Energy Model'!Print_Area</vt:lpstr>
      <vt:lpstr>'Rate Class Load Model'!Print_Area</vt:lpstr>
    </vt:vector>
  </TitlesOfParts>
  <Company>London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Jennifer Wiens</cp:lastModifiedBy>
  <cp:lastPrinted>2016-08-14T20:05:06Z</cp:lastPrinted>
  <dcterms:created xsi:type="dcterms:W3CDTF">2008-02-06T18:24:44Z</dcterms:created>
  <dcterms:modified xsi:type="dcterms:W3CDTF">2017-04-06T17:13:01Z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