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150" windowWidth="6660" windowHeight="4650" activeTab="4"/>
  </bookViews>
  <sheets>
    <sheet name="Data-170208" sheetId="4" r:id="rId1"/>
    <sheet name="Notes" sheetId="2" r:id="rId2"/>
    <sheet name="CBR_RR-170213" sheetId="3" r:id="rId3"/>
    <sheet name="CBR_RR-170228" sheetId="6" r:id="rId4"/>
    <sheet name="CBR_Summary" sheetId="7" r:id="rId5"/>
  </sheets>
  <externalReferences>
    <externalReference r:id="rId6"/>
    <externalReference r:id="rId7"/>
  </externalReferences>
  <calcPr calcId="145621" iterateDelta="252"/>
</workbook>
</file>

<file path=xl/calcChain.xml><?xml version="1.0" encoding="utf-8"?>
<calcChain xmlns="http://schemas.openxmlformats.org/spreadsheetml/2006/main">
  <c r="G19" i="7" l="1"/>
  <c r="G17" i="7"/>
  <c r="G16" i="7"/>
  <c r="G13" i="7"/>
  <c r="E10" i="7"/>
  <c r="E13" i="7" s="1"/>
  <c r="D10" i="7"/>
  <c r="E12" i="7"/>
  <c r="D12" i="7"/>
  <c r="D11" i="7"/>
  <c r="D9" i="7"/>
  <c r="D8" i="7"/>
  <c r="D13" i="7" l="1"/>
  <c r="F12" i="7" s="1"/>
  <c r="G12" i="7" s="1"/>
  <c r="H12" i="7" s="1"/>
  <c r="I77" i="6"/>
  <c r="H77" i="6"/>
  <c r="G77" i="6"/>
  <c r="F77" i="6"/>
  <c r="E77" i="6"/>
  <c r="D77" i="6"/>
  <c r="B105" i="6"/>
  <c r="B108" i="6" s="1"/>
  <c r="B104" i="6"/>
  <c r="B107" i="6" s="1"/>
  <c r="D102" i="6"/>
  <c r="D101" i="6"/>
  <c r="G90" i="6"/>
  <c r="F89" i="6"/>
  <c r="H87" i="6"/>
  <c r="G87" i="6"/>
  <c r="F87" i="6"/>
  <c r="F90" i="6" s="1"/>
  <c r="E87" i="6"/>
  <c r="E90" i="6" s="1"/>
  <c r="D87" i="6"/>
  <c r="D90" i="6" s="1"/>
  <c r="I76" i="6"/>
  <c r="E72" i="6"/>
  <c r="D72" i="6"/>
  <c r="B68" i="6"/>
  <c r="F59" i="6"/>
  <c r="E59" i="6"/>
  <c r="C59" i="6"/>
  <c r="F58" i="6"/>
  <c r="F60" i="6" s="1"/>
  <c r="E58" i="6"/>
  <c r="E60" i="6" s="1"/>
  <c r="C58" i="6"/>
  <c r="B52" i="6"/>
  <c r="B47" i="6"/>
  <c r="D43" i="6"/>
  <c r="B43" i="6"/>
  <c r="B48" i="6" s="1"/>
  <c r="B53" i="6" s="1"/>
  <c r="B42" i="6"/>
  <c r="D41" i="6"/>
  <c r="F37" i="6"/>
  <c r="E37" i="6"/>
  <c r="D37" i="6"/>
  <c r="C37" i="6"/>
  <c r="F36" i="6"/>
  <c r="E36" i="6"/>
  <c r="D36" i="6"/>
  <c r="C36" i="6"/>
  <c r="E35" i="6"/>
  <c r="D35" i="6"/>
  <c r="C35" i="6"/>
  <c r="F34" i="6"/>
  <c r="F35" i="6" s="1"/>
  <c r="E34" i="6"/>
  <c r="D34" i="6"/>
  <c r="F33" i="6"/>
  <c r="E33" i="6"/>
  <c r="D33" i="6"/>
  <c r="C33" i="6"/>
  <c r="F32" i="6"/>
  <c r="E32" i="6"/>
  <c r="D32" i="6"/>
  <c r="C32" i="6"/>
  <c r="G27" i="6"/>
  <c r="F27" i="6"/>
  <c r="E27" i="6"/>
  <c r="D27" i="6"/>
  <c r="C27" i="6"/>
  <c r="F26" i="6"/>
  <c r="E26" i="6"/>
  <c r="D26" i="6"/>
  <c r="G26" i="6" s="1"/>
  <c r="C26" i="6"/>
  <c r="D25" i="6"/>
  <c r="C25" i="6"/>
  <c r="F24" i="6"/>
  <c r="F25" i="6" s="1"/>
  <c r="E24" i="6"/>
  <c r="E25" i="6" s="1"/>
  <c r="D24" i="6"/>
  <c r="D42" i="6" s="1"/>
  <c r="C24" i="6"/>
  <c r="F23" i="6"/>
  <c r="E23" i="6"/>
  <c r="D23" i="6"/>
  <c r="D28" i="6" s="1"/>
  <c r="C23" i="6"/>
  <c r="G23" i="6" s="1"/>
  <c r="F22" i="6"/>
  <c r="E22" i="6"/>
  <c r="D22" i="6"/>
  <c r="C22" i="6"/>
  <c r="G22" i="6" s="1"/>
  <c r="F16" i="6"/>
  <c r="E16" i="6"/>
  <c r="D16" i="6"/>
  <c r="D60" i="6" s="1"/>
  <c r="C16" i="6"/>
  <c r="C60" i="6" s="1"/>
  <c r="E10" i="6"/>
  <c r="D10" i="6"/>
  <c r="C10" i="6"/>
  <c r="B10" i="6"/>
  <c r="B60" i="6" s="1"/>
  <c r="D9" i="6"/>
  <c r="H60" i="6" s="1"/>
  <c r="C9" i="6"/>
  <c r="E9" i="6" s="1"/>
  <c r="B9" i="6"/>
  <c r="B59" i="6" s="1"/>
  <c r="E8" i="6"/>
  <c r="D8" i="6"/>
  <c r="C8" i="6"/>
  <c r="B8" i="6"/>
  <c r="B58" i="6" s="1"/>
  <c r="B69" i="6" s="1"/>
  <c r="D7" i="6"/>
  <c r="C7" i="6"/>
  <c r="E7" i="6" s="1"/>
  <c r="B7" i="6"/>
  <c r="A3" i="6"/>
  <c r="A2" i="6"/>
  <c r="A1" i="6"/>
  <c r="F10" i="7" l="1"/>
  <c r="G10" i="7" s="1"/>
  <c r="H10" i="7" s="1"/>
  <c r="F8" i="7"/>
  <c r="F9" i="7"/>
  <c r="G9" i="7" s="1"/>
  <c r="H9" i="7" s="1"/>
  <c r="F11" i="7"/>
  <c r="G11" i="7" s="1"/>
  <c r="H11" i="7" s="1"/>
  <c r="B70" i="6"/>
  <c r="B63" i="6"/>
  <c r="G60" i="6"/>
  <c r="I60" i="6" s="1"/>
  <c r="C68" i="6" s="1"/>
  <c r="G25" i="6"/>
  <c r="E28" i="6"/>
  <c r="D44" i="6"/>
  <c r="D48" i="6" s="1"/>
  <c r="D53" i="6" s="1"/>
  <c r="D59" i="6" s="1"/>
  <c r="G59" i="6" s="1"/>
  <c r="D47" i="6"/>
  <c r="F28" i="6"/>
  <c r="C28" i="6"/>
  <c r="G28" i="6" s="1"/>
  <c r="D64" i="6" s="1"/>
  <c r="G24" i="6"/>
  <c r="H90" i="6"/>
  <c r="D115" i="3"/>
  <c r="C115" i="3"/>
  <c r="B115" i="3"/>
  <c r="C112" i="3"/>
  <c r="D112" i="3"/>
  <c r="B112" i="3"/>
  <c r="F13" i="7" l="1"/>
  <c r="G8" i="7"/>
  <c r="H8" i="7" s="1"/>
  <c r="H59" i="6"/>
  <c r="I59" i="6" s="1"/>
  <c r="D52" i="6"/>
  <c r="D49" i="6"/>
  <c r="E115" i="3"/>
  <c r="E112" i="3"/>
  <c r="B108" i="3"/>
  <c r="B107" i="3"/>
  <c r="B105" i="3"/>
  <c r="B104" i="3"/>
  <c r="D102" i="3"/>
  <c r="D101" i="3"/>
  <c r="C70" i="6" l="1"/>
  <c r="D63" i="6"/>
  <c r="D65" i="6" s="1"/>
  <c r="D54" i="6"/>
  <c r="D58" i="6"/>
  <c r="G58" i="6" s="1"/>
  <c r="F89" i="3"/>
  <c r="H87" i="3"/>
  <c r="G87" i="3"/>
  <c r="E87" i="3"/>
  <c r="D87" i="3"/>
  <c r="F87" i="3"/>
  <c r="F90" i="3" s="1"/>
  <c r="G80" i="6" l="1"/>
  <c r="G81" i="6"/>
  <c r="H82" i="6"/>
  <c r="H80" i="6"/>
  <c r="E91" i="6"/>
  <c r="F91" i="6"/>
  <c r="D91" i="6"/>
  <c r="G91" i="6"/>
  <c r="H91" i="6"/>
  <c r="F82" i="6"/>
  <c r="F80" i="6"/>
  <c r="E80" i="6"/>
  <c r="E81" i="6"/>
  <c r="H58" i="6"/>
  <c r="I58" i="6" s="1"/>
  <c r="C69" i="6" s="1"/>
  <c r="D80" i="6"/>
  <c r="J77" i="6"/>
  <c r="D81" i="6"/>
  <c r="G90" i="3"/>
  <c r="H90" i="3"/>
  <c r="D90" i="3"/>
  <c r="E90" i="3"/>
  <c r="D73" i="6" l="1"/>
  <c r="E73" i="6"/>
  <c r="D93" i="6"/>
  <c r="D92" i="6"/>
  <c r="E93" i="6"/>
  <c r="E92" i="6"/>
  <c r="C104" i="6"/>
  <c r="C105" i="6"/>
  <c r="B111" i="6"/>
  <c r="G93" i="6"/>
  <c r="G92" i="6"/>
  <c r="F92" i="6"/>
  <c r="D115" i="6"/>
  <c r="D112" i="6"/>
  <c r="D114" i="6"/>
  <c r="D111" i="6"/>
  <c r="F94" i="6"/>
  <c r="H92" i="6"/>
  <c r="H94" i="6"/>
  <c r="H96" i="6" s="1"/>
  <c r="H97" i="6" s="1"/>
  <c r="I76" i="3"/>
  <c r="C108" i="6" l="1"/>
  <c r="C107" i="6"/>
  <c r="B114" i="6"/>
  <c r="D108" i="6"/>
  <c r="D105" i="6"/>
  <c r="E105" i="6" s="1"/>
  <c r="E104" i="6"/>
  <c r="B112" i="6"/>
  <c r="C112" i="6" s="1"/>
  <c r="E112" i="6" s="1"/>
  <c r="C111" i="6"/>
  <c r="E111" i="6" s="1"/>
  <c r="F96" i="6"/>
  <c r="F97" i="6" s="1"/>
  <c r="I73" i="6"/>
  <c r="J73" i="6" s="1"/>
  <c r="D107" i="6"/>
  <c r="D104" i="6"/>
  <c r="E72" i="3"/>
  <c r="D72" i="3"/>
  <c r="B115" i="6" l="1"/>
  <c r="C115" i="6" s="1"/>
  <c r="E115" i="6" s="1"/>
  <c r="C114" i="6"/>
  <c r="E114" i="6" s="1"/>
  <c r="E107" i="6"/>
  <c r="E108" i="6"/>
  <c r="B68" i="3"/>
  <c r="C24" i="3"/>
  <c r="C25" i="3" s="1"/>
  <c r="F27" i="3" l="1"/>
  <c r="E27" i="3"/>
  <c r="D27" i="3"/>
  <c r="C27" i="3"/>
  <c r="F26" i="3"/>
  <c r="E26" i="3"/>
  <c r="D26" i="3"/>
  <c r="C26" i="3"/>
  <c r="F23" i="3"/>
  <c r="E23" i="3"/>
  <c r="D23" i="3"/>
  <c r="C23" i="3"/>
  <c r="F22" i="3"/>
  <c r="E22" i="3"/>
  <c r="D22" i="3"/>
  <c r="C22" i="3"/>
  <c r="F37" i="3" l="1"/>
  <c r="E37" i="3"/>
  <c r="D37" i="3"/>
  <c r="C37" i="3"/>
  <c r="F36" i="3"/>
  <c r="E36" i="3"/>
  <c r="D36" i="3"/>
  <c r="C36" i="3"/>
  <c r="C35" i="3"/>
  <c r="F34" i="3"/>
  <c r="F35" i="3" s="1"/>
  <c r="E34" i="3"/>
  <c r="E35" i="3" s="1"/>
  <c r="D34" i="3"/>
  <c r="D35" i="3" s="1"/>
  <c r="F33" i="3"/>
  <c r="E33" i="3"/>
  <c r="D33" i="3"/>
  <c r="C33" i="3"/>
  <c r="F32" i="3"/>
  <c r="E32" i="3"/>
  <c r="D32" i="3"/>
  <c r="C32" i="3"/>
  <c r="F59" i="3" l="1"/>
  <c r="E59" i="3"/>
  <c r="F58" i="3"/>
  <c r="F60" i="3" s="1"/>
  <c r="E58" i="3"/>
  <c r="E60" i="3" s="1"/>
  <c r="C59" i="3"/>
  <c r="C58" i="3"/>
  <c r="D41" i="3"/>
  <c r="B43" i="3"/>
  <c r="B48" i="3" s="1"/>
  <c r="B53" i="3" s="1"/>
  <c r="B42" i="3"/>
  <c r="B47" i="3" s="1"/>
  <c r="B52" i="3" s="1"/>
  <c r="D24" i="3"/>
  <c r="C16" i="3"/>
  <c r="C60" i="3" s="1"/>
  <c r="D16" i="3"/>
  <c r="D60" i="3" s="1"/>
  <c r="E16" i="3"/>
  <c r="F16" i="3"/>
  <c r="G22" i="3"/>
  <c r="G23" i="3"/>
  <c r="G26" i="3"/>
  <c r="G27" i="3"/>
  <c r="C28" i="3"/>
  <c r="F24" i="3"/>
  <c r="F25" i="3" s="1"/>
  <c r="E24" i="3"/>
  <c r="E25" i="3" s="1"/>
  <c r="D10" i="3"/>
  <c r="C10" i="3"/>
  <c r="E10" i="3" s="1"/>
  <c r="D9" i="3"/>
  <c r="C9" i="3"/>
  <c r="D8" i="3"/>
  <c r="C8" i="3"/>
  <c r="D7" i="3"/>
  <c r="C7" i="3"/>
  <c r="B10" i="3"/>
  <c r="B60" i="3" s="1"/>
  <c r="B9" i="3"/>
  <c r="B59" i="3" s="1"/>
  <c r="B8" i="3"/>
  <c r="B58" i="3" s="1"/>
  <c r="B69" i="3" s="1"/>
  <c r="B7" i="3"/>
  <c r="A3" i="3"/>
  <c r="A2" i="3"/>
  <c r="A1" i="3"/>
  <c r="G60" i="3" l="1"/>
  <c r="B63" i="3"/>
  <c r="B70" i="3"/>
  <c r="H60" i="3"/>
  <c r="I60" i="3" s="1"/>
  <c r="C68" i="3" s="1"/>
  <c r="D25" i="3"/>
  <c r="D43" i="3" s="1"/>
  <c r="D42" i="3"/>
  <c r="E8" i="3"/>
  <c r="E7" i="3"/>
  <c r="E9" i="3"/>
  <c r="F28" i="3"/>
  <c r="G24" i="3"/>
  <c r="D28" i="3" l="1"/>
  <c r="D44" i="3"/>
  <c r="D48" i="3" s="1"/>
  <c r="D53" i="3" s="1"/>
  <c r="D59" i="3" s="1"/>
  <c r="G59" i="3" s="1"/>
  <c r="H59" i="3" s="1"/>
  <c r="I59" i="3" s="1"/>
  <c r="G25" i="3"/>
  <c r="E28" i="3"/>
  <c r="G28" i="3" s="1"/>
  <c r="D64" i="3" s="1"/>
  <c r="A2" i="2"/>
  <c r="A1" i="2"/>
  <c r="E77" i="3" l="1"/>
  <c r="D77" i="3"/>
  <c r="H77" i="3"/>
  <c r="G77" i="3"/>
  <c r="F77" i="3"/>
  <c r="D63" i="3"/>
  <c r="D65" i="3" s="1"/>
  <c r="C70" i="3"/>
  <c r="D47" i="3"/>
  <c r="D49" i="3" s="1"/>
  <c r="R27" i="4"/>
  <c r="Q27" i="4"/>
  <c r="R21" i="4"/>
  <c r="Q21" i="4"/>
  <c r="D10" i="4"/>
  <c r="H10" i="4"/>
  <c r="G10" i="4"/>
  <c r="J10" i="4"/>
  <c r="L10" i="4" s="1"/>
  <c r="E9" i="4"/>
  <c r="E8" i="4"/>
  <c r="E7" i="4"/>
  <c r="E10" i="4" s="1"/>
  <c r="K10" i="4"/>
  <c r="J9" i="4"/>
  <c r="L9" i="4" s="1"/>
  <c r="O9" i="4" s="1"/>
  <c r="J8" i="4"/>
  <c r="J7" i="4"/>
  <c r="F91" i="3" l="1"/>
  <c r="E91" i="3"/>
  <c r="D91" i="3"/>
  <c r="G91" i="3"/>
  <c r="H91" i="3"/>
  <c r="I77" i="3"/>
  <c r="J77" i="3" s="1"/>
  <c r="D80" i="3"/>
  <c r="D81" i="3"/>
  <c r="F82" i="3"/>
  <c r="F80" i="3"/>
  <c r="G81" i="3"/>
  <c r="G80" i="3"/>
  <c r="H82" i="3"/>
  <c r="H80" i="3"/>
  <c r="E80" i="3"/>
  <c r="E81" i="3"/>
  <c r="D52" i="3"/>
  <c r="D58" i="3" s="1"/>
  <c r="G58" i="3" s="1"/>
  <c r="D54" i="3"/>
  <c r="Q9" i="4"/>
  <c r="L7" i="4"/>
  <c r="O7" i="4" s="1"/>
  <c r="L8" i="4"/>
  <c r="O8" i="4" s="1"/>
  <c r="Q8" i="4" s="1"/>
  <c r="B26" i="4"/>
  <c r="C10" i="4"/>
  <c r="C15" i="4"/>
  <c r="N10" i="4"/>
  <c r="M10" i="4"/>
  <c r="I10" i="4"/>
  <c r="Q25" i="4"/>
  <c r="Q24" i="4"/>
  <c r="B111" i="3" l="1"/>
  <c r="C111" i="3" s="1"/>
  <c r="E111" i="3" s="1"/>
  <c r="C105" i="3"/>
  <c r="C104" i="3"/>
  <c r="D111" i="3"/>
  <c r="D114" i="3"/>
  <c r="G93" i="3"/>
  <c r="G92" i="3"/>
  <c r="H94" i="3"/>
  <c r="H96" i="3" s="1"/>
  <c r="H97" i="3" s="1"/>
  <c r="H92" i="3"/>
  <c r="D92" i="3"/>
  <c r="D93" i="3"/>
  <c r="E92" i="3"/>
  <c r="E93" i="3"/>
  <c r="F92" i="3"/>
  <c r="F94" i="3"/>
  <c r="H58" i="3"/>
  <c r="I58" i="3" s="1"/>
  <c r="C69" i="3" s="1"/>
  <c r="O10" i="4"/>
  <c r="Q10" i="4" s="1"/>
  <c r="Q7" i="4"/>
  <c r="R20" i="4" s="1"/>
  <c r="R25" i="4"/>
  <c r="Q19" i="4"/>
  <c r="R24" i="4"/>
  <c r="Q26" i="4"/>
  <c r="R19" i="4"/>
  <c r="Q20" i="4"/>
  <c r="F96" i="3" l="1"/>
  <c r="F97" i="3" s="1"/>
  <c r="B114" i="3"/>
  <c r="C114" i="3" s="1"/>
  <c r="E114" i="3" s="1"/>
  <c r="C108" i="3"/>
  <c r="C107" i="3"/>
  <c r="D73" i="3"/>
  <c r="E73" i="3"/>
  <c r="R26" i="4"/>
  <c r="D108" i="3" l="1"/>
  <c r="E108" i="3" s="1"/>
  <c r="D105" i="3"/>
  <c r="E105" i="3" s="1"/>
  <c r="D104" i="3"/>
  <c r="E104" i="3" s="1"/>
  <c r="D107" i="3"/>
  <c r="E107" i="3" s="1"/>
  <c r="I73" i="3"/>
  <c r="J73" i="3" s="1"/>
</calcChain>
</file>

<file path=xl/sharedStrings.xml><?xml version="1.0" encoding="utf-8"?>
<sst xmlns="http://schemas.openxmlformats.org/spreadsheetml/2006/main" count="322" uniqueCount="137">
  <si>
    <t>BHI</t>
  </si>
  <si>
    <t>Rate Rider working papers</t>
  </si>
  <si>
    <t>Account</t>
  </si>
  <si>
    <t>1580-WMS</t>
  </si>
  <si>
    <t>1580-CBR A</t>
  </si>
  <si>
    <t>1580 - CBR B</t>
  </si>
  <si>
    <t>Total</t>
  </si>
  <si>
    <t>as at 151231</t>
  </si>
  <si>
    <t>kWh</t>
  </si>
  <si>
    <t>All Customers</t>
  </si>
  <si>
    <t>Class A</t>
  </si>
  <si>
    <t>Class B</t>
  </si>
  <si>
    <t>Rate Rider</t>
  </si>
  <si>
    <t>Scenario A</t>
  </si>
  <si>
    <t>Universal Rate Rider</t>
  </si>
  <si>
    <t>CBR</t>
  </si>
  <si>
    <t>Scenario B</t>
  </si>
  <si>
    <t>Unique Rate Riders</t>
  </si>
  <si>
    <t>CBR - A</t>
  </si>
  <si>
    <t>CBR - B</t>
  </si>
  <si>
    <t>Rounded</t>
  </si>
  <si>
    <t>Unrounded</t>
  </si>
  <si>
    <t>DATA</t>
  </si>
  <si>
    <t>ANALYSIS</t>
  </si>
  <si>
    <t>WMSC</t>
  </si>
  <si>
    <t>OEB Authorized Disposition 2015</t>
  </si>
  <si>
    <t>OEB Authorized Disposition 2016</t>
  </si>
  <si>
    <t>150101-151231</t>
  </si>
  <si>
    <t>Balance O/S 151231; Open Bal 160101</t>
  </si>
  <si>
    <t>160101-161231</t>
  </si>
  <si>
    <t>170101 - 170430</t>
  </si>
  <si>
    <t>Disposition in 2016</t>
  </si>
  <si>
    <t>as at 161231</t>
  </si>
  <si>
    <t>Balance O/S 161231; Open Bal 170101</t>
  </si>
  <si>
    <t>Balances Eligible for Disposition</t>
  </si>
  <si>
    <t>1580 Consolidated</t>
  </si>
  <si>
    <t>Documentation</t>
  </si>
  <si>
    <t>Purpose</t>
  </si>
  <si>
    <t>CBR - Class A</t>
  </si>
  <si>
    <t>CBR - Class B</t>
  </si>
  <si>
    <t>WMSC, excluding CRB - Class A and CBR - Class B</t>
  </si>
  <si>
    <t>Data</t>
  </si>
  <si>
    <t xml:space="preserve">Carrying Charges are computed per Board policy. </t>
  </si>
  <si>
    <t xml:space="preserve">OEB approved Carrying Charge rate is applied to eligible closing balance of the prior month. </t>
  </si>
  <si>
    <t>Principal balances are supported by BHI's General Ledger.</t>
  </si>
  <si>
    <t>CBR - Class A is the amount invoiced by the IESO in 2015.</t>
  </si>
  <si>
    <t>CBR - Class B is the amount invoiced by the IESO in 2015.</t>
  </si>
  <si>
    <t>Worksheet "Data-170208" computes volumetric rate riders that dispose of:</t>
  </si>
  <si>
    <t>Methodology</t>
  </si>
  <si>
    <t>Variable Rate Riders are calculated by dividing the balance eligible for disposition by annual kWh.</t>
  </si>
  <si>
    <t>Balance O/S141231; Open bal 150101</t>
  </si>
  <si>
    <t>Carrying Charges for Disposition through RR</t>
  </si>
  <si>
    <t>Rate Riders</t>
  </si>
  <si>
    <t>Principal ($)</t>
  </si>
  <si>
    <t>Carrying Charges ($)</t>
  </si>
  <si>
    <t xml:space="preserve"> </t>
  </si>
  <si>
    <t>that dispose of CBR - Class B $ to Class B customers</t>
  </si>
  <si>
    <t>that dispose of all other WMSC $ to all customers</t>
  </si>
  <si>
    <t>that dispose of the CBR - Class A $ to Class A customers</t>
  </si>
  <si>
    <t xml:space="preserve">Scenario B estimates the Rate Riders </t>
  </si>
  <si>
    <t>CBR - Class A kWh and CBR - Class B kWh are 2015 Actual annual consumption.</t>
  </si>
  <si>
    <t>Scenario A estimates the Rate Riders applicable to all customers that dispose of CBR and all other WMSC</t>
  </si>
  <si>
    <t>To avoid over-recovery of CBR from Class A customers the CBR rate rider will need to be terminated prior to the end of the 2017 rate year.</t>
  </si>
  <si>
    <t xml:space="preserve">NOTE: charging this Rate Rider reveals confidential customer information </t>
  </si>
  <si>
    <t>Carrying Charges are computed using the simple interest methodology.</t>
  </si>
  <si>
    <t>Amounts for disposition</t>
  </si>
  <si>
    <t>Principal</t>
  </si>
  <si>
    <t>CC</t>
  </si>
  <si>
    <t>Q1</t>
  </si>
  <si>
    <t>Q2</t>
  </si>
  <si>
    <t>Q3</t>
  </si>
  <si>
    <t>Q4</t>
  </si>
  <si>
    <t>R</t>
  </si>
  <si>
    <t>&lt;50</t>
  </si>
  <si>
    <t>&gt;50 A</t>
  </si>
  <si>
    <t>&gt;50 B</t>
  </si>
  <si>
    <t>USL</t>
  </si>
  <si>
    <t>SL</t>
  </si>
  <si>
    <t>GS&gt;50 RR</t>
  </si>
  <si>
    <t>cumulative balance, at end of period</t>
  </si>
  <si>
    <t>CBR $</t>
  </si>
  <si>
    <t>Allocator Data: kWh</t>
  </si>
  <si>
    <t>Allocation factor</t>
  </si>
  <si>
    <t>Allocated $</t>
  </si>
  <si>
    <t>CBR - B Q2</t>
  </si>
  <si>
    <t>Allocated Amounts for Disposition</t>
  </si>
  <si>
    <t>Total Principal</t>
  </si>
  <si>
    <t>Disposition $</t>
  </si>
  <si>
    <t>Derivation of RR</t>
  </si>
  <si>
    <t>$</t>
  </si>
  <si>
    <t>RR</t>
  </si>
  <si>
    <t xml:space="preserve">prorated </t>
  </si>
  <si>
    <t>kwh</t>
  </si>
  <si>
    <t>Alterntate RR Design for kWh kW</t>
  </si>
  <si>
    <t>Allocators</t>
  </si>
  <si>
    <t>PDF</t>
  </si>
  <si>
    <t>kWh %</t>
  </si>
  <si>
    <t>&gt;50</t>
  </si>
  <si>
    <t>Check</t>
  </si>
  <si>
    <t>$/kWh</t>
  </si>
  <si>
    <t xml:space="preserve">$/kW </t>
  </si>
  <si>
    <t>Charge Parameter per 2017 Rate generator</t>
  </si>
  <si>
    <t>kWh - unadjusted</t>
  </si>
  <si>
    <t>kWh - Adjusted</t>
  </si>
  <si>
    <t>kW - Unadjusted</t>
  </si>
  <si>
    <t>kW - adjusted</t>
  </si>
  <si>
    <t>kWh - Adjusted Allocator</t>
  </si>
  <si>
    <t>Allocated CBR B $</t>
  </si>
  <si>
    <t>Impact</t>
  </si>
  <si>
    <t>Unbilled, LTLT included in December deliveries</t>
  </si>
  <si>
    <t>CBR Allocated to specific customer</t>
  </si>
  <si>
    <t>Restated kWh, kW that excludes Class A customer charge parameters</t>
  </si>
  <si>
    <t>Derivation of Allocated Balance</t>
  </si>
  <si>
    <t>Class A Recoveries</t>
  </si>
  <si>
    <t>Cust 1</t>
  </si>
  <si>
    <t>Cust 2</t>
  </si>
  <si>
    <t>kW</t>
  </si>
  <si>
    <t>Case 1</t>
  </si>
  <si>
    <t>at public RR</t>
  </si>
  <si>
    <t>Case 2</t>
  </si>
  <si>
    <t>at confid RR</t>
  </si>
  <si>
    <t>Difference</t>
  </si>
  <si>
    <t>Class B recoveries</t>
  </si>
  <si>
    <t>Variance Wholesale Market Services - Sub-account CBR Class B</t>
  </si>
  <si>
    <t>Unit</t>
  </si>
  <si>
    <t>Total Metered kWh less WMP consumption</t>
  </si>
  <si>
    <t>Total Metered kW less WMP consumption</t>
  </si>
  <si>
    <t>% of  Total kWh adjusted for WMP</t>
  </si>
  <si>
    <t>1580 Class B</t>
  </si>
  <si>
    <t xml:space="preserve">RESIDENTIAL </t>
  </si>
  <si>
    <t xml:space="preserve">GENERAL SERVICE LESS THAN 50 kW </t>
  </si>
  <si>
    <t xml:space="preserve">GENERAL SERVICE 50 to 4,999 kW </t>
  </si>
  <si>
    <t xml:space="preserve">UNMETERED SCATTERED LOAD </t>
  </si>
  <si>
    <t xml:space="preserve">STREET LIGHTING </t>
  </si>
  <si>
    <t>Class A - Customer A</t>
  </si>
  <si>
    <t>Class A - Customer B</t>
  </si>
  <si>
    <t xml:space="preserve">Total CBR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</si>
</sst>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* #,##0.00_);_(* \(#,##0.00\);_(* &quot;-&quot;??_);_(@_)"/>
    <numFmt numFmtId="165" formatCode="_(* #,##0_);_(* \(#,##0\);_(* &quot;-&quot;??_);_(@_)"/>
    <numFmt numFmtId="166" formatCode="_(* #,##0.0000000_);_(* \(#,##0.0000000\);_(* &quot;-&quot;??_);_(@_)"/>
    <numFmt numFmtId="167" formatCode="0.0%"/>
    <numFmt numFmtId="168" formatCode="_ #,##0;[Red]\(#,##0\)"/>
    <numFmt numFmtId="169" formatCode="#,##0;[Red]\(#,##0\)"/>
    <numFmt numFmtId="170" formatCode="_-* #,##0_-;\-* #,##0_-;_-* &quot;-&quot;??_-;_-@_-"/>
    <numFmt numFmtId="171" formatCode="_-* #,##0.0000_-;\-* #,##0.00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</cellStyleXfs>
  <cellXfs count="61">
    <xf numFmtId="0" fontId="0" fillId="0" borderId="0" xfId="0"/>
    <xf numFmtId="164" fontId="0" fillId="0" borderId="0" xfId="1" applyFont="1"/>
    <xf numFmtId="165" fontId="0" fillId="0" borderId="0" xfId="1" applyNumberFormat="1" applyFont="1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/>
    <xf numFmtId="166" fontId="0" fillId="0" borderId="0" xfId="0" applyNumberFormat="1"/>
    <xf numFmtId="0" fontId="0" fillId="0" borderId="4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5" xfId="0" applyBorder="1" applyAlignment="1">
      <alignment wrapText="1"/>
    </xf>
    <xf numFmtId="164" fontId="0" fillId="0" borderId="4" xfId="1" applyFont="1" applyBorder="1"/>
    <xf numFmtId="164" fontId="0" fillId="0" borderId="0" xfId="1" applyFont="1" applyBorder="1"/>
    <xf numFmtId="164" fontId="0" fillId="0" borderId="5" xfId="1" applyFont="1" applyBorder="1"/>
    <xf numFmtId="164" fontId="0" fillId="0" borderId="6" xfId="1" applyFont="1" applyBorder="1"/>
    <xf numFmtId="164" fontId="0" fillId="0" borderId="7" xfId="1" applyFont="1" applyBorder="1"/>
    <xf numFmtId="164" fontId="0" fillId="0" borderId="8" xfId="1" applyFont="1" applyBorder="1"/>
    <xf numFmtId="0" fontId="0" fillId="0" borderId="9" xfId="0" applyBorder="1"/>
    <xf numFmtId="0" fontId="0" fillId="0" borderId="10" xfId="0" applyBorder="1" applyAlignment="1">
      <alignment wrapText="1"/>
    </xf>
    <xf numFmtId="164" fontId="0" fillId="0" borderId="10" xfId="1" applyFont="1" applyBorder="1"/>
    <xf numFmtId="164" fontId="0" fillId="0" borderId="11" xfId="1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2" fillId="0" borderId="0" xfId="0" applyFont="1" applyAlignment="1">
      <alignment horizontal="right"/>
    </xf>
    <xf numFmtId="0" fontId="2" fillId="0" borderId="0" xfId="0" applyFont="1"/>
    <xf numFmtId="0" fontId="0" fillId="0" borderId="0" xfId="0" applyFill="1"/>
    <xf numFmtId="167" fontId="0" fillId="0" borderId="0" xfId="2" applyNumberFormat="1" applyFont="1" applyProtection="1"/>
    <xf numFmtId="167" fontId="0" fillId="0" borderId="0" xfId="2" applyNumberFormat="1" applyFont="1" applyBorder="1" applyProtection="1"/>
    <xf numFmtId="168" fontId="0" fillId="0" borderId="0" xfId="0" applyNumberFormat="1" applyAlignment="1" applyProtection="1">
      <alignment horizontal="right" vertical="top"/>
    </xf>
    <xf numFmtId="168" fontId="0" fillId="0" borderId="0" xfId="0" applyNumberFormat="1"/>
    <xf numFmtId="10" fontId="0" fillId="0" borderId="0" xfId="2" applyNumberFormat="1" applyFont="1"/>
    <xf numFmtId="0" fontId="0" fillId="0" borderId="15" xfId="0" applyBorder="1" applyAlignment="1">
      <alignment vertical="center"/>
    </xf>
    <xf numFmtId="0" fontId="3" fillId="0" borderId="0" xfId="0" applyFont="1" applyBorder="1" applyAlignment="1" applyProtection="1">
      <alignment horizontal="center" vertical="center"/>
    </xf>
    <xf numFmtId="170" fontId="0" fillId="0" borderId="0" xfId="1" applyNumberFormat="1" applyFont="1" applyBorder="1" applyAlignment="1" applyProtection="1">
      <alignment horizontal="center" vertical="center"/>
    </xf>
    <xf numFmtId="171" fontId="3" fillId="0" borderId="17" xfId="0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170" fontId="0" fillId="0" borderId="19" xfId="1" applyNumberFormat="1" applyFont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170" fontId="0" fillId="0" borderId="21" xfId="1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9" fontId="0" fillId="0" borderId="0" xfId="2" applyFont="1" applyBorder="1" applyAlignment="1" applyProtection="1">
      <alignment vertical="center"/>
    </xf>
    <xf numFmtId="9" fontId="0" fillId="0" borderId="19" xfId="2" applyFont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165" fontId="0" fillId="0" borderId="2" xfId="1" applyNumberFormat="1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5" fillId="0" borderId="0" xfId="3" applyFont="1" applyFill="1" applyBorder="1" applyAlignment="1" applyProtection="1">
      <alignment horizontal="center" vertical="center"/>
    </xf>
    <xf numFmtId="169" fontId="5" fillId="3" borderId="16" xfId="4" applyNumberFormat="1" applyFont="1" applyFill="1" applyBorder="1" applyAlignment="1" applyProtection="1">
      <alignment horizontal="center" vertical="center" wrapText="1"/>
    </xf>
    <xf numFmtId="169" fontId="5" fillId="3" borderId="23" xfId="4" applyNumberFormat="1" applyFont="1" applyFill="1" applyBorder="1" applyAlignment="1" applyProtection="1">
      <alignment horizontal="center" vertical="center" wrapText="1"/>
    </xf>
    <xf numFmtId="0" fontId="5" fillId="0" borderId="0" xfId="5" applyFont="1" applyBorder="1" applyAlignment="1" applyProtection="1">
      <alignment horizontal="center" vertical="center" wrapText="1"/>
    </xf>
    <xf numFmtId="0" fontId="5" fillId="0" borderId="7" xfId="5" applyFont="1" applyBorder="1" applyAlignment="1" applyProtection="1">
      <alignment horizontal="center" vertical="center" wrapText="1"/>
    </xf>
    <xf numFmtId="0" fontId="5" fillId="0" borderId="17" xfId="5" applyFont="1" applyFill="1" applyBorder="1" applyAlignment="1" applyProtection="1">
      <alignment horizontal="center" vertical="center" wrapText="1"/>
    </xf>
    <xf numFmtId="0" fontId="5" fillId="0" borderId="18" xfId="5" applyFont="1" applyFill="1" applyBorder="1" applyAlignment="1" applyProtection="1">
      <alignment horizontal="center" vertical="center" wrapText="1"/>
    </xf>
  </cellXfs>
  <cellStyles count="6">
    <cellStyle name="Comma" xfId="1" builtinId="3"/>
    <cellStyle name="Normal" xfId="0" builtinId="0"/>
    <cellStyle name="Normal_6. Cost Allocation for Def-Var" xfId="4"/>
    <cellStyle name="Normal_Sheet6" xfId="5"/>
    <cellStyle name="Normal_Sheet7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rmer/Files/Applications/2017IRM/3.WorkingPapers/StaffQuestions/2017IRM-data-1702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rmer/Files/Applications/2017IRM/3.WorkingPapers/prep/2017IRM-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idential-decile-data"/>
      <sheetName val="ClassA-CustData"/>
      <sheetName val="GSgt50-data"/>
      <sheetName val="Rate Riders"/>
    </sheetNames>
    <sheetDataSet>
      <sheetData sheetId="0"/>
      <sheetData sheetId="1">
        <row r="6">
          <cell r="J6">
            <v>10246699</v>
          </cell>
        </row>
        <row r="9">
          <cell r="J9">
            <v>8822769</v>
          </cell>
        </row>
        <row r="12">
          <cell r="J12">
            <v>11128392</v>
          </cell>
        </row>
        <row r="15">
          <cell r="J15">
            <v>11035857</v>
          </cell>
        </row>
        <row r="16">
          <cell r="C16">
            <v>26804065</v>
          </cell>
          <cell r="D16">
            <v>14429652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idential-decile-data"/>
      <sheetName val="ClassA-CustData"/>
      <sheetName val="GSgt50-data"/>
      <sheetName val="Rate Riders"/>
    </sheetNames>
    <sheetDataSet>
      <sheetData sheetId="0"/>
      <sheetData sheetId="1">
        <row r="20">
          <cell r="E20">
            <v>41233717</v>
          </cell>
        </row>
        <row r="22">
          <cell r="C22">
            <v>1.6878999999999999E-4</v>
          </cell>
          <cell r="D22">
            <v>8.3789999999999996E-5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zoomScale="70" zoomScaleNormal="70" workbookViewId="0">
      <selection activeCell="A8" sqref="A8"/>
    </sheetView>
  </sheetViews>
  <sheetFormatPr defaultRowHeight="15" x14ac:dyDescent="0.25"/>
  <cols>
    <col min="2" max="2" width="12.7109375" customWidth="1"/>
    <col min="3" max="3" width="17.28515625" bestFit="1" customWidth="1"/>
    <col min="4" max="5" width="17.28515625" customWidth="1"/>
    <col min="6" max="6" width="1.28515625" customWidth="1"/>
    <col min="7" max="8" width="17.28515625" customWidth="1"/>
    <col min="9" max="9" width="14.7109375" bestFit="1" customWidth="1"/>
    <col min="10" max="12" width="14.7109375" customWidth="1"/>
    <col min="13" max="13" width="10.7109375" bestFit="1" customWidth="1"/>
    <col min="14" max="14" width="16.5703125" bestFit="1" customWidth="1"/>
    <col min="15" max="15" width="14.28515625" customWidth="1"/>
    <col min="16" max="16" width="1.140625" customWidth="1"/>
    <col min="17" max="18" width="13.28515625" bestFit="1" customWidth="1"/>
  </cols>
  <sheetData>
    <row r="1" spans="1:19" ht="14.45" x14ac:dyDescent="0.3">
      <c r="A1" t="s">
        <v>0</v>
      </c>
    </row>
    <row r="2" spans="1:19" ht="14.45" x14ac:dyDescent="0.3">
      <c r="A2">
        <v>1580</v>
      </c>
    </row>
    <row r="3" spans="1:19" ht="14.45" x14ac:dyDescent="0.3">
      <c r="A3" t="s">
        <v>1</v>
      </c>
    </row>
    <row r="4" spans="1:19" ht="14.45" x14ac:dyDescent="0.3">
      <c r="G4" s="5"/>
      <c r="H4" s="5"/>
      <c r="I4" s="5"/>
      <c r="J4" s="5"/>
      <c r="K4" s="5"/>
      <c r="L4" s="5"/>
      <c r="M4" s="5"/>
      <c r="N4" s="5"/>
      <c r="O4" s="5"/>
    </row>
    <row r="5" spans="1:19" ht="14.45" x14ac:dyDescent="0.3">
      <c r="A5" t="s">
        <v>22</v>
      </c>
      <c r="B5" t="s">
        <v>2</v>
      </c>
      <c r="C5" s="47" t="s">
        <v>53</v>
      </c>
      <c r="D5" s="48"/>
      <c r="E5" s="49"/>
      <c r="G5" s="47" t="s">
        <v>54</v>
      </c>
      <c r="H5" s="48"/>
      <c r="I5" s="48"/>
      <c r="J5" s="48"/>
      <c r="K5" s="48"/>
      <c r="L5" s="48"/>
      <c r="M5" s="48"/>
      <c r="N5" s="48"/>
      <c r="O5" s="49"/>
      <c r="Q5" s="16"/>
    </row>
    <row r="6" spans="1:19" s="4" customFormat="1" ht="43.9" customHeight="1" x14ac:dyDescent="0.3">
      <c r="C6" s="7" t="s">
        <v>7</v>
      </c>
      <c r="D6" s="8" t="s">
        <v>31</v>
      </c>
      <c r="E6" s="9" t="s">
        <v>32</v>
      </c>
      <c r="G6" s="7" t="s">
        <v>50</v>
      </c>
      <c r="H6" s="8" t="s">
        <v>25</v>
      </c>
      <c r="I6" s="8" t="s">
        <v>27</v>
      </c>
      <c r="J6" s="8" t="s">
        <v>28</v>
      </c>
      <c r="K6" s="8" t="s">
        <v>26</v>
      </c>
      <c r="L6" s="8" t="s">
        <v>33</v>
      </c>
      <c r="M6" s="8" t="s">
        <v>29</v>
      </c>
      <c r="N6" s="8" t="s">
        <v>30</v>
      </c>
      <c r="O6" s="9" t="s">
        <v>51</v>
      </c>
      <c r="Q6" s="17" t="s">
        <v>34</v>
      </c>
    </row>
    <row r="7" spans="1:19" ht="14.45" x14ac:dyDescent="0.3">
      <c r="B7" t="s">
        <v>3</v>
      </c>
      <c r="C7" s="10">
        <v>-3650162.97</v>
      </c>
      <c r="D7" s="11">
        <v>-154623</v>
      </c>
      <c r="E7" s="12">
        <f>+C7-D7</f>
        <v>-3495539.97</v>
      </c>
      <c r="F7" s="1"/>
      <c r="G7" s="10">
        <v>-27351</v>
      </c>
      <c r="H7" s="11">
        <v>-40836</v>
      </c>
      <c r="I7" s="11">
        <v>-19523.89</v>
      </c>
      <c r="J7" s="11">
        <f>+G7-H7+I7</f>
        <v>-6038.8899999999994</v>
      </c>
      <c r="K7" s="11">
        <v>11029</v>
      </c>
      <c r="L7" s="11">
        <f>+J7-K7</f>
        <v>-17067.89</v>
      </c>
      <c r="M7" s="11">
        <v>-37836.94</v>
      </c>
      <c r="N7" s="11">
        <v>-12641.4</v>
      </c>
      <c r="O7" s="12">
        <f>+L7+M7+N7</f>
        <v>-67546.23</v>
      </c>
      <c r="P7" s="1"/>
      <c r="Q7" s="18">
        <f>+O7+E7</f>
        <v>-3563086.2</v>
      </c>
      <c r="S7" s="3"/>
    </row>
    <row r="8" spans="1:19" ht="14.45" x14ac:dyDescent="0.3">
      <c r="B8" t="s">
        <v>4</v>
      </c>
      <c r="C8" s="10">
        <v>6952.4</v>
      </c>
      <c r="D8" s="11"/>
      <c r="E8" s="12">
        <f t="shared" ref="E8:E9" si="0">+C8-D8</f>
        <v>6952.4</v>
      </c>
      <c r="F8" s="1"/>
      <c r="G8" s="10"/>
      <c r="H8" s="11"/>
      <c r="I8" s="11">
        <v>18.47</v>
      </c>
      <c r="J8" s="11">
        <f t="shared" ref="J8:J9" si="1">+G8-H8+I8</f>
        <v>18.47</v>
      </c>
      <c r="K8" s="11">
        <v>0</v>
      </c>
      <c r="L8" s="11">
        <f t="shared" ref="L8:L10" si="2">+J8-K8</f>
        <v>18.47</v>
      </c>
      <c r="M8" s="11">
        <v>76.47</v>
      </c>
      <c r="N8" s="11">
        <v>25.14</v>
      </c>
      <c r="O8" s="12">
        <f t="shared" ref="O8:O9" si="3">+L8+M8+N8</f>
        <v>120.08</v>
      </c>
      <c r="P8" s="1"/>
      <c r="Q8" s="18">
        <f t="shared" ref="Q8:Q9" si="4">+O8+E8</f>
        <v>7072.48</v>
      </c>
    </row>
    <row r="9" spans="1:19" ht="14.45" x14ac:dyDescent="0.3">
      <c r="B9" t="s">
        <v>5</v>
      </c>
      <c r="C9" s="10">
        <v>450339.68</v>
      </c>
      <c r="D9" s="11"/>
      <c r="E9" s="12">
        <f t="shared" si="0"/>
        <v>450339.68</v>
      </c>
      <c r="F9" s="1"/>
      <c r="G9" s="10"/>
      <c r="H9" s="11"/>
      <c r="I9" s="11">
        <v>1514.43</v>
      </c>
      <c r="J9" s="11">
        <f t="shared" si="1"/>
        <v>1514.43</v>
      </c>
      <c r="K9" s="11">
        <v>0</v>
      </c>
      <c r="L9" s="11">
        <f t="shared" si="2"/>
        <v>1514.43</v>
      </c>
      <c r="M9" s="11">
        <v>4953.74</v>
      </c>
      <c r="N9" s="11">
        <v>1628.63</v>
      </c>
      <c r="O9" s="12">
        <f t="shared" si="3"/>
        <v>8096.8</v>
      </c>
      <c r="P9" s="1"/>
      <c r="Q9" s="18">
        <f t="shared" si="4"/>
        <v>458436.48</v>
      </c>
      <c r="S9" s="3"/>
    </row>
    <row r="10" spans="1:19" ht="14.45" x14ac:dyDescent="0.3">
      <c r="B10" t="s">
        <v>6</v>
      </c>
      <c r="C10" s="13">
        <f>SUM(C7:C9)</f>
        <v>-3192870.89</v>
      </c>
      <c r="D10" s="14">
        <f>SUM(D7:D9)</f>
        <v>-154623</v>
      </c>
      <c r="E10" s="15">
        <f>SUM(E7:E9)</f>
        <v>-3038247.89</v>
      </c>
      <c r="F10" s="1"/>
      <c r="G10" s="13">
        <f t="shared" ref="G10:H10" si="5">SUM(G7:G9)</f>
        <v>-27351</v>
      </c>
      <c r="H10" s="14">
        <f t="shared" si="5"/>
        <v>-40836</v>
      </c>
      <c r="I10" s="14">
        <f>SUM(I7:I9)</f>
        <v>-17990.989999999998</v>
      </c>
      <c r="J10" s="14">
        <f>SUM(J7:J9)</f>
        <v>-4505.9899999999989</v>
      </c>
      <c r="K10" s="14">
        <f>SUM(K7:K9)</f>
        <v>11029</v>
      </c>
      <c r="L10" s="14">
        <f t="shared" si="2"/>
        <v>-15534.989999999998</v>
      </c>
      <c r="M10" s="14">
        <f>SUM(M7:M9)</f>
        <v>-32806.730000000003</v>
      </c>
      <c r="N10" s="14">
        <f>SUM(N7:N9)</f>
        <v>-10987.630000000001</v>
      </c>
      <c r="O10" s="15">
        <f>SUM(O7:O9)</f>
        <v>-59329.349999999991</v>
      </c>
      <c r="P10" s="1"/>
      <c r="Q10" s="19">
        <f>+O10+E10</f>
        <v>-3097577.24</v>
      </c>
      <c r="S10" s="3"/>
    </row>
    <row r="12" spans="1:19" ht="14.45" x14ac:dyDescent="0.3">
      <c r="B12" t="s">
        <v>8</v>
      </c>
    </row>
    <row r="13" spans="1:19" ht="14.45" x14ac:dyDescent="0.3">
      <c r="B13" t="s">
        <v>9</v>
      </c>
      <c r="C13" s="2">
        <v>1612515137</v>
      </c>
      <c r="D13" s="2"/>
      <c r="E13" s="2"/>
      <c r="F13" s="2"/>
      <c r="G13" s="2"/>
      <c r="H13" s="2"/>
    </row>
    <row r="14" spans="1:19" ht="14.45" x14ac:dyDescent="0.3">
      <c r="B14" t="s">
        <v>10</v>
      </c>
      <c r="C14" s="2">
        <v>41233717</v>
      </c>
      <c r="D14" s="2"/>
      <c r="E14" s="2"/>
      <c r="F14" s="2"/>
      <c r="G14" s="2"/>
      <c r="H14" s="2"/>
      <c r="I14" s="6"/>
      <c r="N14" s="6"/>
    </row>
    <row r="15" spans="1:19" ht="14.45" x14ac:dyDescent="0.3">
      <c r="B15" t="s">
        <v>11</v>
      </c>
      <c r="C15" s="2">
        <f>+C13-C14</f>
        <v>1571281420</v>
      </c>
      <c r="D15" s="2"/>
      <c r="E15" s="2"/>
      <c r="F15" s="2"/>
      <c r="G15" s="2"/>
      <c r="H15" s="2"/>
      <c r="I15" s="6"/>
      <c r="N15" s="6"/>
    </row>
    <row r="16" spans="1:19" ht="14.45" x14ac:dyDescent="0.3">
      <c r="C16" s="2"/>
      <c r="D16" s="2"/>
      <c r="E16" s="2"/>
      <c r="F16" s="2"/>
      <c r="G16" s="2"/>
      <c r="H16" s="2"/>
    </row>
    <row r="17" spans="1:18" ht="14.45" x14ac:dyDescent="0.3">
      <c r="A17" t="s">
        <v>23</v>
      </c>
      <c r="B17" t="s">
        <v>12</v>
      </c>
      <c r="Q17" s="47" t="s">
        <v>52</v>
      </c>
      <c r="R17" s="49"/>
    </row>
    <row r="18" spans="1:18" ht="14.45" x14ac:dyDescent="0.3">
      <c r="B18" t="s">
        <v>13</v>
      </c>
      <c r="C18" t="s">
        <v>14</v>
      </c>
      <c r="Q18" s="20" t="s">
        <v>20</v>
      </c>
      <c r="R18" s="21" t="s">
        <v>21</v>
      </c>
    </row>
    <row r="19" spans="1:18" ht="14.45" x14ac:dyDescent="0.3">
      <c r="B19" t="s">
        <v>15</v>
      </c>
      <c r="Q19" s="20">
        <f>ROUND(+SUM(Q8:Q9)/$C$13,4)</f>
        <v>2.9999999999999997E-4</v>
      </c>
      <c r="R19" s="21">
        <f>(+SUM(Q8:Q9)/$C$13)</f>
        <v>2.8868501716272567E-4</v>
      </c>
    </row>
    <row r="20" spans="1:18" ht="14.45" x14ac:dyDescent="0.3">
      <c r="B20" t="s">
        <v>24</v>
      </c>
      <c r="Q20" s="20">
        <f>ROUND(+$Q$7/$C$13,4)</f>
        <v>-2.2000000000000001E-3</v>
      </c>
      <c r="R20" s="21">
        <f>(+$Q$7/$C$13)</f>
        <v>-2.2096451178926207E-3</v>
      </c>
    </row>
    <row r="21" spans="1:18" ht="14.45" x14ac:dyDescent="0.3">
      <c r="B21" t="s">
        <v>35</v>
      </c>
      <c r="Q21" s="20">
        <f>ROUND(+$Q$10/$C$13,4)</f>
        <v>-1.9E-3</v>
      </c>
      <c r="R21" s="21">
        <f>+$Q$10/$C$13</f>
        <v>-1.9209601007298949E-3</v>
      </c>
    </row>
    <row r="22" spans="1:18" ht="14.45" x14ac:dyDescent="0.3">
      <c r="Q22" s="20"/>
      <c r="R22" s="21"/>
    </row>
    <row r="23" spans="1:18" ht="14.45" x14ac:dyDescent="0.3">
      <c r="B23" t="s">
        <v>16</v>
      </c>
      <c r="C23" t="s">
        <v>17</v>
      </c>
      <c r="Q23" s="20"/>
      <c r="R23" s="21"/>
    </row>
    <row r="24" spans="1:18" ht="14.45" x14ac:dyDescent="0.3">
      <c r="B24" t="s">
        <v>18</v>
      </c>
      <c r="Q24" s="20">
        <f>ROUND(+Q8/$C$14,4)</f>
        <v>2.0000000000000001E-4</v>
      </c>
      <c r="R24" s="21">
        <f>(+Q8/$C$14)</f>
        <v>1.7152176700441533E-4</v>
      </c>
    </row>
    <row r="25" spans="1:18" ht="14.45" x14ac:dyDescent="0.3">
      <c r="B25" t="s">
        <v>19</v>
      </c>
      <c r="Q25" s="20">
        <f>ROUND(+Q9/$C$15,4)</f>
        <v>2.9999999999999997E-4</v>
      </c>
      <c r="R25" s="21">
        <f>(+Q9/$C$15)</f>
        <v>2.917596263564295E-4</v>
      </c>
    </row>
    <row r="26" spans="1:18" ht="14.45" x14ac:dyDescent="0.3">
      <c r="B26" t="str">
        <f>+B20</f>
        <v>WMSC</v>
      </c>
      <c r="Q26" s="20">
        <f>ROUND(+$Q$7/$C$13,4)</f>
        <v>-2.2000000000000001E-3</v>
      </c>
      <c r="R26" s="21">
        <f>(+$Q$7/$C$13)</f>
        <v>-2.2096451178926207E-3</v>
      </c>
    </row>
    <row r="27" spans="1:18" ht="14.45" x14ac:dyDescent="0.3">
      <c r="B27" t="s">
        <v>35</v>
      </c>
      <c r="Q27" s="22">
        <f>ROUND(+$Q$10/$C$13,4)</f>
        <v>-1.9E-3</v>
      </c>
      <c r="R27" s="23">
        <f>(+$Q$10/$C$13)</f>
        <v>-1.9209601007298949E-3</v>
      </c>
    </row>
    <row r="28" spans="1:18" ht="14.45" x14ac:dyDescent="0.3">
      <c r="O28" s="3"/>
    </row>
    <row r="29" spans="1:18" ht="14.45" x14ac:dyDescent="0.3">
      <c r="O29" s="3"/>
    </row>
  </sheetData>
  <mergeCells count="3">
    <mergeCell ref="C5:E5"/>
    <mergeCell ref="G5:O5"/>
    <mergeCell ref="Q17:R17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J10" sqref="J10"/>
    </sheetView>
  </sheetViews>
  <sheetFormatPr defaultRowHeight="15" x14ac:dyDescent="0.25"/>
  <cols>
    <col min="2" max="2" width="11.85546875" style="24" bestFit="1" customWidth="1"/>
  </cols>
  <sheetData>
    <row r="1" spans="1:4" x14ac:dyDescent="0.3">
      <c r="A1" t="str">
        <f>+'Data-170208'!A1</f>
        <v>BHI</v>
      </c>
    </row>
    <row r="2" spans="1:4" x14ac:dyDescent="0.3">
      <c r="A2">
        <f>+'Data-170208'!A2</f>
        <v>1580</v>
      </c>
    </row>
    <row r="3" spans="1:4" x14ac:dyDescent="0.3">
      <c r="A3" t="s">
        <v>36</v>
      </c>
    </row>
    <row r="5" spans="1:4" x14ac:dyDescent="0.3">
      <c r="B5" s="24" t="s">
        <v>37</v>
      </c>
      <c r="C5" t="s">
        <v>47</v>
      </c>
    </row>
    <row r="6" spans="1:4" x14ac:dyDescent="0.3">
      <c r="D6" t="s">
        <v>38</v>
      </c>
    </row>
    <row r="7" spans="1:4" x14ac:dyDescent="0.3">
      <c r="D7" t="s">
        <v>39</v>
      </c>
    </row>
    <row r="8" spans="1:4" x14ac:dyDescent="0.3">
      <c r="D8" t="s">
        <v>40</v>
      </c>
    </row>
    <row r="10" spans="1:4" x14ac:dyDescent="0.3">
      <c r="B10" s="24" t="s">
        <v>41</v>
      </c>
      <c r="C10" t="s">
        <v>44</v>
      </c>
    </row>
    <row r="11" spans="1:4" x14ac:dyDescent="0.3">
      <c r="C11" t="s">
        <v>45</v>
      </c>
    </row>
    <row r="12" spans="1:4" x14ac:dyDescent="0.3">
      <c r="C12" t="s">
        <v>46</v>
      </c>
    </row>
    <row r="13" spans="1:4" x14ac:dyDescent="0.3">
      <c r="C13" t="s">
        <v>42</v>
      </c>
    </row>
    <row r="14" spans="1:4" x14ac:dyDescent="0.3">
      <c r="D14" t="s">
        <v>43</v>
      </c>
    </row>
    <row r="15" spans="1:4" x14ac:dyDescent="0.3">
      <c r="D15" t="s">
        <v>64</v>
      </c>
    </row>
    <row r="16" spans="1:4" x14ac:dyDescent="0.3">
      <c r="C16" t="s">
        <v>60</v>
      </c>
    </row>
    <row r="18" spans="2:5" x14ac:dyDescent="0.3">
      <c r="B18" s="24" t="s">
        <v>48</v>
      </c>
      <c r="C18" t="s">
        <v>49</v>
      </c>
    </row>
    <row r="19" spans="2:5" x14ac:dyDescent="0.3">
      <c r="C19" t="s">
        <v>61</v>
      </c>
    </row>
    <row r="20" spans="2:5" x14ac:dyDescent="0.3">
      <c r="D20" t="s">
        <v>62</v>
      </c>
    </row>
    <row r="21" spans="2:5" x14ac:dyDescent="0.3">
      <c r="C21" t="s">
        <v>59</v>
      </c>
    </row>
    <row r="22" spans="2:5" x14ac:dyDescent="0.3">
      <c r="D22" t="s">
        <v>58</v>
      </c>
    </row>
    <row r="23" spans="2:5" x14ac:dyDescent="0.3">
      <c r="E23" s="25" t="s">
        <v>63</v>
      </c>
    </row>
    <row r="24" spans="2:5" x14ac:dyDescent="0.3">
      <c r="C24" t="s">
        <v>55</v>
      </c>
      <c r="D24" t="s">
        <v>56</v>
      </c>
    </row>
    <row r="25" spans="2:5" x14ac:dyDescent="0.3">
      <c r="D25" t="s">
        <v>57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"/>
  <sheetViews>
    <sheetView topLeftCell="A59" workbookViewId="0">
      <selection activeCell="J93" sqref="J93"/>
    </sheetView>
  </sheetViews>
  <sheetFormatPr defaultRowHeight="15" x14ac:dyDescent="0.25"/>
  <cols>
    <col min="1" max="1" width="10.28515625" customWidth="1"/>
    <col min="2" max="2" width="12.85546875" customWidth="1"/>
    <col min="3" max="3" width="13.28515625" bestFit="1" customWidth="1"/>
    <col min="4" max="4" width="11.140625" bestFit="1" customWidth="1"/>
    <col min="5" max="5" width="13.28515625" bestFit="1" customWidth="1"/>
    <col min="6" max="6" width="11.140625" bestFit="1" customWidth="1"/>
    <col min="7" max="7" width="11" bestFit="1" customWidth="1"/>
    <col min="8" max="8" width="9.140625" bestFit="1" customWidth="1"/>
    <col min="9" max="9" width="11.42578125" bestFit="1" customWidth="1"/>
  </cols>
  <sheetData>
    <row r="1" spans="1:6" ht="14.45" x14ac:dyDescent="0.3">
      <c r="A1" t="str">
        <f>+'Data-170208'!A1</f>
        <v>BHI</v>
      </c>
    </row>
    <row r="2" spans="1:6" ht="14.45" x14ac:dyDescent="0.3">
      <c r="A2">
        <f>+'Data-170208'!A2</f>
        <v>1580</v>
      </c>
    </row>
    <row r="3" spans="1:6" ht="14.45" x14ac:dyDescent="0.3">
      <c r="A3" t="str">
        <f>+'Data-170208'!A3</f>
        <v>Rate Rider working papers</v>
      </c>
    </row>
    <row r="5" spans="1:6" ht="14.45" x14ac:dyDescent="0.3">
      <c r="B5" t="s">
        <v>65</v>
      </c>
    </row>
    <row r="6" spans="1:6" ht="14.45" x14ac:dyDescent="0.3">
      <c r="C6" t="s">
        <v>66</v>
      </c>
      <c r="D6" t="s">
        <v>67</v>
      </c>
      <c r="E6" t="s">
        <v>6</v>
      </c>
    </row>
    <row r="7" spans="1:6" ht="14.45" x14ac:dyDescent="0.3">
      <c r="B7" t="str">
        <f>+'Data-170208'!B7</f>
        <v>1580-WMS</v>
      </c>
      <c r="C7" s="3">
        <f>+'Data-170208'!E7</f>
        <v>-3495539.97</v>
      </c>
      <c r="D7" s="3">
        <f>+'Data-170208'!O7</f>
        <v>-67546.23</v>
      </c>
      <c r="E7" s="3">
        <f>SUM(C7:D7)</f>
        <v>-3563086.2</v>
      </c>
    </row>
    <row r="8" spans="1:6" ht="14.45" x14ac:dyDescent="0.3">
      <c r="B8" t="str">
        <f>+'Data-170208'!B8</f>
        <v>1580-CBR A</v>
      </c>
      <c r="C8" s="3">
        <f>+'Data-170208'!E8</f>
        <v>6952.4</v>
      </c>
      <c r="D8" s="3">
        <f>+'Data-170208'!O8</f>
        <v>120.08</v>
      </c>
      <c r="E8" s="3">
        <f t="shared" ref="E8:E10" si="0">SUM(C8:D8)</f>
        <v>7072.48</v>
      </c>
    </row>
    <row r="9" spans="1:6" ht="14.45" x14ac:dyDescent="0.3">
      <c r="B9" t="str">
        <f>+'Data-170208'!B9</f>
        <v>1580 - CBR B</v>
      </c>
      <c r="C9" s="3">
        <f>+'Data-170208'!E9</f>
        <v>450339.68</v>
      </c>
      <c r="D9" s="3">
        <f>+'Data-170208'!O9</f>
        <v>8096.8</v>
      </c>
      <c r="E9" s="3">
        <f t="shared" si="0"/>
        <v>458436.48</v>
      </c>
    </row>
    <row r="10" spans="1:6" ht="14.45" x14ac:dyDescent="0.3">
      <c r="B10" t="str">
        <f>+'Data-170208'!B10</f>
        <v>Total</v>
      </c>
      <c r="C10" s="3">
        <f>+'Data-170208'!E10</f>
        <v>-3038247.89</v>
      </c>
      <c r="D10" s="3">
        <f>+'Data-170208'!O10</f>
        <v>-59329.349999999991</v>
      </c>
      <c r="E10" s="3">
        <f t="shared" si="0"/>
        <v>-3097577.24</v>
      </c>
    </row>
    <row r="11" spans="1:6" ht="14.45" x14ac:dyDescent="0.3">
      <c r="C11" s="3"/>
      <c r="D11" s="3"/>
      <c r="E11" s="3"/>
    </row>
    <row r="12" spans="1:6" ht="14.45" x14ac:dyDescent="0.3">
      <c r="B12" t="s">
        <v>80</v>
      </c>
      <c r="C12" s="3" t="s">
        <v>79</v>
      </c>
      <c r="D12" s="3"/>
      <c r="E12" s="3"/>
    </row>
    <row r="13" spans="1:6" ht="14.45" x14ac:dyDescent="0.3">
      <c r="C13" t="s">
        <v>68</v>
      </c>
      <c r="D13" t="s">
        <v>69</v>
      </c>
      <c r="E13" t="s">
        <v>70</v>
      </c>
      <c r="F13" t="s">
        <v>71</v>
      </c>
    </row>
    <row r="14" spans="1:6" ht="14.45" x14ac:dyDescent="0.3">
      <c r="B14" t="s">
        <v>18</v>
      </c>
      <c r="C14" s="3">
        <v>0</v>
      </c>
      <c r="D14" s="3">
        <v>0</v>
      </c>
      <c r="E14" s="3">
        <v>4068.62</v>
      </c>
      <c r="F14" s="3">
        <v>6952.4</v>
      </c>
    </row>
    <row r="15" spans="1:6" ht="14.45" x14ac:dyDescent="0.3">
      <c r="B15" t="s">
        <v>19</v>
      </c>
      <c r="C15" s="3">
        <v>0</v>
      </c>
      <c r="D15" s="3">
        <v>85166.78</v>
      </c>
      <c r="E15" s="3">
        <v>307968.26</v>
      </c>
      <c r="F15" s="3">
        <v>450339.68</v>
      </c>
    </row>
    <row r="16" spans="1:6" ht="14.45" x14ac:dyDescent="0.3">
      <c r="B16" t="s">
        <v>6</v>
      </c>
      <c r="C16" s="3">
        <f>SUM(C14:C15)</f>
        <v>0</v>
      </c>
      <c r="D16" s="3">
        <f>SUM(D14:D15)</f>
        <v>85166.78</v>
      </c>
      <c r="E16" s="3">
        <f>SUM(E14:E15)</f>
        <v>312036.88</v>
      </c>
      <c r="F16" s="3">
        <f>SUM(F14:F15)</f>
        <v>457292.08</v>
      </c>
    </row>
    <row r="17" spans="2:7" ht="14.45" x14ac:dyDescent="0.3">
      <c r="C17" s="3"/>
      <c r="D17" s="3"/>
      <c r="E17" s="3"/>
    </row>
    <row r="18" spans="2:7" ht="14.45" x14ac:dyDescent="0.3">
      <c r="C18" s="3"/>
      <c r="D18" s="3"/>
      <c r="E18" s="3"/>
    </row>
    <row r="20" spans="2:7" ht="14.45" x14ac:dyDescent="0.3">
      <c r="B20" t="s">
        <v>8</v>
      </c>
      <c r="C20" t="s">
        <v>92</v>
      </c>
      <c r="D20" t="s">
        <v>109</v>
      </c>
    </row>
    <row r="21" spans="2:7" ht="14.45" x14ac:dyDescent="0.3">
      <c r="C21" t="s">
        <v>68</v>
      </c>
      <c r="D21" t="s">
        <v>69</v>
      </c>
      <c r="E21" t="s">
        <v>70</v>
      </c>
      <c r="F21" t="s">
        <v>71</v>
      </c>
      <c r="G21" t="s">
        <v>6</v>
      </c>
    </row>
    <row r="22" spans="2:7" ht="14.45" x14ac:dyDescent="0.3">
      <c r="B22" t="s">
        <v>72</v>
      </c>
      <c r="C22">
        <f>40971544+46601354+51645366</f>
        <v>139218264</v>
      </c>
      <c r="D22">
        <f>42276549+41036566+35002729</f>
        <v>118315844</v>
      </c>
      <c r="E22">
        <f>40744212+44812757+62216850</f>
        <v>147773819</v>
      </c>
      <c r="F22">
        <f>48794226+48188462+33854980+69793051-75386283-1121408-4</f>
        <v>124123024</v>
      </c>
      <c r="G22">
        <f t="shared" ref="G22:G28" si="1">SUM(C22:F22)</f>
        <v>529430951</v>
      </c>
    </row>
    <row r="23" spans="2:7" ht="14.45" x14ac:dyDescent="0.3">
      <c r="B23" t="s">
        <v>73</v>
      </c>
      <c r="C23">
        <f>14143672+107230+16862626+128199+15121604+121482</f>
        <v>46484813</v>
      </c>
      <c r="D23">
        <f>14263961+111456+13632495+94789+12377187+90022</f>
        <v>40569910</v>
      </c>
      <c r="E23">
        <f>13259924+86041+15368437+94882+14972389+92189</f>
        <v>43873862</v>
      </c>
      <c r="F23">
        <f>13972796+95687+12745343+90101+12114066+87180+16467854-17809622-308450+19</f>
        <v>37454974</v>
      </c>
      <c r="G23">
        <f t="shared" si="1"/>
        <v>168383559</v>
      </c>
    </row>
    <row r="24" spans="2:7" ht="14.45" x14ac:dyDescent="0.3">
      <c r="B24" t="s">
        <v>74</v>
      </c>
      <c r="C24" s="26">
        <f>+'[1]ClassA-CustData'!$J$6</f>
        <v>10246699</v>
      </c>
      <c r="D24">
        <f>+'[1]ClassA-CustData'!$J$9</f>
        <v>8822769</v>
      </c>
      <c r="E24">
        <f>+'[1]ClassA-CustData'!$J$12</f>
        <v>11128392</v>
      </c>
      <c r="F24">
        <f>+'[1]ClassA-CustData'!$J$15</f>
        <v>11035857</v>
      </c>
      <c r="G24">
        <f t="shared" si="1"/>
        <v>41233717</v>
      </c>
    </row>
    <row r="25" spans="2:7" ht="14.45" x14ac:dyDescent="0.3">
      <c r="B25" t="s">
        <v>75</v>
      </c>
      <c r="C25">
        <f>73292230+80723417+75154879-C24</f>
        <v>218923827</v>
      </c>
      <c r="D25">
        <f>76306457+69807114+72285180-D24</f>
        <v>209575982</v>
      </c>
      <c r="E25">
        <f>75117015+82348798+79822617-E24</f>
        <v>226160038</v>
      </c>
      <c r="F25">
        <f>78016936+71987643+69763227-F24+20391225+54539577-22392255-54359182-1004533+10</f>
        <v>205906791</v>
      </c>
      <c r="G25">
        <f t="shared" si="1"/>
        <v>860566638</v>
      </c>
    </row>
    <row r="26" spans="2:7" ht="14.45" x14ac:dyDescent="0.3">
      <c r="B26" t="s">
        <v>76</v>
      </c>
      <c r="C26">
        <f>260385+256953+256953</f>
        <v>774291</v>
      </c>
      <c r="D26">
        <f>256953+257189+257189</f>
        <v>771331</v>
      </c>
      <c r="E26">
        <f>276010+257472+257472</f>
        <v>790954</v>
      </c>
      <c r="F26">
        <f>257884+257550+257550+260791-261129-18179</f>
        <v>754467</v>
      </c>
      <c r="G26">
        <f t="shared" si="1"/>
        <v>3091043</v>
      </c>
    </row>
    <row r="27" spans="2:7" ht="14.45" x14ac:dyDescent="0.3">
      <c r="B27" t="s">
        <v>77</v>
      </c>
      <c r="C27">
        <f>1069849+1044334+870881</f>
        <v>2985064</v>
      </c>
      <c r="D27">
        <f>859430+729128+663766</f>
        <v>2252324</v>
      </c>
      <c r="E27">
        <f>598519+642785+793875</f>
        <v>2035179</v>
      </c>
      <c r="F27">
        <f>727207+930478+988948+1069418-1069850</f>
        <v>2646201</v>
      </c>
      <c r="G27">
        <f t="shared" si="1"/>
        <v>9918768</v>
      </c>
    </row>
    <row r="28" spans="2:7" ht="14.45" x14ac:dyDescent="0.3">
      <c r="B28" t="s">
        <v>6</v>
      </c>
      <c r="C28">
        <f>SUM(C22:C27)</f>
        <v>418632958</v>
      </c>
      <c r="D28">
        <f>SUM(D22:D27)</f>
        <v>380308160</v>
      </c>
      <c r="E28">
        <f>SUM(E22:E27)</f>
        <v>431762244</v>
      </c>
      <c r="F28">
        <f>SUM(F22:F27)</f>
        <v>381921314</v>
      </c>
      <c r="G28">
        <f t="shared" si="1"/>
        <v>1612624676</v>
      </c>
    </row>
    <row r="30" spans="2:7" ht="14.45" x14ac:dyDescent="0.3">
      <c r="B30" t="s">
        <v>8</v>
      </c>
      <c r="C30" t="s">
        <v>91</v>
      </c>
    </row>
    <row r="31" spans="2:7" ht="14.45" x14ac:dyDescent="0.3">
      <c r="C31" t="s">
        <v>68</v>
      </c>
      <c r="D31" t="s">
        <v>69</v>
      </c>
      <c r="E31" t="s">
        <v>70</v>
      </c>
      <c r="F31" t="s">
        <v>71</v>
      </c>
      <c r="G31" t="s">
        <v>6</v>
      </c>
    </row>
    <row r="32" spans="2:7" ht="14.45" x14ac:dyDescent="0.3">
      <c r="B32" t="s">
        <v>72</v>
      </c>
      <c r="C32">
        <f>529430951/4</f>
        <v>132357737.75</v>
      </c>
      <c r="D32">
        <f t="shared" ref="D32:F32" si="2">529430951/4</f>
        <v>132357737.75</v>
      </c>
      <c r="E32">
        <f t="shared" si="2"/>
        <v>132357737.75</v>
      </c>
      <c r="F32">
        <f t="shared" si="2"/>
        <v>132357737.75</v>
      </c>
      <c r="G32">
        <v>529430951</v>
      </c>
    </row>
    <row r="33" spans="1:7" ht="14.45" x14ac:dyDescent="0.3">
      <c r="B33" t="s">
        <v>73</v>
      </c>
      <c r="C33">
        <f>168383559/4</f>
        <v>42095889.75</v>
      </c>
      <c r="D33">
        <f t="shared" ref="D33:F33" si="3">168383559/4</f>
        <v>42095889.75</v>
      </c>
      <c r="E33">
        <f t="shared" si="3"/>
        <v>42095889.75</v>
      </c>
      <c r="F33">
        <f t="shared" si="3"/>
        <v>42095889.75</v>
      </c>
      <c r="G33">
        <v>168383559</v>
      </c>
    </row>
    <row r="34" spans="1:7" ht="14.45" x14ac:dyDescent="0.3">
      <c r="B34" t="s">
        <v>74</v>
      </c>
      <c r="C34">
        <v>0</v>
      </c>
      <c r="D34">
        <f>+'[1]ClassA-CustData'!$J$9</f>
        <v>8822769</v>
      </c>
      <c r="E34">
        <f>+'[1]ClassA-CustData'!$J$12</f>
        <v>11128392</v>
      </c>
      <c r="F34">
        <f>+'[1]ClassA-CustData'!$J$15</f>
        <v>11035857</v>
      </c>
      <c r="G34">
        <v>22164249</v>
      </c>
    </row>
    <row r="35" spans="1:7" ht="14.45" x14ac:dyDescent="0.3">
      <c r="B35" t="s">
        <v>75</v>
      </c>
      <c r="C35">
        <f>901690816/4</f>
        <v>225422704</v>
      </c>
      <c r="D35">
        <f>901690816/4-D34</f>
        <v>216599935</v>
      </c>
      <c r="E35">
        <f>901690816/4-E34</f>
        <v>214294312</v>
      </c>
      <c r="F35">
        <f>901690816/4-F34</f>
        <v>214386847</v>
      </c>
      <c r="G35">
        <v>879526567</v>
      </c>
    </row>
    <row r="36" spans="1:7" ht="14.45" x14ac:dyDescent="0.3">
      <c r="B36" t="s">
        <v>76</v>
      </c>
      <c r="C36">
        <f>3091043/4</f>
        <v>772760.75</v>
      </c>
      <c r="D36">
        <f t="shared" ref="D36:F36" si="4">3091043/4</f>
        <v>772760.75</v>
      </c>
      <c r="E36">
        <f t="shared" si="4"/>
        <v>772760.75</v>
      </c>
      <c r="F36">
        <f t="shared" si="4"/>
        <v>772760.75</v>
      </c>
      <c r="G36">
        <v>3091043</v>
      </c>
    </row>
    <row r="37" spans="1:7" ht="14.45" x14ac:dyDescent="0.3">
      <c r="B37" t="s">
        <v>77</v>
      </c>
      <c r="C37">
        <f>9918768/4</f>
        <v>2479692</v>
      </c>
      <c r="D37">
        <f t="shared" ref="D37:F37" si="5">9918768/4</f>
        <v>2479692</v>
      </c>
      <c r="E37">
        <f t="shared" si="5"/>
        <v>2479692</v>
      </c>
      <c r="F37">
        <f t="shared" si="5"/>
        <v>2479692</v>
      </c>
      <c r="G37">
        <v>9918768</v>
      </c>
    </row>
    <row r="38" spans="1:7" ht="14.45" x14ac:dyDescent="0.3">
      <c r="B38" t="s">
        <v>6</v>
      </c>
      <c r="C38">
        <v>403128784.25</v>
      </c>
      <c r="D38">
        <v>403128784.25</v>
      </c>
      <c r="E38">
        <v>403128784.25</v>
      </c>
      <c r="F38">
        <v>403128784.25</v>
      </c>
      <c r="G38">
        <v>1612515137</v>
      </c>
    </row>
    <row r="40" spans="1:7" ht="14.45" x14ac:dyDescent="0.3">
      <c r="A40" t="s">
        <v>112</v>
      </c>
      <c r="B40" t="s">
        <v>78</v>
      </c>
    </row>
    <row r="41" spans="1:7" ht="14.45" x14ac:dyDescent="0.3">
      <c r="B41" t="s">
        <v>81</v>
      </c>
      <c r="D41" t="str">
        <f>+D21</f>
        <v>Q2</v>
      </c>
    </row>
    <row r="42" spans="1:7" ht="14.45" x14ac:dyDescent="0.3">
      <c r="B42" t="str">
        <f>+B24</f>
        <v>&gt;50 A</v>
      </c>
      <c r="D42">
        <f>+D24</f>
        <v>8822769</v>
      </c>
    </row>
    <row r="43" spans="1:7" ht="14.45" x14ac:dyDescent="0.3">
      <c r="B43" t="str">
        <f>+B25</f>
        <v>&gt;50 B</v>
      </c>
      <c r="D43">
        <f>+D25</f>
        <v>209575982</v>
      </c>
    </row>
    <row r="44" spans="1:7" ht="14.45" x14ac:dyDescent="0.3">
      <c r="B44" t="s">
        <v>6</v>
      </c>
      <c r="D44">
        <f>SUM(D42:D43)</f>
        <v>218398751</v>
      </c>
    </row>
    <row r="46" spans="1:7" ht="14.45" x14ac:dyDescent="0.3">
      <c r="B46" t="s">
        <v>82</v>
      </c>
    </row>
    <row r="47" spans="1:7" ht="14.45" x14ac:dyDescent="0.3">
      <c r="B47" t="str">
        <f>+B42</f>
        <v>&gt;50 A</v>
      </c>
      <c r="D47">
        <f>+D42/D44</f>
        <v>4.0397524984014214E-2</v>
      </c>
    </row>
    <row r="48" spans="1:7" ht="14.45" x14ac:dyDescent="0.3">
      <c r="B48" t="str">
        <f>+B43</f>
        <v>&gt;50 B</v>
      </c>
      <c r="D48">
        <f>+D43/D44</f>
        <v>0.95960247501598583</v>
      </c>
    </row>
    <row r="49" spans="2:9" ht="14.45" x14ac:dyDescent="0.3">
      <c r="B49" t="s">
        <v>6</v>
      </c>
      <c r="D49">
        <f>SUM(D47:D48)</f>
        <v>1</v>
      </c>
    </row>
    <row r="51" spans="2:9" ht="14.45" x14ac:dyDescent="0.3">
      <c r="B51" t="s">
        <v>83</v>
      </c>
      <c r="D51" t="s">
        <v>84</v>
      </c>
    </row>
    <row r="52" spans="2:9" ht="14.45" x14ac:dyDescent="0.3">
      <c r="B52" t="str">
        <f>+B47</f>
        <v>&gt;50 A</v>
      </c>
      <c r="D52" s="3">
        <f>+D47*D15</f>
        <v>3440.5271228580423</v>
      </c>
    </row>
    <row r="53" spans="2:9" ht="14.45" x14ac:dyDescent="0.3">
      <c r="B53" t="str">
        <f>+B48</f>
        <v>&gt;50 B</v>
      </c>
      <c r="D53" s="3">
        <f>+D48*D15</f>
        <v>81726.25287714196</v>
      </c>
    </row>
    <row r="54" spans="2:9" ht="14.45" x14ac:dyDescent="0.3">
      <c r="B54" t="s">
        <v>6</v>
      </c>
      <c r="D54" s="3">
        <f>SUM(D52:D53)</f>
        <v>85166.78</v>
      </c>
    </row>
    <row r="56" spans="2:9" ht="14.45" x14ac:dyDescent="0.3">
      <c r="B56" t="s">
        <v>85</v>
      </c>
    </row>
    <row r="57" spans="2:9" ht="14.45" x14ac:dyDescent="0.3">
      <c r="C57" t="s">
        <v>68</v>
      </c>
      <c r="D57" t="s">
        <v>69</v>
      </c>
      <c r="E57" t="s">
        <v>70</v>
      </c>
      <c r="F57" t="s">
        <v>71</v>
      </c>
      <c r="G57" t="s">
        <v>86</v>
      </c>
      <c r="H57" t="s">
        <v>67</v>
      </c>
      <c r="I57" t="s">
        <v>87</v>
      </c>
    </row>
    <row r="58" spans="2:9" ht="14.45" x14ac:dyDescent="0.3">
      <c r="B58" t="str">
        <f>+B8</f>
        <v>1580-CBR A</v>
      </c>
      <c r="C58" s="3">
        <f>+C14</f>
        <v>0</v>
      </c>
      <c r="D58" s="3">
        <f>+D52</f>
        <v>3440.5271228580423</v>
      </c>
      <c r="E58" s="3">
        <f>+E14</f>
        <v>4068.62</v>
      </c>
      <c r="F58" s="3">
        <f>+F14-E14</f>
        <v>2883.7799999999997</v>
      </c>
      <c r="G58" s="3">
        <f>SUM(D58:F58)</f>
        <v>10392.927122858042</v>
      </c>
      <c r="H58">
        <f>ROUND(+G58/G60*H60,2)</f>
        <v>186.75</v>
      </c>
      <c r="I58" s="3">
        <f>SUM(G58:H58)</f>
        <v>10579.677122858042</v>
      </c>
    </row>
    <row r="59" spans="2:9" ht="14.45" x14ac:dyDescent="0.3">
      <c r="B59" t="str">
        <f>+B9</f>
        <v>1580 - CBR B</v>
      </c>
      <c r="C59" s="3">
        <f>+C15</f>
        <v>0</v>
      </c>
      <c r="D59" s="3">
        <f>+D53</f>
        <v>81726.25287714196</v>
      </c>
      <c r="E59" s="3">
        <f>+E15-D15</f>
        <v>222801.48</v>
      </c>
      <c r="F59" s="3">
        <f>+F15-E15</f>
        <v>142371.41999999998</v>
      </c>
      <c r="G59" s="3">
        <f>SUM(D59:F59)</f>
        <v>446899.15287714195</v>
      </c>
      <c r="H59">
        <f>ROUND(+G59/G60*H60,2)</f>
        <v>8030.13</v>
      </c>
      <c r="I59" s="3">
        <f>SUM(G59:H59)</f>
        <v>454929.28287714196</v>
      </c>
    </row>
    <row r="60" spans="2:9" ht="14.45" x14ac:dyDescent="0.3">
      <c r="B60" t="str">
        <f>+B10</f>
        <v>Total</v>
      </c>
      <c r="C60" s="3">
        <f>+C16</f>
        <v>0</v>
      </c>
      <c r="D60" s="3">
        <f>+D16</f>
        <v>85166.78</v>
      </c>
      <c r="E60" s="3">
        <f>SUM(E58:E59)</f>
        <v>226870.1</v>
      </c>
      <c r="F60" s="3">
        <f>SUM(F58:F59)</f>
        <v>145255.19999999998</v>
      </c>
      <c r="G60" s="3">
        <f>SUM(D60:F60)</f>
        <v>457292.07999999996</v>
      </c>
      <c r="H60" s="3">
        <f>+SUM(D8:D9)</f>
        <v>8216.880000000001</v>
      </c>
      <c r="I60" s="3">
        <f>SUM(G60:H60)</f>
        <v>465508.95999999996</v>
      </c>
    </row>
    <row r="62" spans="2:9" ht="14.45" x14ac:dyDescent="0.3">
      <c r="B62" t="s">
        <v>88</v>
      </c>
    </row>
    <row r="63" spans="2:9" ht="14.45" x14ac:dyDescent="0.3">
      <c r="B63" t="str">
        <f>+B59</f>
        <v>1580 - CBR B</v>
      </c>
      <c r="C63" t="s">
        <v>89</v>
      </c>
      <c r="D63" s="3">
        <f>+I59</f>
        <v>454929.28287714196</v>
      </c>
    </row>
    <row r="64" spans="2:9" ht="14.45" x14ac:dyDescent="0.3">
      <c r="C64" t="s">
        <v>8</v>
      </c>
      <c r="D64">
        <f>+G28-G24</f>
        <v>1571390959</v>
      </c>
    </row>
    <row r="65" spans="2:10" ht="14.45" x14ac:dyDescent="0.3">
      <c r="C65" t="s">
        <v>90</v>
      </c>
      <c r="D65">
        <f>+D63/D64</f>
        <v>2.8950738215182894E-4</v>
      </c>
    </row>
    <row r="67" spans="2:10" ht="14.45" x14ac:dyDescent="0.3">
      <c r="B67" t="s">
        <v>93</v>
      </c>
    </row>
    <row r="68" spans="2:10" ht="14.45" x14ac:dyDescent="0.3">
      <c r="B68" t="str">
        <f>+I57</f>
        <v>Disposition $</v>
      </c>
      <c r="C68" s="3">
        <f>+I60</f>
        <v>465508.95999999996</v>
      </c>
    </row>
    <row r="69" spans="2:10" ht="14.45" x14ac:dyDescent="0.3">
      <c r="B69" t="str">
        <f>+B58</f>
        <v>1580-CBR A</v>
      </c>
      <c r="C69" s="3">
        <f>+I58</f>
        <v>10579.677122858042</v>
      </c>
    </row>
    <row r="70" spans="2:10" ht="14.45" x14ac:dyDescent="0.3">
      <c r="B70" t="str">
        <f>+B59</f>
        <v>1580 - CBR B</v>
      </c>
      <c r="C70" s="3">
        <f>+I59</f>
        <v>454929.28287714196</v>
      </c>
    </row>
    <row r="71" spans="2:10" ht="14.45" x14ac:dyDescent="0.3">
      <c r="B71" t="s">
        <v>94</v>
      </c>
    </row>
    <row r="72" spans="2:10" ht="14.45" x14ac:dyDescent="0.3">
      <c r="B72" s="25" t="s">
        <v>10</v>
      </c>
      <c r="C72" t="s">
        <v>95</v>
      </c>
      <c r="D72">
        <f>+'[2]ClassA-CustData'!$C$22</f>
        <v>1.6878999999999999E-4</v>
      </c>
      <c r="E72">
        <f>+'[2]ClassA-CustData'!$D$22</f>
        <v>8.3789999999999996E-5</v>
      </c>
    </row>
    <row r="73" spans="2:10" ht="14.45" x14ac:dyDescent="0.3">
      <c r="C73" t="s">
        <v>110</v>
      </c>
      <c r="D73" s="3">
        <f>+D72/(SUM($D72:$E72))*$C$69</f>
        <v>7070.012279543942</v>
      </c>
      <c r="E73" s="3">
        <f>+E72/(SUM($D72:$E72))*$C$69</f>
        <v>3509.6648433140999</v>
      </c>
      <c r="I73" s="3">
        <f>SUM(D73:H73)</f>
        <v>10579.677122858042</v>
      </c>
      <c r="J73" s="3" t="str">
        <f>IF(I73=C69,"Checks","ERROR")</f>
        <v>Checks</v>
      </c>
    </row>
    <row r="74" spans="2:10" ht="14.45" x14ac:dyDescent="0.3">
      <c r="D74" s="3"/>
      <c r="E74" s="3"/>
      <c r="I74" s="3"/>
      <c r="J74" s="3"/>
    </row>
    <row r="75" spans="2:10" ht="14.45" x14ac:dyDescent="0.3">
      <c r="C75" t="s">
        <v>96</v>
      </c>
      <c r="D75" t="s">
        <v>72</v>
      </c>
      <c r="E75" t="s">
        <v>73</v>
      </c>
      <c r="F75" t="s">
        <v>97</v>
      </c>
      <c r="G75" t="s">
        <v>76</v>
      </c>
      <c r="H75" t="s">
        <v>77</v>
      </c>
      <c r="I75" s="50" t="s">
        <v>98</v>
      </c>
      <c r="J75" s="50"/>
    </row>
    <row r="76" spans="2:10" ht="14.45" x14ac:dyDescent="0.3">
      <c r="B76" t="s">
        <v>11</v>
      </c>
      <c r="D76" s="27">
        <v>0.32832618984586931</v>
      </c>
      <c r="E76" s="27">
        <v>0.10442293231012317</v>
      </c>
      <c r="F76" s="27">
        <v>0.5591828537359026</v>
      </c>
      <c r="G76" s="27">
        <v>1.9169078969086292E-3</v>
      </c>
      <c r="H76" s="28">
        <v>6.1511162111962236E-3</v>
      </c>
      <c r="I76" s="3">
        <f>SUM(D76:H76)</f>
        <v>1</v>
      </c>
    </row>
    <row r="77" spans="2:10" ht="14.45" x14ac:dyDescent="0.3">
      <c r="B77" t="s">
        <v>83</v>
      </c>
      <c r="D77" s="3">
        <f>+D76*$I$59</f>
        <v>149365.1980963657</v>
      </c>
      <c r="E77" s="3">
        <f t="shared" ref="E77:H77" si="6">+E76*$I$59</f>
        <v>47505.04971177267</v>
      </c>
      <c r="F77" s="3">
        <f t="shared" si="6"/>
        <v>254388.65464726792</v>
      </c>
      <c r="G77" s="3">
        <f t="shared" si="6"/>
        <v>872.05753488217306</v>
      </c>
      <c r="H77" s="3">
        <f t="shared" si="6"/>
        <v>2798.3228868534607</v>
      </c>
      <c r="I77" s="3">
        <f>SUM(D77:H77)</f>
        <v>454929.2828771419</v>
      </c>
      <c r="J77" s="3" t="str">
        <f>IF(I77=I59,"Checks","ERROR")</f>
        <v>Checks</v>
      </c>
    </row>
    <row r="78" spans="2:10" ht="14.45" x14ac:dyDescent="0.3">
      <c r="B78" t="s">
        <v>101</v>
      </c>
      <c r="D78" s="29">
        <v>529430951</v>
      </c>
      <c r="E78" s="29">
        <v>168383559</v>
      </c>
      <c r="F78" s="29">
        <v>901690816</v>
      </c>
      <c r="G78" s="29">
        <v>3091043</v>
      </c>
      <c r="H78" s="29">
        <v>9918768</v>
      </c>
    </row>
    <row r="79" spans="2:10" ht="14.45" x14ac:dyDescent="0.3">
      <c r="D79" s="29">
        <v>0</v>
      </c>
      <c r="E79" s="29"/>
      <c r="F79" s="29">
        <v>2390334</v>
      </c>
      <c r="G79" s="29">
        <v>0</v>
      </c>
      <c r="H79" s="29">
        <v>27667</v>
      </c>
    </row>
    <row r="80" spans="2:10" ht="14.45" x14ac:dyDescent="0.3">
      <c r="B80" t="s">
        <v>90</v>
      </c>
      <c r="C80" t="s">
        <v>99</v>
      </c>
      <c r="D80">
        <f>+D77/D78</f>
        <v>2.8212403867632156E-4</v>
      </c>
      <c r="E80">
        <f t="shared" ref="E80:H80" si="7">+E77/E78</f>
        <v>2.8212403867632156E-4</v>
      </c>
      <c r="F80">
        <f t="shared" si="7"/>
        <v>2.821240386763215E-4</v>
      </c>
      <c r="G80">
        <f t="shared" si="7"/>
        <v>2.8212403867632156E-4</v>
      </c>
      <c r="H80">
        <f t="shared" si="7"/>
        <v>2.8212403867632156E-4</v>
      </c>
    </row>
    <row r="81" spans="2:8" ht="14.45" x14ac:dyDescent="0.3">
      <c r="C81" t="s">
        <v>99</v>
      </c>
      <c r="D81">
        <f>+D77/D78</f>
        <v>2.8212403867632156E-4</v>
      </c>
      <c r="E81">
        <f t="shared" ref="E81:G81" si="8">+E77/E78</f>
        <v>2.8212403867632156E-4</v>
      </c>
      <c r="G81">
        <f t="shared" si="8"/>
        <v>2.8212403867632156E-4</v>
      </c>
    </row>
    <row r="82" spans="2:8" ht="14.45" x14ac:dyDescent="0.3">
      <c r="C82" t="s">
        <v>100</v>
      </c>
      <c r="F82">
        <f>+F77/F79</f>
        <v>0.106423895006835</v>
      </c>
      <c r="H82">
        <f>+H77/H79</f>
        <v>0.10114298213949689</v>
      </c>
    </row>
    <row r="84" spans="2:8" ht="14.45" x14ac:dyDescent="0.3">
      <c r="B84" t="s">
        <v>11</v>
      </c>
      <c r="C84" t="s">
        <v>111</v>
      </c>
    </row>
    <row r="85" spans="2:8" ht="14.45" x14ac:dyDescent="0.3">
      <c r="D85" t="s">
        <v>72</v>
      </c>
      <c r="E85" t="s">
        <v>73</v>
      </c>
      <c r="F85" t="s">
        <v>97</v>
      </c>
      <c r="G85" t="s">
        <v>76</v>
      </c>
      <c r="H85" t="s">
        <v>77</v>
      </c>
    </row>
    <row r="86" spans="2:8" ht="14.45" x14ac:dyDescent="0.3">
      <c r="B86" t="s">
        <v>102</v>
      </c>
      <c r="D86" s="29">
        <v>529430951</v>
      </c>
      <c r="E86" s="29">
        <v>168383559</v>
      </c>
      <c r="F86" s="29">
        <v>901690816</v>
      </c>
      <c r="G86" s="29">
        <v>3091043</v>
      </c>
      <c r="H86" s="29">
        <v>9918768</v>
      </c>
    </row>
    <row r="87" spans="2:8" ht="14.45" x14ac:dyDescent="0.3">
      <c r="B87" t="s">
        <v>103</v>
      </c>
      <c r="D87" s="30">
        <f>+D86</f>
        <v>529430951</v>
      </c>
      <c r="E87" s="30">
        <f>+E86</f>
        <v>168383559</v>
      </c>
      <c r="F87" s="30">
        <f>+F86-'[2]ClassA-CustData'!$E$20</f>
        <v>860457099</v>
      </c>
      <c r="G87" s="30">
        <f>+G86</f>
        <v>3091043</v>
      </c>
      <c r="H87" s="30">
        <f>+H86</f>
        <v>9918768</v>
      </c>
    </row>
    <row r="88" spans="2:8" ht="14.45" x14ac:dyDescent="0.3">
      <c r="B88" t="s">
        <v>104</v>
      </c>
      <c r="F88" s="29">
        <v>2390334</v>
      </c>
      <c r="G88" s="29">
        <v>0</v>
      </c>
      <c r="H88" s="29">
        <v>27667</v>
      </c>
    </row>
    <row r="89" spans="2:8" ht="14.45" x14ac:dyDescent="0.3">
      <c r="B89" t="s">
        <v>105</v>
      </c>
      <c r="F89" s="30">
        <f>+F88-63141.32-42745.17</f>
        <v>2284447.5100000002</v>
      </c>
      <c r="H89" s="29">
        <v>27667</v>
      </c>
    </row>
    <row r="90" spans="2:8" ht="14.45" x14ac:dyDescent="0.3">
      <c r="B90" t="s">
        <v>106</v>
      </c>
      <c r="D90" s="31">
        <f>+D87/(SUM($D87:$H87))</f>
        <v>0.33694215705802721</v>
      </c>
      <c r="E90" s="31">
        <f>+E87/(SUM($D87:$H87))</f>
        <v>0.1071632088668114</v>
      </c>
      <c r="F90" s="31">
        <f>+F87/(SUM($D87:$H87))</f>
        <v>0.54761488810833137</v>
      </c>
      <c r="G90" s="31">
        <f>+G87/(SUM($D87:$H87))</f>
        <v>1.9672115769051733E-3</v>
      </c>
      <c r="H90" s="31">
        <f>+H87/(SUM($D87:$H87))</f>
        <v>6.3125343899248804E-3</v>
      </c>
    </row>
    <row r="91" spans="2:8" ht="14.45" x14ac:dyDescent="0.3">
      <c r="B91" t="s">
        <v>107</v>
      </c>
      <c r="D91" s="3">
        <f>+D90*$C$70</f>
        <v>153284.85388148564</v>
      </c>
      <c r="E91" s="3">
        <f t="shared" ref="E91:H91" si="9">+E90*$C$70</f>
        <v>48751.681760591891</v>
      </c>
      <c r="F91" s="3">
        <f t="shared" si="9"/>
        <v>249126.04833996951</v>
      </c>
      <c r="G91" s="3">
        <f t="shared" si="9"/>
        <v>894.94215194908213</v>
      </c>
      <c r="H91" s="3">
        <f t="shared" si="9"/>
        <v>2871.7567431458228</v>
      </c>
    </row>
    <row r="92" spans="2:8" ht="14.45" x14ac:dyDescent="0.3">
      <c r="B92" t="s">
        <v>90</v>
      </c>
      <c r="C92" t="s">
        <v>99</v>
      </c>
      <c r="D92">
        <f>+D91/D87</f>
        <v>2.895275646275649E-4</v>
      </c>
      <c r="E92">
        <f t="shared" ref="E92:H92" si="10">+E91/E87</f>
        <v>2.895275646275649E-4</v>
      </c>
      <c r="F92">
        <f t="shared" si="10"/>
        <v>2.895275646275649E-4</v>
      </c>
      <c r="G92">
        <f t="shared" si="10"/>
        <v>2.895275646275649E-4</v>
      </c>
      <c r="H92">
        <f t="shared" si="10"/>
        <v>2.895275646275649E-4</v>
      </c>
    </row>
    <row r="93" spans="2:8" ht="14.45" x14ac:dyDescent="0.3">
      <c r="C93" t="s">
        <v>99</v>
      </c>
      <c r="D93" s="25">
        <f>+D91/D87</f>
        <v>2.895275646275649E-4</v>
      </c>
      <c r="E93" s="25">
        <f>+E91/E87</f>
        <v>2.895275646275649E-4</v>
      </c>
      <c r="G93" s="25">
        <f>+G91/G87</f>
        <v>2.895275646275649E-4</v>
      </c>
    </row>
    <row r="94" spans="2:8" ht="14.45" x14ac:dyDescent="0.3">
      <c r="C94" t="s">
        <v>100</v>
      </c>
      <c r="F94" s="25">
        <f>+F91/F89</f>
        <v>0.1090530849360463</v>
      </c>
      <c r="H94" s="25">
        <f>+H91/H89</f>
        <v>0.10379718593074141</v>
      </c>
    </row>
    <row r="96" spans="2:8" ht="14.45" x14ac:dyDescent="0.3">
      <c r="B96" t="s">
        <v>108</v>
      </c>
      <c r="F96">
        <f>+F82-F94</f>
        <v>-2.6291899292113091E-3</v>
      </c>
      <c r="H96">
        <f>+H82-H94</f>
        <v>-2.6542037912445221E-3</v>
      </c>
    </row>
    <row r="97" spans="2:8" ht="14.45" x14ac:dyDescent="0.3">
      <c r="F97">
        <f>+F96*F89</f>
        <v>-6006.2463871038517</v>
      </c>
      <c r="H97">
        <f>+H96*H89</f>
        <v>-73.433856292362194</v>
      </c>
    </row>
    <row r="99" spans="2:8" ht="14.45" x14ac:dyDescent="0.3">
      <c r="B99" t="s">
        <v>113</v>
      </c>
    </row>
    <row r="100" spans="2:8" ht="14.45" x14ac:dyDescent="0.3">
      <c r="C100" t="s">
        <v>116</v>
      </c>
      <c r="D100" t="s">
        <v>8</v>
      </c>
    </row>
    <row r="101" spans="2:8" ht="14.45" x14ac:dyDescent="0.3">
      <c r="B101" t="s">
        <v>114</v>
      </c>
      <c r="C101">
        <v>63141.32</v>
      </c>
      <c r="D101">
        <f>+'[1]ClassA-CustData'!$C$16</f>
        <v>26804065</v>
      </c>
    </row>
    <row r="102" spans="2:8" x14ac:dyDescent="0.25">
      <c r="B102" t="s">
        <v>115</v>
      </c>
      <c r="C102">
        <v>42745.17</v>
      </c>
      <c r="D102">
        <f>+'[1]ClassA-CustData'!$D$16</f>
        <v>14429652</v>
      </c>
    </row>
    <row r="103" spans="2:8" x14ac:dyDescent="0.25">
      <c r="B103" t="s">
        <v>117</v>
      </c>
      <c r="C103" t="s">
        <v>118</v>
      </c>
      <c r="D103" t="s">
        <v>83</v>
      </c>
      <c r="E103" t="s">
        <v>121</v>
      </c>
    </row>
    <row r="104" spans="2:8" x14ac:dyDescent="0.25">
      <c r="B104" t="str">
        <f>+B101</f>
        <v>Cust 1</v>
      </c>
      <c r="C104">
        <f>+C101*$F$82</f>
        <v>6719.7452102729703</v>
      </c>
      <c r="D104" s="3">
        <f>+D73</f>
        <v>7070.012279543942</v>
      </c>
      <c r="E104" s="3">
        <f>+C104-D104</f>
        <v>-350.26706927097166</v>
      </c>
    </row>
    <row r="105" spans="2:8" ht="15" customHeight="1" x14ac:dyDescent="0.25">
      <c r="B105" t="str">
        <f>+B102</f>
        <v>Cust 2</v>
      </c>
      <c r="C105">
        <f>+C102*$F$82</f>
        <v>4549.107484129313</v>
      </c>
      <c r="D105" s="3">
        <f>+E73</f>
        <v>3509.6648433140999</v>
      </c>
      <c r="E105" s="3">
        <f>+C105-D105</f>
        <v>1039.4426408152131</v>
      </c>
    </row>
    <row r="106" spans="2:8" x14ac:dyDescent="0.25">
      <c r="B106" t="s">
        <v>119</v>
      </c>
      <c r="C106" t="s">
        <v>120</v>
      </c>
    </row>
    <row r="107" spans="2:8" x14ac:dyDescent="0.25">
      <c r="B107" t="str">
        <f>+B104</f>
        <v>Cust 1</v>
      </c>
      <c r="C107">
        <f>+C101*$F$94</f>
        <v>6885.7557329340789</v>
      </c>
      <c r="D107" s="3">
        <f>+D73</f>
        <v>7070.012279543942</v>
      </c>
      <c r="E107" s="3">
        <f t="shared" ref="E107:E108" si="11">+C107-D107</f>
        <v>-184.25654660986311</v>
      </c>
    </row>
    <row r="108" spans="2:8" x14ac:dyDescent="0.25">
      <c r="B108" t="str">
        <f>+B105</f>
        <v>Cust 2</v>
      </c>
      <c r="C108">
        <f>+C102*$F$94</f>
        <v>4661.4926546157385</v>
      </c>
      <c r="D108" s="3">
        <f>+E73</f>
        <v>3509.6648433140999</v>
      </c>
      <c r="E108" s="3">
        <f t="shared" si="11"/>
        <v>1151.8278113016386</v>
      </c>
    </row>
    <row r="109" spans="2:8" x14ac:dyDescent="0.25">
      <c r="B109" t="s">
        <v>122</v>
      </c>
    </row>
    <row r="110" spans="2:8" x14ac:dyDescent="0.25">
      <c r="B110" t="s">
        <v>117</v>
      </c>
      <c r="C110" t="s">
        <v>118</v>
      </c>
      <c r="D110" t="s">
        <v>83</v>
      </c>
      <c r="E110" t="s">
        <v>121</v>
      </c>
    </row>
    <row r="111" spans="2:8" x14ac:dyDescent="0.25">
      <c r="B111">
        <f>+F82</f>
        <v>0.106423895006835</v>
      </c>
      <c r="C111">
        <f>+F89*B111</f>
        <v>243119.80195286567</v>
      </c>
      <c r="D111" s="3">
        <f>+F91</f>
        <v>249126.04833996951</v>
      </c>
      <c r="E111" s="3">
        <f t="shared" ref="E111:E115" si="12">+C111-D111</f>
        <v>-6006.2463871038344</v>
      </c>
    </row>
    <row r="112" spans="2:8" x14ac:dyDescent="0.25">
      <c r="B112">
        <f>ROUND(B111,4)</f>
        <v>0.10639999999999999</v>
      </c>
      <c r="C112">
        <f>+F89*B112</f>
        <v>243065.21506400002</v>
      </c>
      <c r="D112" s="3">
        <f>+F91</f>
        <v>249126.04833996951</v>
      </c>
      <c r="E112" s="3">
        <f t="shared" ref="E112" si="13">+C112-D112</f>
        <v>-6060.8332759694895</v>
      </c>
    </row>
    <row r="113" spans="2:5" x14ac:dyDescent="0.25">
      <c r="B113" t="s">
        <v>119</v>
      </c>
      <c r="C113" t="s">
        <v>120</v>
      </c>
    </row>
    <row r="114" spans="2:5" x14ac:dyDescent="0.25">
      <c r="B114">
        <f>+F94</f>
        <v>0.1090530849360463</v>
      </c>
      <c r="C114">
        <f>+F89*B114</f>
        <v>249126.04833996951</v>
      </c>
      <c r="D114" s="3">
        <f>+F91</f>
        <v>249126.04833996951</v>
      </c>
      <c r="E114" s="3">
        <f t="shared" si="12"/>
        <v>0</v>
      </c>
    </row>
    <row r="115" spans="2:5" x14ac:dyDescent="0.25">
      <c r="B115">
        <f>ROUND(B114,4)</f>
        <v>0.1091</v>
      </c>
      <c r="C115">
        <f>+F89*B115</f>
        <v>249233.22334100003</v>
      </c>
      <c r="D115" s="3">
        <f>+F91</f>
        <v>249126.04833996951</v>
      </c>
      <c r="E115">
        <f t="shared" si="12"/>
        <v>107.17500103052589</v>
      </c>
    </row>
  </sheetData>
  <mergeCells count="1">
    <mergeCell ref="I75:J7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"/>
  <sheetViews>
    <sheetView topLeftCell="A71" workbookViewId="0">
      <selection activeCell="I83" sqref="I83"/>
    </sheetView>
  </sheetViews>
  <sheetFormatPr defaultRowHeight="15" x14ac:dyDescent="0.25"/>
  <cols>
    <col min="1" max="1" width="10.28515625" customWidth="1"/>
    <col min="2" max="2" width="12.85546875" customWidth="1"/>
    <col min="3" max="3" width="13.28515625" bestFit="1" customWidth="1"/>
    <col min="4" max="4" width="11.140625" bestFit="1" customWidth="1"/>
    <col min="5" max="5" width="13.28515625" bestFit="1" customWidth="1"/>
    <col min="6" max="6" width="11.140625" bestFit="1" customWidth="1"/>
    <col min="7" max="7" width="11" bestFit="1" customWidth="1"/>
    <col min="8" max="8" width="9.140625" bestFit="1" customWidth="1"/>
    <col min="9" max="9" width="11.42578125" bestFit="1" customWidth="1"/>
  </cols>
  <sheetData>
    <row r="1" spans="1:6" ht="14.45" x14ac:dyDescent="0.3">
      <c r="A1" t="str">
        <f>+'Data-170208'!A1</f>
        <v>BHI</v>
      </c>
    </row>
    <row r="2" spans="1:6" ht="14.45" x14ac:dyDescent="0.3">
      <c r="A2">
        <f>+'Data-170208'!A2</f>
        <v>1580</v>
      </c>
    </row>
    <row r="3" spans="1:6" ht="14.45" x14ac:dyDescent="0.3">
      <c r="A3" t="str">
        <f>+'Data-170208'!A3</f>
        <v>Rate Rider working papers</v>
      </c>
    </row>
    <row r="5" spans="1:6" ht="14.45" x14ac:dyDescent="0.3">
      <c r="B5" t="s">
        <v>65</v>
      </c>
    </row>
    <row r="6" spans="1:6" ht="14.45" x14ac:dyDescent="0.3">
      <c r="C6" t="s">
        <v>66</v>
      </c>
      <c r="D6" t="s">
        <v>67</v>
      </c>
      <c r="E6" t="s">
        <v>6</v>
      </c>
    </row>
    <row r="7" spans="1:6" ht="14.45" x14ac:dyDescent="0.3">
      <c r="B7" t="str">
        <f>+'Data-170208'!B7</f>
        <v>1580-WMS</v>
      </c>
      <c r="C7" s="3">
        <f>+'Data-170208'!E7</f>
        <v>-3495539.97</v>
      </c>
      <c r="D7" s="3">
        <f>+'Data-170208'!O7</f>
        <v>-67546.23</v>
      </c>
      <c r="E7" s="3">
        <f>SUM(C7:D7)</f>
        <v>-3563086.2</v>
      </c>
    </row>
    <row r="8" spans="1:6" ht="14.45" x14ac:dyDescent="0.3">
      <c r="B8" t="str">
        <f>+'Data-170208'!B8</f>
        <v>1580-CBR A</v>
      </c>
      <c r="C8" s="3">
        <f>+'Data-170208'!E8</f>
        <v>6952.4</v>
      </c>
      <c r="D8" s="3">
        <f>+'Data-170208'!O8</f>
        <v>120.08</v>
      </c>
      <c r="E8" s="3">
        <f t="shared" ref="E8:E10" si="0">SUM(C8:D8)</f>
        <v>7072.48</v>
      </c>
    </row>
    <row r="9" spans="1:6" ht="14.45" x14ac:dyDescent="0.3">
      <c r="B9" t="str">
        <f>+'Data-170208'!B9</f>
        <v>1580 - CBR B</v>
      </c>
      <c r="C9" s="3">
        <f>+'Data-170208'!E9</f>
        <v>450339.68</v>
      </c>
      <c r="D9" s="3">
        <f>+'Data-170208'!O9</f>
        <v>8096.8</v>
      </c>
      <c r="E9" s="3">
        <f t="shared" si="0"/>
        <v>458436.48</v>
      </c>
    </row>
    <row r="10" spans="1:6" ht="14.45" x14ac:dyDescent="0.3">
      <c r="B10" t="str">
        <f>+'Data-170208'!B10</f>
        <v>Total</v>
      </c>
      <c r="C10" s="3">
        <f>+'Data-170208'!E10</f>
        <v>-3038247.89</v>
      </c>
      <c r="D10" s="3">
        <f>+'Data-170208'!O10</f>
        <v>-59329.349999999991</v>
      </c>
      <c r="E10" s="3">
        <f t="shared" si="0"/>
        <v>-3097577.24</v>
      </c>
    </row>
    <row r="11" spans="1:6" ht="14.45" x14ac:dyDescent="0.3">
      <c r="C11" s="3"/>
      <c r="D11" s="3"/>
      <c r="E11" s="3"/>
    </row>
    <row r="12" spans="1:6" ht="14.45" x14ac:dyDescent="0.3">
      <c r="B12" t="s">
        <v>80</v>
      </c>
      <c r="C12" s="3" t="s">
        <v>79</v>
      </c>
      <c r="D12" s="3"/>
      <c r="E12" s="3"/>
    </row>
    <row r="13" spans="1:6" ht="14.45" x14ac:dyDescent="0.3">
      <c r="C13" t="s">
        <v>68</v>
      </c>
      <c r="D13" t="s">
        <v>69</v>
      </c>
      <c r="E13" t="s">
        <v>70</v>
      </c>
      <c r="F13" t="s">
        <v>71</v>
      </c>
    </row>
    <row r="14" spans="1:6" ht="14.45" x14ac:dyDescent="0.3">
      <c r="B14" t="s">
        <v>18</v>
      </c>
      <c r="C14" s="3">
        <v>0</v>
      </c>
      <c r="D14" s="3">
        <v>0</v>
      </c>
      <c r="E14" s="3">
        <v>4068.62</v>
      </c>
      <c r="F14" s="3">
        <v>6952.4</v>
      </c>
    </row>
    <row r="15" spans="1:6" ht="14.45" x14ac:dyDescent="0.3">
      <c r="B15" t="s">
        <v>19</v>
      </c>
      <c r="C15" s="3">
        <v>0</v>
      </c>
      <c r="D15" s="3">
        <v>85166.78</v>
      </c>
      <c r="E15" s="3">
        <v>307968.26</v>
      </c>
      <c r="F15" s="3">
        <v>450339.68</v>
      </c>
    </row>
    <row r="16" spans="1:6" ht="14.45" x14ac:dyDescent="0.3">
      <c r="B16" t="s">
        <v>6</v>
      </c>
      <c r="C16" s="3">
        <f>SUM(C14:C15)</f>
        <v>0</v>
      </c>
      <c r="D16" s="3">
        <f>SUM(D14:D15)</f>
        <v>85166.78</v>
      </c>
      <c r="E16" s="3">
        <f>SUM(E14:E15)</f>
        <v>312036.88</v>
      </c>
      <c r="F16" s="3">
        <f>SUM(F14:F15)</f>
        <v>457292.08</v>
      </c>
    </row>
    <row r="17" spans="2:7" ht="14.45" x14ac:dyDescent="0.3">
      <c r="C17" s="3"/>
      <c r="D17" s="3"/>
      <c r="E17" s="3"/>
    </row>
    <row r="18" spans="2:7" ht="14.45" x14ac:dyDescent="0.3">
      <c r="C18" s="3"/>
      <c r="D18" s="3"/>
      <c r="E18" s="3"/>
    </row>
    <row r="20" spans="2:7" ht="14.45" x14ac:dyDescent="0.3">
      <c r="B20" t="s">
        <v>8</v>
      </c>
      <c r="C20" t="s">
        <v>92</v>
      </c>
      <c r="D20" t="s">
        <v>109</v>
      </c>
    </row>
    <row r="21" spans="2:7" ht="14.45" x14ac:dyDescent="0.3">
      <c r="C21" t="s">
        <v>68</v>
      </c>
      <c r="D21" t="s">
        <v>69</v>
      </c>
      <c r="E21" t="s">
        <v>70</v>
      </c>
      <c r="F21" t="s">
        <v>71</v>
      </c>
      <c r="G21" t="s">
        <v>6</v>
      </c>
    </row>
    <row r="22" spans="2:7" ht="14.45" x14ac:dyDescent="0.3">
      <c r="B22" t="s">
        <v>72</v>
      </c>
      <c r="C22">
        <f>40971544+46601354+51645366</f>
        <v>139218264</v>
      </c>
      <c r="D22">
        <f>42276549+41036566+35002729</f>
        <v>118315844</v>
      </c>
      <c r="E22">
        <f>40744212+44812757+62216850</f>
        <v>147773819</v>
      </c>
      <c r="F22">
        <f>48794226+48188462+33854980+69793051-75386283-1121408-4</f>
        <v>124123024</v>
      </c>
      <c r="G22">
        <f t="shared" ref="G22:G28" si="1">SUM(C22:F22)</f>
        <v>529430951</v>
      </c>
    </row>
    <row r="23" spans="2:7" ht="14.45" x14ac:dyDescent="0.3">
      <c r="B23" t="s">
        <v>73</v>
      </c>
      <c r="C23">
        <f>14143672+107230+16862626+128199+15121604+121482</f>
        <v>46484813</v>
      </c>
      <c r="D23">
        <f>14263961+111456+13632495+94789+12377187+90022</f>
        <v>40569910</v>
      </c>
      <c r="E23">
        <f>13259924+86041+15368437+94882+14972389+92189</f>
        <v>43873862</v>
      </c>
      <c r="F23">
        <f>13972796+95687+12745343+90101+12114066+87180+16467854-17809622-308450+19</f>
        <v>37454974</v>
      </c>
      <c r="G23">
        <f t="shared" si="1"/>
        <v>168383559</v>
      </c>
    </row>
    <row r="24" spans="2:7" ht="14.45" x14ac:dyDescent="0.3">
      <c r="B24" t="s">
        <v>74</v>
      </c>
      <c r="C24" s="26">
        <f>+'[1]ClassA-CustData'!$J$6</f>
        <v>10246699</v>
      </c>
      <c r="D24">
        <f>+'[1]ClassA-CustData'!$J$9</f>
        <v>8822769</v>
      </c>
      <c r="E24">
        <f>+'[1]ClassA-CustData'!$J$12</f>
        <v>11128392</v>
      </c>
      <c r="F24">
        <f>+'[1]ClassA-CustData'!$J$15</f>
        <v>11035857</v>
      </c>
      <c r="G24">
        <f t="shared" si="1"/>
        <v>41233717</v>
      </c>
    </row>
    <row r="25" spans="2:7" ht="14.45" x14ac:dyDescent="0.3">
      <c r="B25" t="s">
        <v>75</v>
      </c>
      <c r="C25">
        <f>73292230+80723417+75154879-C24</f>
        <v>218923827</v>
      </c>
      <c r="D25">
        <f>76306457+69807114+72285180-D24</f>
        <v>209575982</v>
      </c>
      <c r="E25">
        <f>75117015+82348798+79822617-E24</f>
        <v>226160038</v>
      </c>
      <c r="F25">
        <f>78016936+71987643+69763227-F24+20391225+54539577-22392255-54359182-1004533+10</f>
        <v>205906791</v>
      </c>
      <c r="G25">
        <f t="shared" si="1"/>
        <v>860566638</v>
      </c>
    </row>
    <row r="26" spans="2:7" ht="14.45" x14ac:dyDescent="0.3">
      <c r="B26" t="s">
        <v>76</v>
      </c>
      <c r="C26">
        <f>260385+256953+256953</f>
        <v>774291</v>
      </c>
      <c r="D26">
        <f>256953+257189+257189</f>
        <v>771331</v>
      </c>
      <c r="E26">
        <f>276010+257472+257472</f>
        <v>790954</v>
      </c>
      <c r="F26">
        <f>257884+257550+257550+260791-261129-18179</f>
        <v>754467</v>
      </c>
      <c r="G26">
        <f t="shared" si="1"/>
        <v>3091043</v>
      </c>
    </row>
    <row r="27" spans="2:7" ht="14.45" x14ac:dyDescent="0.3">
      <c r="B27" t="s">
        <v>77</v>
      </c>
      <c r="C27">
        <f>1069849+1044334+870881</f>
        <v>2985064</v>
      </c>
      <c r="D27">
        <f>859430+729128+663766</f>
        <v>2252324</v>
      </c>
      <c r="E27">
        <f>598519+642785+793875</f>
        <v>2035179</v>
      </c>
      <c r="F27">
        <f>727207+930478+988948+1069418-1069850</f>
        <v>2646201</v>
      </c>
      <c r="G27">
        <f t="shared" si="1"/>
        <v>9918768</v>
      </c>
    </row>
    <row r="28" spans="2:7" ht="14.45" x14ac:dyDescent="0.3">
      <c r="B28" t="s">
        <v>6</v>
      </c>
      <c r="C28">
        <f>SUM(C22:C27)</f>
        <v>418632958</v>
      </c>
      <c r="D28">
        <f>SUM(D22:D27)</f>
        <v>380308160</v>
      </c>
      <c r="E28">
        <f>SUM(E22:E27)</f>
        <v>431762244</v>
      </c>
      <c r="F28">
        <f>SUM(F22:F27)</f>
        <v>381921314</v>
      </c>
      <c r="G28">
        <f t="shared" si="1"/>
        <v>1612624676</v>
      </c>
    </row>
    <row r="30" spans="2:7" ht="14.45" x14ac:dyDescent="0.3">
      <c r="B30" t="s">
        <v>8</v>
      </c>
      <c r="C30" t="s">
        <v>91</v>
      </c>
    </row>
    <row r="31" spans="2:7" ht="14.45" x14ac:dyDescent="0.3">
      <c r="C31" t="s">
        <v>68</v>
      </c>
      <c r="D31" t="s">
        <v>69</v>
      </c>
      <c r="E31" t="s">
        <v>70</v>
      </c>
      <c r="F31" t="s">
        <v>71</v>
      </c>
      <c r="G31" t="s">
        <v>6</v>
      </c>
    </row>
    <row r="32" spans="2:7" ht="14.45" x14ac:dyDescent="0.3">
      <c r="B32" t="s">
        <v>72</v>
      </c>
      <c r="C32">
        <f>529430951/4</f>
        <v>132357737.75</v>
      </c>
      <c r="D32">
        <f t="shared" ref="D32:F32" si="2">529430951/4</f>
        <v>132357737.75</v>
      </c>
      <c r="E32">
        <f t="shared" si="2"/>
        <v>132357737.75</v>
      </c>
      <c r="F32">
        <f t="shared" si="2"/>
        <v>132357737.75</v>
      </c>
      <c r="G32">
        <v>529430951</v>
      </c>
    </row>
    <row r="33" spans="1:7" ht="14.45" x14ac:dyDescent="0.3">
      <c r="B33" t="s">
        <v>73</v>
      </c>
      <c r="C33">
        <f>168383559/4</f>
        <v>42095889.75</v>
      </c>
      <c r="D33">
        <f t="shared" ref="D33:F33" si="3">168383559/4</f>
        <v>42095889.75</v>
      </c>
      <c r="E33">
        <f t="shared" si="3"/>
        <v>42095889.75</v>
      </c>
      <c r="F33">
        <f t="shared" si="3"/>
        <v>42095889.75</v>
      </c>
      <c r="G33">
        <v>168383559</v>
      </c>
    </row>
    <row r="34" spans="1:7" ht="14.45" x14ac:dyDescent="0.3">
      <c r="B34" t="s">
        <v>74</v>
      </c>
      <c r="C34">
        <v>0</v>
      </c>
      <c r="D34">
        <f>+'[1]ClassA-CustData'!$J$9</f>
        <v>8822769</v>
      </c>
      <c r="E34">
        <f>+'[1]ClassA-CustData'!$J$12</f>
        <v>11128392</v>
      </c>
      <c r="F34">
        <f>+'[1]ClassA-CustData'!$J$15</f>
        <v>11035857</v>
      </c>
      <c r="G34">
        <v>22164249</v>
      </c>
    </row>
    <row r="35" spans="1:7" ht="14.45" x14ac:dyDescent="0.3">
      <c r="B35" t="s">
        <v>75</v>
      </c>
      <c r="C35">
        <f>901690816/4</f>
        <v>225422704</v>
      </c>
      <c r="D35">
        <f>901690816/4-D34</f>
        <v>216599935</v>
      </c>
      <c r="E35">
        <f>901690816/4-E34</f>
        <v>214294312</v>
      </c>
      <c r="F35">
        <f>901690816/4-F34</f>
        <v>214386847</v>
      </c>
      <c r="G35">
        <v>879526567</v>
      </c>
    </row>
    <row r="36" spans="1:7" ht="14.45" x14ac:dyDescent="0.3">
      <c r="B36" t="s">
        <v>76</v>
      </c>
      <c r="C36">
        <f>3091043/4</f>
        <v>772760.75</v>
      </c>
      <c r="D36">
        <f t="shared" ref="D36:F36" si="4">3091043/4</f>
        <v>772760.75</v>
      </c>
      <c r="E36">
        <f t="shared" si="4"/>
        <v>772760.75</v>
      </c>
      <c r="F36">
        <f t="shared" si="4"/>
        <v>772760.75</v>
      </c>
      <c r="G36">
        <v>3091043</v>
      </c>
    </row>
    <row r="37" spans="1:7" ht="14.45" x14ac:dyDescent="0.3">
      <c r="B37" t="s">
        <v>77</v>
      </c>
      <c r="C37">
        <f>9918768/4</f>
        <v>2479692</v>
      </c>
      <c r="D37">
        <f t="shared" ref="D37:F37" si="5">9918768/4</f>
        <v>2479692</v>
      </c>
      <c r="E37">
        <f t="shared" si="5"/>
        <v>2479692</v>
      </c>
      <c r="F37">
        <f t="shared" si="5"/>
        <v>2479692</v>
      </c>
      <c r="G37">
        <v>9918768</v>
      </c>
    </row>
    <row r="38" spans="1:7" ht="14.45" x14ac:dyDescent="0.3">
      <c r="B38" t="s">
        <v>6</v>
      </c>
      <c r="C38">
        <v>403128784.25</v>
      </c>
      <c r="D38">
        <v>403128784.25</v>
      </c>
      <c r="E38">
        <v>403128784.25</v>
      </c>
      <c r="F38">
        <v>403128784.25</v>
      </c>
      <c r="G38">
        <v>1612515137</v>
      </c>
    </row>
    <row r="40" spans="1:7" ht="14.45" x14ac:dyDescent="0.3">
      <c r="A40" t="s">
        <v>112</v>
      </c>
      <c r="B40" t="s">
        <v>78</v>
      </c>
    </row>
    <row r="41" spans="1:7" ht="14.45" x14ac:dyDescent="0.3">
      <c r="B41" t="s">
        <v>81</v>
      </c>
      <c r="D41" t="str">
        <f>+D21</f>
        <v>Q2</v>
      </c>
    </row>
    <row r="42" spans="1:7" ht="14.45" x14ac:dyDescent="0.3">
      <c r="B42" t="str">
        <f>+B24</f>
        <v>&gt;50 A</v>
      </c>
      <c r="D42">
        <f>+D24</f>
        <v>8822769</v>
      </c>
    </row>
    <row r="43" spans="1:7" ht="14.45" x14ac:dyDescent="0.3">
      <c r="B43" t="str">
        <f>+B25</f>
        <v>&gt;50 B</v>
      </c>
      <c r="D43">
        <f>+D25</f>
        <v>209575982</v>
      </c>
    </row>
    <row r="44" spans="1:7" ht="14.45" x14ac:dyDescent="0.3">
      <c r="B44" t="s">
        <v>6</v>
      </c>
      <c r="D44">
        <f>SUM(D42:D43)</f>
        <v>218398751</v>
      </c>
    </row>
    <row r="46" spans="1:7" ht="14.45" x14ac:dyDescent="0.3">
      <c r="B46" t="s">
        <v>82</v>
      </c>
    </row>
    <row r="47" spans="1:7" ht="14.45" x14ac:dyDescent="0.3">
      <c r="B47" t="str">
        <f>+B42</f>
        <v>&gt;50 A</v>
      </c>
      <c r="D47">
        <f>+D42/D44</f>
        <v>4.0397524984014214E-2</v>
      </c>
    </row>
    <row r="48" spans="1:7" ht="14.45" x14ac:dyDescent="0.3">
      <c r="B48" t="str">
        <f>+B43</f>
        <v>&gt;50 B</v>
      </c>
      <c r="D48">
        <f>+D43/D44</f>
        <v>0.95960247501598583</v>
      </c>
    </row>
    <row r="49" spans="2:9" ht="14.45" x14ac:dyDescent="0.3">
      <c r="B49" t="s">
        <v>6</v>
      </c>
      <c r="D49">
        <f>SUM(D47:D48)</f>
        <v>1</v>
      </c>
    </row>
    <row r="51" spans="2:9" ht="14.45" x14ac:dyDescent="0.3">
      <c r="B51" t="s">
        <v>83</v>
      </c>
      <c r="D51" t="s">
        <v>84</v>
      </c>
    </row>
    <row r="52" spans="2:9" ht="14.45" x14ac:dyDescent="0.3">
      <c r="B52" t="str">
        <f>+B47</f>
        <v>&gt;50 A</v>
      </c>
      <c r="D52" s="3">
        <f>+D47*D15</f>
        <v>3440.5271228580423</v>
      </c>
    </row>
    <row r="53" spans="2:9" ht="14.45" x14ac:dyDescent="0.3">
      <c r="B53" t="str">
        <f>+B48</f>
        <v>&gt;50 B</v>
      </c>
      <c r="D53" s="3">
        <f>+D48*D15</f>
        <v>81726.25287714196</v>
      </c>
    </row>
    <row r="54" spans="2:9" ht="14.45" x14ac:dyDescent="0.3">
      <c r="B54" t="s">
        <v>6</v>
      </c>
      <c r="D54" s="3">
        <f>SUM(D52:D53)</f>
        <v>85166.78</v>
      </c>
    </row>
    <row r="56" spans="2:9" ht="14.45" x14ac:dyDescent="0.3">
      <c r="B56" t="s">
        <v>85</v>
      </c>
    </row>
    <row r="57" spans="2:9" ht="14.45" x14ac:dyDescent="0.3">
      <c r="C57" t="s">
        <v>68</v>
      </c>
      <c r="D57" t="s">
        <v>69</v>
      </c>
      <c r="E57" t="s">
        <v>70</v>
      </c>
      <c r="F57" t="s">
        <v>71</v>
      </c>
      <c r="G57" t="s">
        <v>86</v>
      </c>
      <c r="H57" t="s">
        <v>67</v>
      </c>
      <c r="I57" t="s">
        <v>87</v>
      </c>
    </row>
    <row r="58" spans="2:9" ht="14.45" x14ac:dyDescent="0.3">
      <c r="B58" t="str">
        <f>+B8</f>
        <v>1580-CBR A</v>
      </c>
      <c r="C58" s="3">
        <f>+C14</f>
        <v>0</v>
      </c>
      <c r="D58" s="3">
        <f>+D52</f>
        <v>3440.5271228580423</v>
      </c>
      <c r="E58" s="3">
        <f>+E14</f>
        <v>4068.62</v>
      </c>
      <c r="F58" s="3">
        <f>+F14-E14</f>
        <v>2883.7799999999997</v>
      </c>
      <c r="G58" s="3">
        <f>SUM(D58:F58)</f>
        <v>10392.927122858042</v>
      </c>
      <c r="H58">
        <f>ROUND(+G58/G60*H60,2)</f>
        <v>186.75</v>
      </c>
      <c r="I58" s="3">
        <f>SUM(G58:H58)</f>
        <v>10579.677122858042</v>
      </c>
    </row>
    <row r="59" spans="2:9" ht="14.45" x14ac:dyDescent="0.3">
      <c r="B59" t="str">
        <f>+B9</f>
        <v>1580 - CBR B</v>
      </c>
      <c r="C59" s="3">
        <f>+C15</f>
        <v>0</v>
      </c>
      <c r="D59" s="3">
        <f>+D53</f>
        <v>81726.25287714196</v>
      </c>
      <c r="E59" s="3">
        <f>+E15-D15</f>
        <v>222801.48</v>
      </c>
      <c r="F59" s="3">
        <f>+F15-E15</f>
        <v>142371.41999999998</v>
      </c>
      <c r="G59" s="3">
        <f>SUM(D59:F59)</f>
        <v>446899.15287714195</v>
      </c>
      <c r="H59">
        <f>ROUND(+G59/G60*H60,2)</f>
        <v>8030.13</v>
      </c>
      <c r="I59" s="3">
        <f>SUM(G59:H59)</f>
        <v>454929.28287714196</v>
      </c>
    </row>
    <row r="60" spans="2:9" ht="14.45" x14ac:dyDescent="0.3">
      <c r="B60" t="str">
        <f>+B10</f>
        <v>Total</v>
      </c>
      <c r="C60" s="3">
        <f>+C16</f>
        <v>0</v>
      </c>
      <c r="D60" s="3">
        <f>+D16</f>
        <v>85166.78</v>
      </c>
      <c r="E60" s="3">
        <f>SUM(E58:E59)</f>
        <v>226870.1</v>
      </c>
      <c r="F60" s="3">
        <f>SUM(F58:F59)</f>
        <v>145255.19999999998</v>
      </c>
      <c r="G60" s="3">
        <f>SUM(D60:F60)</f>
        <v>457292.07999999996</v>
      </c>
      <c r="H60" s="3">
        <f>+SUM(D8:D9)</f>
        <v>8216.880000000001</v>
      </c>
      <c r="I60" s="3">
        <f>SUM(G60:H60)</f>
        <v>465508.95999999996</v>
      </c>
    </row>
    <row r="62" spans="2:9" ht="14.45" x14ac:dyDescent="0.3">
      <c r="B62" t="s">
        <v>88</v>
      </c>
    </row>
    <row r="63" spans="2:9" ht="14.45" x14ac:dyDescent="0.3">
      <c r="B63" t="str">
        <f>+B59</f>
        <v>1580 - CBR B</v>
      </c>
      <c r="C63" t="s">
        <v>89</v>
      </c>
      <c r="D63" s="3">
        <f>+I59</f>
        <v>454929.28287714196</v>
      </c>
    </row>
    <row r="64" spans="2:9" ht="14.45" x14ac:dyDescent="0.3">
      <c r="C64" t="s">
        <v>8</v>
      </c>
      <c r="D64">
        <f>+G28-G24</f>
        <v>1571390959</v>
      </c>
    </row>
    <row r="65" spans="2:10" ht="14.45" x14ac:dyDescent="0.3">
      <c r="C65" t="s">
        <v>90</v>
      </c>
      <c r="D65">
        <f>+D63/D64</f>
        <v>2.8950738215182894E-4</v>
      </c>
    </row>
    <row r="67" spans="2:10" ht="14.45" x14ac:dyDescent="0.3">
      <c r="B67" t="s">
        <v>93</v>
      </c>
    </row>
    <row r="68" spans="2:10" ht="14.45" x14ac:dyDescent="0.3">
      <c r="B68" t="str">
        <f>+I57</f>
        <v>Disposition $</v>
      </c>
      <c r="C68" s="3">
        <f>+I60</f>
        <v>465508.95999999996</v>
      </c>
    </row>
    <row r="69" spans="2:10" ht="14.45" x14ac:dyDescent="0.3">
      <c r="B69" t="str">
        <f>+B58</f>
        <v>1580-CBR A</v>
      </c>
      <c r="C69" s="3">
        <f>+I58</f>
        <v>10579.677122858042</v>
      </c>
    </row>
    <row r="70" spans="2:10" ht="14.45" x14ac:dyDescent="0.3">
      <c r="B70" t="str">
        <f>+B59</f>
        <v>1580 - CBR B</v>
      </c>
      <c r="C70" s="3">
        <f>+I59</f>
        <v>454929.28287714196</v>
      </c>
    </row>
    <row r="71" spans="2:10" ht="14.45" x14ac:dyDescent="0.3">
      <c r="B71" t="s">
        <v>94</v>
      </c>
    </row>
    <row r="72" spans="2:10" ht="14.45" x14ac:dyDescent="0.3">
      <c r="B72" s="25" t="s">
        <v>10</v>
      </c>
      <c r="C72" t="s">
        <v>95</v>
      </c>
      <c r="D72">
        <f>+'[2]ClassA-CustData'!$C$22</f>
        <v>1.6878999999999999E-4</v>
      </c>
      <c r="E72">
        <f>+'[2]ClassA-CustData'!$D$22</f>
        <v>8.3789999999999996E-5</v>
      </c>
    </row>
    <row r="73" spans="2:10" ht="14.45" x14ac:dyDescent="0.3">
      <c r="C73" t="s">
        <v>110</v>
      </c>
      <c r="D73" s="3">
        <f>+D72/(SUM($D72:$E72))*$C$69</f>
        <v>7070.012279543942</v>
      </c>
      <c r="E73" s="3">
        <f>+E72/(SUM($D72:$E72))*$C$69</f>
        <v>3509.6648433140999</v>
      </c>
      <c r="I73" s="3">
        <f>SUM(D73:H73)</f>
        <v>10579.677122858042</v>
      </c>
      <c r="J73" s="3" t="str">
        <f>IF(I73=C69,"Checks","ERROR")</f>
        <v>Checks</v>
      </c>
    </row>
    <row r="74" spans="2:10" ht="14.45" x14ac:dyDescent="0.3">
      <c r="D74" s="3"/>
      <c r="E74" s="3"/>
      <c r="I74" s="3"/>
      <c r="J74" s="3"/>
    </row>
    <row r="75" spans="2:10" ht="14.45" x14ac:dyDescent="0.3">
      <c r="C75" t="s">
        <v>96</v>
      </c>
      <c r="D75" t="s">
        <v>72</v>
      </c>
      <c r="E75" t="s">
        <v>73</v>
      </c>
      <c r="F75" t="s">
        <v>97</v>
      </c>
      <c r="G75" t="s">
        <v>76</v>
      </c>
      <c r="H75" t="s">
        <v>77</v>
      </c>
      <c r="I75" s="50" t="s">
        <v>98</v>
      </c>
      <c r="J75" s="50"/>
    </row>
    <row r="76" spans="2:10" ht="14.45" x14ac:dyDescent="0.3">
      <c r="B76" t="s">
        <v>11</v>
      </c>
      <c r="D76" s="27">
        <v>0.32832618984586931</v>
      </c>
      <c r="E76" s="27">
        <v>0.10442293231012317</v>
      </c>
      <c r="F76" s="27">
        <v>0.5591828537359026</v>
      </c>
      <c r="G76" s="27">
        <v>1.9169078969086292E-3</v>
      </c>
      <c r="H76" s="28">
        <v>6.1511162111962236E-3</v>
      </c>
      <c r="I76" s="3">
        <f>SUM(D76:H76)</f>
        <v>1</v>
      </c>
    </row>
    <row r="77" spans="2:10" ht="14.45" x14ac:dyDescent="0.3">
      <c r="B77" t="s">
        <v>83</v>
      </c>
      <c r="D77" s="3">
        <f>+D76*$I$60</f>
        <v>152838.78317591318</v>
      </c>
      <c r="E77" s="3">
        <f>+E76*$I$60</f>
        <v>48609.810619835829</v>
      </c>
      <c r="F77" s="3">
        <f>+F76*$I$60</f>
        <v>260304.6286924321</v>
      </c>
      <c r="G77" s="3">
        <f>+G76*$I$60</f>
        <v>892.33780150572318</v>
      </c>
      <c r="H77" s="3">
        <f>+H76*$I$60</f>
        <v>2863.3997103130941</v>
      </c>
      <c r="I77" s="3">
        <f>ROUND(SUM(D77:H77),2)</f>
        <v>465508.96</v>
      </c>
      <c r="J77" s="3" t="str">
        <f>IF(I77=I59,"Checks","ERROR")</f>
        <v>ERROR</v>
      </c>
    </row>
    <row r="78" spans="2:10" ht="14.45" x14ac:dyDescent="0.3">
      <c r="B78" t="s">
        <v>101</v>
      </c>
      <c r="D78" s="29">
        <v>529430951</v>
      </c>
      <c r="E78" s="29">
        <v>168383559</v>
      </c>
      <c r="F78" s="29">
        <v>901690816</v>
      </c>
      <c r="G78" s="29">
        <v>3091043</v>
      </c>
      <c r="H78" s="29">
        <v>9918768</v>
      </c>
    </row>
    <row r="79" spans="2:10" ht="14.45" x14ac:dyDescent="0.3">
      <c r="D79" s="29">
        <v>0</v>
      </c>
      <c r="E79" s="29"/>
      <c r="F79" s="29">
        <v>2390334</v>
      </c>
      <c r="G79" s="29">
        <v>0</v>
      </c>
      <c r="H79" s="29">
        <v>27667</v>
      </c>
    </row>
    <row r="80" spans="2:10" ht="14.45" x14ac:dyDescent="0.3">
      <c r="B80" t="s">
        <v>90</v>
      </c>
      <c r="C80" t="s">
        <v>99</v>
      </c>
      <c r="D80" s="25">
        <f>+D77/D78</f>
        <v>2.8868501716272567E-4</v>
      </c>
      <c r="E80" s="25">
        <f t="shared" ref="E80:H80" si="6">+E77/E78</f>
        <v>2.8868501716272567E-4</v>
      </c>
      <c r="F80">
        <f t="shared" si="6"/>
        <v>2.8868501716272567E-4</v>
      </c>
      <c r="G80" s="25">
        <f t="shared" si="6"/>
        <v>2.8868501716272573E-4</v>
      </c>
      <c r="H80">
        <f t="shared" si="6"/>
        <v>2.8868501716272567E-4</v>
      </c>
    </row>
    <row r="81" spans="2:8" ht="14.45" x14ac:dyDescent="0.3">
      <c r="C81" t="s">
        <v>99</v>
      </c>
      <c r="D81">
        <f>+D77/D78</f>
        <v>2.8868501716272567E-4</v>
      </c>
      <c r="E81">
        <f t="shared" ref="E81:G81" si="7">+E77/E78</f>
        <v>2.8868501716272567E-4</v>
      </c>
      <c r="G81">
        <f t="shared" si="7"/>
        <v>2.8868501716272573E-4</v>
      </c>
    </row>
    <row r="82" spans="2:8" ht="14.45" x14ac:dyDescent="0.3">
      <c r="C82" t="s">
        <v>100</v>
      </c>
      <c r="F82" s="25">
        <f>+F77/F79</f>
        <v>0.10889885208194006</v>
      </c>
      <c r="H82" s="25">
        <f>+H77/H79</f>
        <v>0.1034951281423029</v>
      </c>
    </row>
    <row r="84" spans="2:8" ht="14.45" x14ac:dyDescent="0.3">
      <c r="B84" t="s">
        <v>11</v>
      </c>
      <c r="C84" t="s">
        <v>111</v>
      </c>
    </row>
    <row r="85" spans="2:8" ht="14.45" x14ac:dyDescent="0.3">
      <c r="D85" t="s">
        <v>72</v>
      </c>
      <c r="E85" t="s">
        <v>73</v>
      </c>
      <c r="F85" t="s">
        <v>97</v>
      </c>
      <c r="G85" t="s">
        <v>76</v>
      </c>
      <c r="H85" t="s">
        <v>77</v>
      </c>
    </row>
    <row r="86" spans="2:8" ht="14.45" x14ac:dyDescent="0.3">
      <c r="B86" t="s">
        <v>102</v>
      </c>
      <c r="D86" s="29">
        <v>529430951</v>
      </c>
      <c r="E86" s="29">
        <v>168383559</v>
      </c>
      <c r="F86" s="29">
        <v>901690816</v>
      </c>
      <c r="G86" s="29">
        <v>3091043</v>
      </c>
      <c r="H86" s="29">
        <v>9918768</v>
      </c>
    </row>
    <row r="87" spans="2:8" ht="14.45" x14ac:dyDescent="0.3">
      <c r="B87" t="s">
        <v>103</v>
      </c>
      <c r="D87" s="30">
        <f>+D86</f>
        <v>529430951</v>
      </c>
      <c r="E87" s="30">
        <f>+E86</f>
        <v>168383559</v>
      </c>
      <c r="F87" s="30">
        <f>+F86-'[2]ClassA-CustData'!$E$20</f>
        <v>860457099</v>
      </c>
      <c r="G87" s="30">
        <f>+G86</f>
        <v>3091043</v>
      </c>
      <c r="H87" s="30">
        <f>+H86</f>
        <v>9918768</v>
      </c>
    </row>
    <row r="88" spans="2:8" ht="14.45" x14ac:dyDescent="0.3">
      <c r="B88" t="s">
        <v>104</v>
      </c>
      <c r="F88" s="29">
        <v>2390334</v>
      </c>
      <c r="G88" s="29">
        <v>0</v>
      </c>
      <c r="H88" s="29">
        <v>27667</v>
      </c>
    </row>
    <row r="89" spans="2:8" ht="14.45" x14ac:dyDescent="0.3">
      <c r="B89" t="s">
        <v>105</v>
      </c>
      <c r="F89" s="30">
        <f>+F88-63141.32-42745.17</f>
        <v>2284447.5100000002</v>
      </c>
      <c r="H89" s="29">
        <v>27667</v>
      </c>
    </row>
    <row r="90" spans="2:8" ht="14.45" x14ac:dyDescent="0.3">
      <c r="B90" t="s">
        <v>106</v>
      </c>
      <c r="D90" s="31">
        <f>+D87/(SUM($D87:$H87))</f>
        <v>0.33694215705802721</v>
      </c>
      <c r="E90" s="31">
        <f>+E87/(SUM($D87:$H87))</f>
        <v>0.1071632088668114</v>
      </c>
      <c r="F90" s="31">
        <f>+F87/(SUM($D87:$H87))</f>
        <v>0.54761488810833137</v>
      </c>
      <c r="G90" s="31">
        <f>+G87/(SUM($D87:$H87))</f>
        <v>1.9672115769051733E-3</v>
      </c>
      <c r="H90" s="31">
        <f>+H87/(SUM($D87:$H87))</f>
        <v>6.3125343899248804E-3</v>
      </c>
    </row>
    <row r="91" spans="2:8" ht="14.45" x14ac:dyDescent="0.3">
      <c r="B91" t="s">
        <v>107</v>
      </c>
      <c r="D91" s="3">
        <f>+D90*$C$70</f>
        <v>153284.85388148564</v>
      </c>
      <c r="E91" s="3">
        <f t="shared" ref="E91:H91" si="8">+E90*$C$70</f>
        <v>48751.681760591891</v>
      </c>
      <c r="F91" s="3">
        <f t="shared" si="8"/>
        <v>249126.04833996951</v>
      </c>
      <c r="G91" s="3">
        <f t="shared" si="8"/>
        <v>894.94215194908213</v>
      </c>
      <c r="H91" s="3">
        <f t="shared" si="8"/>
        <v>2871.7567431458228</v>
      </c>
    </row>
    <row r="92" spans="2:8" ht="14.45" x14ac:dyDescent="0.3">
      <c r="B92" t="s">
        <v>90</v>
      </c>
      <c r="C92" t="s">
        <v>99</v>
      </c>
      <c r="D92">
        <f>+D91/D87</f>
        <v>2.895275646275649E-4</v>
      </c>
      <c r="E92">
        <f t="shared" ref="E92:H92" si="9">+E91/E87</f>
        <v>2.895275646275649E-4</v>
      </c>
      <c r="F92">
        <f t="shared" si="9"/>
        <v>2.895275646275649E-4</v>
      </c>
      <c r="G92">
        <f t="shared" si="9"/>
        <v>2.895275646275649E-4</v>
      </c>
      <c r="H92">
        <f t="shared" si="9"/>
        <v>2.895275646275649E-4</v>
      </c>
    </row>
    <row r="93" spans="2:8" ht="14.45" x14ac:dyDescent="0.3">
      <c r="C93" t="s">
        <v>99</v>
      </c>
      <c r="D93">
        <f>+D91/D87</f>
        <v>2.895275646275649E-4</v>
      </c>
      <c r="E93">
        <f>+E91/E87</f>
        <v>2.895275646275649E-4</v>
      </c>
      <c r="G93">
        <f>+G91/G87</f>
        <v>2.895275646275649E-4</v>
      </c>
    </row>
    <row r="94" spans="2:8" ht="14.45" x14ac:dyDescent="0.3">
      <c r="C94" t="s">
        <v>100</v>
      </c>
      <c r="F94">
        <f>+F91/F89</f>
        <v>0.1090530849360463</v>
      </c>
      <c r="H94">
        <f>+H91/H89</f>
        <v>0.10379718593074141</v>
      </c>
    </row>
    <row r="96" spans="2:8" ht="14.45" x14ac:dyDescent="0.3">
      <c r="B96" t="s">
        <v>108</v>
      </c>
      <c r="F96">
        <f>+F82-F94</f>
        <v>-1.5423285410624821E-4</v>
      </c>
      <c r="H96">
        <f>+H82-H94</f>
        <v>-3.0205778843851727E-4</v>
      </c>
    </row>
    <row r="97" spans="2:8" ht="14.45" x14ac:dyDescent="0.3">
      <c r="F97">
        <f>+F96*F89</f>
        <v>-352.33685952321201</v>
      </c>
      <c r="H97">
        <f>+H96*H89</f>
        <v>-8.3570328327284571</v>
      </c>
    </row>
    <row r="99" spans="2:8" ht="14.45" x14ac:dyDescent="0.3">
      <c r="B99" t="s">
        <v>113</v>
      </c>
    </row>
    <row r="100" spans="2:8" ht="14.45" x14ac:dyDescent="0.3">
      <c r="C100" t="s">
        <v>116</v>
      </c>
      <c r="D100" t="s">
        <v>8</v>
      </c>
    </row>
    <row r="101" spans="2:8" ht="14.45" x14ac:dyDescent="0.3">
      <c r="B101" t="s">
        <v>114</v>
      </c>
      <c r="C101">
        <v>63141.32</v>
      </c>
      <c r="D101">
        <f>+'[1]ClassA-CustData'!$C$16</f>
        <v>26804065</v>
      </c>
    </row>
    <row r="102" spans="2:8" ht="14.45" x14ac:dyDescent="0.3">
      <c r="B102" t="s">
        <v>115</v>
      </c>
      <c r="C102">
        <v>42745.17</v>
      </c>
      <c r="D102">
        <f>+'[1]ClassA-CustData'!$D$16</f>
        <v>14429652</v>
      </c>
    </row>
    <row r="103" spans="2:8" ht="14.45" x14ac:dyDescent="0.3">
      <c r="B103" t="s">
        <v>117</v>
      </c>
      <c r="C103" t="s">
        <v>118</v>
      </c>
      <c r="D103" t="s">
        <v>83</v>
      </c>
      <c r="E103" t="s">
        <v>121</v>
      </c>
    </row>
    <row r="104" spans="2:8" ht="14.45" x14ac:dyDescent="0.3">
      <c r="B104" t="str">
        <f>+B101</f>
        <v>Cust 1</v>
      </c>
      <c r="C104">
        <f>+C101*$F$82</f>
        <v>6876.0172669384428</v>
      </c>
      <c r="D104" s="3">
        <f>+D73</f>
        <v>7070.012279543942</v>
      </c>
      <c r="E104" s="3">
        <f>+C104-D104</f>
        <v>-193.99501260549914</v>
      </c>
    </row>
    <row r="105" spans="2:8" ht="15" customHeight="1" x14ac:dyDescent="0.3">
      <c r="B105" t="str">
        <f>+B102</f>
        <v>Cust 2</v>
      </c>
      <c r="C105">
        <f>+C102*$F$82</f>
        <v>4654.8999450473812</v>
      </c>
      <c r="D105" s="3">
        <f>+E73</f>
        <v>3509.6648433140999</v>
      </c>
      <c r="E105" s="3">
        <f>+C105-D105</f>
        <v>1145.2351017332812</v>
      </c>
    </row>
    <row r="106" spans="2:8" ht="14.45" x14ac:dyDescent="0.3">
      <c r="B106" t="s">
        <v>119</v>
      </c>
      <c r="C106" t="s">
        <v>120</v>
      </c>
    </row>
    <row r="107" spans="2:8" ht="14.45" x14ac:dyDescent="0.3">
      <c r="B107" t="str">
        <f>+B104</f>
        <v>Cust 1</v>
      </c>
      <c r="C107">
        <f>+C101*$F$94</f>
        <v>6885.7557329340789</v>
      </c>
      <c r="D107" s="3">
        <f>+D73</f>
        <v>7070.012279543942</v>
      </c>
      <c r="E107" s="3">
        <f t="shared" ref="E107:E108" si="10">+C107-D107</f>
        <v>-184.25654660986311</v>
      </c>
    </row>
    <row r="108" spans="2:8" ht="14.45" x14ac:dyDescent="0.3">
      <c r="B108" t="str">
        <f>+B105</f>
        <v>Cust 2</v>
      </c>
      <c r="C108">
        <f>+C102*$F$94</f>
        <v>4661.4926546157385</v>
      </c>
      <c r="D108" s="3">
        <f>+E73</f>
        <v>3509.6648433140999</v>
      </c>
      <c r="E108" s="3">
        <f t="shared" si="10"/>
        <v>1151.8278113016386</v>
      </c>
    </row>
    <row r="109" spans="2:8" ht="14.45" x14ac:dyDescent="0.3">
      <c r="B109" t="s">
        <v>122</v>
      </c>
    </row>
    <row r="110" spans="2:8" ht="14.45" x14ac:dyDescent="0.3">
      <c r="B110" t="s">
        <v>117</v>
      </c>
      <c r="C110" t="s">
        <v>118</v>
      </c>
      <c r="D110" t="s">
        <v>83</v>
      </c>
      <c r="E110" t="s">
        <v>121</v>
      </c>
    </row>
    <row r="111" spans="2:8" ht="14.45" x14ac:dyDescent="0.3">
      <c r="B111">
        <f>+F82</f>
        <v>0.10889885208194006</v>
      </c>
      <c r="C111">
        <f>+F89*B111</f>
        <v>248773.71148044631</v>
      </c>
      <c r="D111" s="3">
        <f>+F91</f>
        <v>249126.04833996951</v>
      </c>
      <c r="E111" s="3">
        <f t="shared" ref="E111:E115" si="11">+C111-D111</f>
        <v>-352.33685952320229</v>
      </c>
    </row>
    <row r="112" spans="2:8" ht="14.45" x14ac:dyDescent="0.3">
      <c r="B112">
        <f>ROUND(B111,4)</f>
        <v>0.1089</v>
      </c>
      <c r="C112">
        <f>+F89*B112</f>
        <v>248776.33383900003</v>
      </c>
      <c r="D112" s="3">
        <f>+F91</f>
        <v>249126.04833996951</v>
      </c>
      <c r="E112" s="3">
        <f t="shared" si="11"/>
        <v>-349.71450096947956</v>
      </c>
    </row>
    <row r="113" spans="2:5" ht="14.45" x14ac:dyDescent="0.3">
      <c r="B113" t="s">
        <v>119</v>
      </c>
      <c r="C113" t="s">
        <v>120</v>
      </c>
    </row>
    <row r="114" spans="2:5" x14ac:dyDescent="0.25">
      <c r="B114">
        <f>+F94</f>
        <v>0.1090530849360463</v>
      </c>
      <c r="C114">
        <f>+F89*B114</f>
        <v>249126.04833996951</v>
      </c>
      <c r="D114" s="3">
        <f>+F91</f>
        <v>249126.04833996951</v>
      </c>
      <c r="E114" s="3">
        <f t="shared" si="11"/>
        <v>0</v>
      </c>
    </row>
    <row r="115" spans="2:5" x14ac:dyDescent="0.25">
      <c r="B115">
        <f>ROUND(B114,4)</f>
        <v>0.1091</v>
      </c>
      <c r="C115">
        <f>+F89*B115</f>
        <v>249233.22334100003</v>
      </c>
      <c r="D115" s="3">
        <f>+F91</f>
        <v>249126.04833996951</v>
      </c>
      <c r="E115">
        <f t="shared" si="11"/>
        <v>107.17500103052589</v>
      </c>
    </row>
  </sheetData>
  <mergeCells count="1">
    <mergeCell ref="I75:J7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19"/>
  <sheetViews>
    <sheetView tabSelected="1" workbookViewId="0">
      <selection activeCell="F39" sqref="F39"/>
    </sheetView>
  </sheetViews>
  <sheetFormatPr defaultRowHeight="15" x14ac:dyDescent="0.25"/>
  <cols>
    <col min="2" max="2" width="35.28515625" customWidth="1"/>
    <col min="4" max="4" width="21.42578125" customWidth="1"/>
    <col min="5" max="5" width="18.7109375" customWidth="1"/>
    <col min="6" max="6" width="11.140625" customWidth="1"/>
    <col min="7" max="7" width="12.28515625" customWidth="1"/>
  </cols>
  <sheetData>
    <row r="4" spans="2:8" thickBot="1" x14ac:dyDescent="0.35"/>
    <row r="5" spans="2:8" ht="14.45" x14ac:dyDescent="0.3">
      <c r="B5" s="51" t="s">
        <v>123</v>
      </c>
      <c r="C5" s="52"/>
      <c r="D5" s="52"/>
      <c r="E5" s="52"/>
      <c r="F5" s="52"/>
      <c r="G5" s="52"/>
      <c r="H5" s="53"/>
    </row>
    <row r="6" spans="2:8" ht="30.6" customHeight="1" thickBot="1" x14ac:dyDescent="0.3">
      <c r="B6" s="32"/>
      <c r="C6" s="54" t="s">
        <v>124</v>
      </c>
      <c r="D6" s="55" t="s">
        <v>125</v>
      </c>
      <c r="E6" s="55" t="s">
        <v>126</v>
      </c>
      <c r="F6" s="57" t="s">
        <v>127</v>
      </c>
      <c r="G6" s="57" t="s">
        <v>128</v>
      </c>
      <c r="H6" s="59" t="s">
        <v>12</v>
      </c>
    </row>
    <row r="7" spans="2:8" ht="28.9" customHeight="1" x14ac:dyDescent="0.25">
      <c r="B7" s="32"/>
      <c r="C7" s="54"/>
      <c r="D7" s="56"/>
      <c r="E7" s="56"/>
      <c r="F7" s="58"/>
      <c r="G7" s="58"/>
      <c r="H7" s="60"/>
    </row>
    <row r="8" spans="2:8" ht="14.45" x14ac:dyDescent="0.3">
      <c r="B8" s="32" t="s">
        <v>129</v>
      </c>
      <c r="C8" s="33" t="s">
        <v>8</v>
      </c>
      <c r="D8" s="34">
        <f>+'CBR_RR-170213'!D86</f>
        <v>529430951</v>
      </c>
      <c r="E8" s="34">
        <v>0</v>
      </c>
      <c r="F8" s="43">
        <f>+D8/D$13</f>
        <v>0.33694215705802721</v>
      </c>
      <c r="G8" s="45">
        <f>+F8*$G$13</f>
        <v>153284.85388148564</v>
      </c>
      <c r="H8" s="35">
        <f>+G8/D8</f>
        <v>2.895275646275649E-4</v>
      </c>
    </row>
    <row r="9" spans="2:8" ht="14.45" x14ac:dyDescent="0.3">
      <c r="B9" s="32" t="s">
        <v>130</v>
      </c>
      <c r="C9" s="33" t="s">
        <v>8</v>
      </c>
      <c r="D9" s="34">
        <f>+'CBR_RR-170213'!E86</f>
        <v>168383559</v>
      </c>
      <c r="E9" s="34">
        <v>0</v>
      </c>
      <c r="F9" s="43">
        <f>+D9/D$13</f>
        <v>0.1071632088668114</v>
      </c>
      <c r="G9" s="45">
        <f>+F9*$G$13</f>
        <v>48751.681760591891</v>
      </c>
      <c r="H9" s="35">
        <f>+G9/D9</f>
        <v>2.895275646275649E-4</v>
      </c>
    </row>
    <row r="10" spans="2:8" ht="14.45" x14ac:dyDescent="0.3">
      <c r="B10" s="32" t="s">
        <v>131</v>
      </c>
      <c r="C10" s="33" t="s">
        <v>116</v>
      </c>
      <c r="D10" s="34">
        <f>+'CBR_RR-170213'!F87</f>
        <v>860457099</v>
      </c>
      <c r="E10" s="34">
        <f>+'CBR_RR-170213'!F89</f>
        <v>2284447.5100000002</v>
      </c>
      <c r="F10" s="43">
        <f>+D10/D$13</f>
        <v>0.54761488810833137</v>
      </c>
      <c r="G10" s="45">
        <f>+F10*$G$13</f>
        <v>249126.04833996951</v>
      </c>
      <c r="H10" s="35">
        <f>+G10/E10</f>
        <v>0.1090530849360463</v>
      </c>
    </row>
    <row r="11" spans="2:8" ht="14.45" x14ac:dyDescent="0.3">
      <c r="B11" s="32" t="s">
        <v>132</v>
      </c>
      <c r="C11" s="33" t="s">
        <v>8</v>
      </c>
      <c r="D11" s="34">
        <f>+'CBR_RR-170213'!G86</f>
        <v>3091043</v>
      </c>
      <c r="E11" s="34"/>
      <c r="F11" s="43">
        <f>+D11/D$13</f>
        <v>1.9672115769051733E-3</v>
      </c>
      <c r="G11" s="45">
        <f>+F11*$G$13</f>
        <v>894.94215194908213</v>
      </c>
      <c r="H11" s="35">
        <f>+G11/D11</f>
        <v>2.895275646275649E-4</v>
      </c>
    </row>
    <row r="12" spans="2:8" ht="14.45" x14ac:dyDescent="0.3">
      <c r="B12" s="32" t="s">
        <v>133</v>
      </c>
      <c r="C12" s="33" t="s">
        <v>116</v>
      </c>
      <c r="D12" s="34">
        <f>+'CBR_RR-170213'!H86</f>
        <v>9918768</v>
      </c>
      <c r="E12" s="34">
        <f>+'CBR_RR-170213'!H88</f>
        <v>27667</v>
      </c>
      <c r="F12" s="43">
        <f>+D12/D$13</f>
        <v>6.3125343899248804E-3</v>
      </c>
      <c r="G12" s="45">
        <f>+F12*$G$13</f>
        <v>2871.7567431458228</v>
      </c>
      <c r="H12" s="35">
        <f>+G12/E12</f>
        <v>0.10379718593074141</v>
      </c>
    </row>
    <row r="13" spans="2:8" thickBot="1" x14ac:dyDescent="0.35">
      <c r="B13" s="32"/>
      <c r="C13" s="36"/>
      <c r="D13" s="37">
        <f>SUM(D8:D12)</f>
        <v>1571281420</v>
      </c>
      <c r="E13" s="37">
        <f>SUM(E8:E12)</f>
        <v>2312114.5100000002</v>
      </c>
      <c r="F13" s="44">
        <f>SUM(F8:F12)</f>
        <v>1</v>
      </c>
      <c r="G13" s="37">
        <f>+'CBR_RR-170213'!I59</f>
        <v>454929.28287714196</v>
      </c>
      <c r="H13" s="38"/>
    </row>
    <row r="14" spans="2:8" ht="15.6" thickTop="1" thickBot="1" x14ac:dyDescent="0.35">
      <c r="B14" s="39"/>
      <c r="C14" s="40"/>
      <c r="D14" s="41"/>
      <c r="E14" s="41"/>
      <c r="F14" s="40"/>
      <c r="G14" s="40"/>
      <c r="H14" s="42"/>
    </row>
    <row r="16" spans="2:8" ht="14.45" x14ac:dyDescent="0.3">
      <c r="B16" t="s">
        <v>134</v>
      </c>
      <c r="G16" s="2">
        <f>+'CBR_RR-170213'!D73</f>
        <v>7070.012279543942</v>
      </c>
    </row>
    <row r="17" spans="2:7" ht="14.45" x14ac:dyDescent="0.3">
      <c r="B17" t="s">
        <v>135</v>
      </c>
      <c r="G17" s="2">
        <f>+'CBR_RR-170213'!E73</f>
        <v>3509.6648433140999</v>
      </c>
    </row>
    <row r="18" spans="2:7" ht="14.45" x14ac:dyDescent="0.3">
      <c r="G18" s="2"/>
    </row>
    <row r="19" spans="2:7" ht="14.45" x14ac:dyDescent="0.3">
      <c r="B19" t="s">
        <v>136</v>
      </c>
      <c r="G19" s="46">
        <f>+G13+G16+G17</f>
        <v>465508.96</v>
      </c>
    </row>
  </sheetData>
  <mergeCells count="7">
    <mergeCell ref="B5:H5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Data-170208</vt:lpstr>
      <vt:lpstr>Notes</vt:lpstr>
      <vt:lpstr>CBR_RR-170213</vt:lpstr>
      <vt:lpstr>CBR_RR-170228</vt:lpstr>
      <vt:lpstr>CBR_Summary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Farmer</dc:creator>
  <cp:lastModifiedBy>Anna King</cp:lastModifiedBy>
  <cp:lastPrinted>2017-02-08T14:45:34Z</cp:lastPrinted>
  <dcterms:created xsi:type="dcterms:W3CDTF">2017-02-08T14:17:53Z</dcterms:created>
  <dcterms:modified xsi:type="dcterms:W3CDTF">2017-04-13T13:25:59Z</dcterms:modified>
</cp:coreProperties>
</file>